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8_{7DB20C35-2E38-44ED-B96B-CA899A747BAF}" xr6:coauthVersionLast="47" xr6:coauthVersionMax="47" xr10:uidLastSave="{00000000-0000-0000-0000-000000000000}"/>
  <bookViews>
    <workbookView xWindow="-120" yWindow="-120" windowWidth="38640" windowHeight="21390" tabRatio="812" xr2:uid="{00000000-000D-0000-FFFF-FFFF00000000}"/>
  </bookViews>
  <sheets>
    <sheet name="Contents" sheetId="83" r:id="rId1"/>
    <sheet name="Company List" sheetId="84" r:id="rId2"/>
    <sheet name="Sector Payout Ratio" sheetId="77" r:id="rId3"/>
    <sheet name="Sector Yield" sheetId="78" r:id="rId4"/>
    <sheet name="Dividend Patterns" sheetId="6" r:id="rId5"/>
    <sheet name="Dividend Payout Ratio" sheetId="3" r:id="rId6"/>
    <sheet name="Dividend Yield" sheetId="4" r:id="rId7"/>
    <sheet name="Dividend Summary" sheetId="14" r:id="rId8"/>
    <sheet name="SPDR Payout" sheetId="80" state="hidden" r:id="rId9"/>
    <sheet name="SPDR Yield" sheetId="79" state="hidden" r:id="rId10"/>
    <sheet name="Patterns Worksheet" sheetId="82" state="hidden" r:id="rId11"/>
    <sheet name="Settings" sheetId="81" state="veryHidden" r:id="rId12"/>
  </sheets>
  <definedNames>
    <definedName name="Date_Business_Segmentation">Settings!$C$8</definedName>
    <definedName name="Date_Current_Year">Settings!$C$6</definedName>
    <definedName name="Date_EOP_Current">Settings!$F$6</definedName>
    <definedName name="Date_EOP_Last">Settings!$F$7</definedName>
    <definedName name="Date_Payout_Ratio">Settings!$I$16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_EOP_Current">Settings!$I$9</definedName>
    <definedName name="Payout_Ratio_Lag">Settings!$F$9</definedName>
    <definedName name="_xlnm.Print_Area" localSheetId="1">'Company List'!$A$1:$D$53</definedName>
    <definedName name="_xlnm.Print_Area" localSheetId="0">Contents!$A$1:$D$53</definedName>
    <definedName name="Quarter_CY_Q1">Settings!$I$11</definedName>
    <definedName name="Quarter_CY_Q2">Settings!$I$12</definedName>
    <definedName name="Quarter_CY_Q3">Settings!$I$13</definedName>
    <definedName name="Quarter_CY_Q4">Settings!$I$14</definedName>
    <definedName name="Quarter_EOP_Current">Settings!$I$6</definedName>
    <definedName name="Quarter_EOP_Current_Full">Settings!$I$7</definedName>
    <definedName name="Settings_Columns_Hidden">Settings!$L$6</definedName>
    <definedName name="Settings_Sheets_Hidden">Settings!$L$8:$L$12</definedName>
    <definedName name="Settings_Sheets_VeryHidden">Settings!$L$14:$L$18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6" l="1"/>
  <c r="L38" i="6"/>
  <c r="E90" i="14" l="1"/>
  <c r="F89" i="14"/>
  <c r="F88" i="14"/>
  <c r="F87" i="14"/>
  <c r="F86" i="14"/>
  <c r="E89" i="14"/>
  <c r="E88" i="14"/>
  <c r="E87" i="14"/>
  <c r="E86" i="14"/>
  <c r="F90" i="14"/>
  <c r="I9" i="81"/>
  <c r="I6" i="81" s="1"/>
  <c r="I7" i="81" s="1"/>
  <c r="M4" i="79"/>
  <c r="W4" i="79" s="1"/>
  <c r="AG4" i="79" s="1"/>
  <c r="N4" i="79"/>
  <c r="O4" i="79"/>
  <c r="P4" i="79"/>
  <c r="Q4" i="79"/>
  <c r="R4" i="79"/>
  <c r="S4" i="79"/>
  <c r="T4" i="79"/>
  <c r="U4" i="79"/>
  <c r="M4" i="80"/>
  <c r="N4" i="80"/>
  <c r="O4" i="80"/>
  <c r="P4" i="80"/>
  <c r="Q4" i="80"/>
  <c r="R4" i="80"/>
  <c r="S4" i="80"/>
  <c r="T4" i="80"/>
  <c r="U4" i="80"/>
  <c r="Y7" i="3"/>
  <c r="B6" i="82"/>
  <c r="AC4" i="79" l="1"/>
  <c r="AM4" i="79" s="1"/>
  <c r="X4" i="80"/>
  <c r="AH4" i="80" s="1"/>
  <c r="AA4" i="80"/>
  <c r="AK4" i="80" s="1"/>
  <c r="Z4" i="79"/>
  <c r="AJ4" i="79" s="1"/>
  <c r="X4" i="79"/>
  <c r="AH4" i="79" s="1"/>
  <c r="AE4" i="79"/>
  <c r="AO4" i="79" s="1"/>
  <c r="AA4" i="79"/>
  <c r="AK4" i="79" s="1"/>
  <c r="AB4" i="80"/>
  <c r="AL4" i="80" s="1"/>
  <c r="AD4" i="80"/>
  <c r="AN4" i="80" s="1"/>
  <c r="Z4" i="80"/>
  <c r="AJ4" i="80" s="1"/>
  <c r="Y4" i="80"/>
  <c r="AI4" i="80" s="1"/>
  <c r="AD4" i="79"/>
  <c r="AN4" i="79" s="1"/>
  <c r="W4" i="80"/>
  <c r="AG4" i="80" s="1"/>
  <c r="AB4" i="79"/>
  <c r="AL4" i="79" s="1"/>
  <c r="Y4" i="79"/>
  <c r="AI4" i="79" s="1"/>
  <c r="AC4" i="80"/>
  <c r="AM4" i="80" s="1"/>
  <c r="AE4" i="80"/>
  <c r="AO4" i="80" s="1"/>
  <c r="AS4" i="79" l="1"/>
  <c r="AX4" i="79"/>
  <c r="AR4" i="79"/>
  <c r="AT4" i="79"/>
  <c r="AY4" i="79"/>
  <c r="AW4" i="80"/>
  <c r="AX4" i="80"/>
  <c r="AV4" i="80"/>
  <c r="AQ4" i="80"/>
  <c r="AR4" i="80"/>
  <c r="AT4" i="80"/>
  <c r="AS4" i="80"/>
  <c r="AU4" i="80"/>
  <c r="AV4" i="79"/>
  <c r="AY4" i="80"/>
  <c r="AQ4" i="79"/>
  <c r="AU4" i="79"/>
  <c r="AW4" i="79"/>
  <c r="C38" i="6"/>
  <c r="BE4" i="80" l="1"/>
  <c r="BF4" i="80"/>
  <c r="BG4" i="80"/>
  <c r="BH4" i="80"/>
  <c r="BA4" i="80"/>
  <c r="BI4" i="80"/>
  <c r="BB4" i="80"/>
  <c r="BC4" i="80"/>
  <c r="BD4" i="80"/>
  <c r="BB4" i="79"/>
  <c r="BC4" i="79"/>
  <c r="BD4" i="79"/>
  <c r="BE4" i="79"/>
  <c r="BF4" i="79"/>
  <c r="BG4" i="79"/>
  <c r="BH4" i="79"/>
  <c r="BA4" i="79"/>
  <c r="BI4" i="79"/>
  <c r="C61" i="14" l="1"/>
  <c r="C52" i="14"/>
  <c r="C3" i="78"/>
  <c r="C4" i="4"/>
  <c r="C20" i="78"/>
  <c r="C21" i="77"/>
  <c r="C4" i="77"/>
  <c r="I14" i="81"/>
  <c r="I13" i="81"/>
  <c r="C36" i="6" s="1"/>
  <c r="I12" i="81"/>
  <c r="C35" i="6" s="1"/>
  <c r="I11" i="81"/>
  <c r="C34" i="6" s="1"/>
  <c r="D86" i="14" l="1"/>
  <c r="D87" i="14"/>
  <c r="D88" i="14"/>
  <c r="C37" i="6"/>
  <c r="D89" i="14"/>
  <c r="I16" i="81"/>
  <c r="C55" i="14" l="1"/>
  <c r="C3" i="77"/>
  <c r="C10" i="3"/>
  <c r="C41" i="6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17" i="77"/>
  <c r="C17" i="77"/>
  <c r="D16" i="77"/>
  <c r="C16" i="77"/>
  <c r="D15" i="77"/>
  <c r="C15" i="77"/>
  <c r="D14" i="77"/>
  <c r="C14" i="77"/>
  <c r="D13" i="77"/>
  <c r="C13" i="77"/>
  <c r="D12" i="77"/>
  <c r="C12" i="77"/>
  <c r="D11" i="77"/>
  <c r="C11" i="77"/>
  <c r="D10" i="77"/>
  <c r="C10" i="77"/>
  <c r="D9" i="77"/>
  <c r="C9" i="77"/>
  <c r="B4" i="82" l="1"/>
  <c r="B7" i="14" l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J19" i="6"/>
  <c r="J18" i="6" l="1"/>
  <c r="J17" i="6"/>
  <c r="J16" i="6" l="1"/>
  <c r="J15" i="6"/>
  <c r="J14" i="6"/>
  <c r="J13" i="6"/>
  <c r="J12" i="6"/>
  <c r="J11" i="6"/>
  <c r="J10" i="6"/>
  <c r="J9" i="6"/>
  <c r="J8" i="6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F7" i="14"/>
  <c r="E77" i="14"/>
  <c r="E66" i="14"/>
  <c r="C4" i="82" s="1"/>
  <c r="F15" i="14"/>
  <c r="F25" i="14"/>
  <c r="F14" i="14"/>
  <c r="F40" i="14"/>
  <c r="F23" i="14"/>
  <c r="F19" i="14"/>
  <c r="F36" i="14"/>
  <c r="F41" i="14"/>
  <c r="F13" i="14"/>
  <c r="F11" i="14"/>
  <c r="F21" i="14"/>
  <c r="F28" i="14"/>
  <c r="F32" i="14"/>
  <c r="F20" i="14"/>
  <c r="E78" i="14"/>
  <c r="F33" i="14"/>
  <c r="F16" i="14"/>
  <c r="F24" i="14"/>
  <c r="F29" i="14"/>
  <c r="F8" i="14"/>
  <c r="F30" i="14"/>
  <c r="F17" i="14"/>
  <c r="F39" i="14"/>
  <c r="F44" i="14"/>
  <c r="F34" i="14"/>
  <c r="F10" i="14"/>
  <c r="F37" i="14"/>
  <c r="F27" i="14"/>
  <c r="F35" i="14"/>
  <c r="F18" i="14"/>
  <c r="F31" i="14"/>
  <c r="F12" i="14"/>
  <c r="F9" i="14"/>
  <c r="F26" i="14"/>
  <c r="F43" i="14"/>
  <c r="F22" i="14"/>
  <c r="F42" i="14"/>
  <c r="F38" i="14"/>
  <c r="L4" i="82"/>
  <c r="K4" i="82"/>
  <c r="E8" i="14"/>
  <c r="K8" i="14" s="1"/>
  <c r="E9" i="14"/>
  <c r="I9" i="14" s="1"/>
  <c r="E10" i="14"/>
  <c r="K10" i="14" s="1"/>
  <c r="E11" i="14"/>
  <c r="G11" i="14" s="1"/>
  <c r="E12" i="14"/>
  <c r="I12" i="14" s="1"/>
  <c r="E13" i="14"/>
  <c r="K13" i="14" s="1"/>
  <c r="E16" i="14"/>
  <c r="I16" i="14" s="1"/>
  <c r="E17" i="14"/>
  <c r="J17" i="14" s="1"/>
  <c r="E18" i="14"/>
  <c r="I18" i="14" s="1"/>
  <c r="E19" i="14"/>
  <c r="J19" i="14" s="1"/>
  <c r="E20" i="14"/>
  <c r="K20" i="14" s="1"/>
  <c r="E21" i="14"/>
  <c r="I21" i="14" s="1"/>
  <c r="E22" i="14"/>
  <c r="J22" i="14" s="1"/>
  <c r="E23" i="14"/>
  <c r="K23" i="14" s="1"/>
  <c r="E24" i="14"/>
  <c r="K24" i="14" s="1"/>
  <c r="E25" i="14"/>
  <c r="I25" i="14" s="1"/>
  <c r="E69" i="14"/>
  <c r="F4" i="82" s="1"/>
  <c r="E67" i="14"/>
  <c r="D4" i="82" s="1"/>
  <c r="E70" i="14"/>
  <c r="G4" i="82" s="1"/>
  <c r="E68" i="14"/>
  <c r="E4" i="82" s="1"/>
  <c r="E71" i="14"/>
  <c r="H4" i="82" s="1"/>
  <c r="E7" i="14"/>
  <c r="K7" i="14" s="1"/>
  <c r="E26" i="14"/>
  <c r="I26" i="14" s="1"/>
  <c r="E27" i="14"/>
  <c r="G27" i="14" s="1"/>
  <c r="E28" i="14"/>
  <c r="G28" i="14" s="1"/>
  <c r="E29" i="14"/>
  <c r="K29" i="14" s="1"/>
  <c r="E30" i="14"/>
  <c r="G30" i="14" s="1"/>
  <c r="E31" i="14"/>
  <c r="G31" i="14" s="1"/>
  <c r="E32" i="14"/>
  <c r="G32" i="14" s="1"/>
  <c r="E33" i="14"/>
  <c r="G33" i="14" s="1"/>
  <c r="E34" i="14"/>
  <c r="J34" i="14" s="1"/>
  <c r="E35" i="14"/>
  <c r="I35" i="14" s="1"/>
  <c r="E36" i="14"/>
  <c r="I36" i="14" s="1"/>
  <c r="E37" i="14"/>
  <c r="K37" i="14" s="1"/>
  <c r="E38" i="14"/>
  <c r="I38" i="14" s="1"/>
  <c r="E39" i="14"/>
  <c r="J39" i="14" s="1"/>
  <c r="E40" i="14"/>
  <c r="I40" i="14" s="1"/>
  <c r="E41" i="14"/>
  <c r="G41" i="14" s="1"/>
  <c r="E42" i="14"/>
  <c r="I42" i="14" s="1"/>
  <c r="E43" i="14"/>
  <c r="I43" i="14" s="1"/>
  <c r="E44" i="14"/>
  <c r="I44" i="14" s="1"/>
  <c r="E14" i="14"/>
  <c r="I14" i="14" s="1"/>
  <c r="E15" i="14"/>
  <c r="G15" i="14" s="1"/>
  <c r="K42" i="14" l="1"/>
  <c r="K12" i="14"/>
  <c r="K34" i="14"/>
  <c r="K15" i="14"/>
  <c r="K40" i="14"/>
  <c r="K32" i="14"/>
  <c r="K30" i="14"/>
  <c r="K26" i="14"/>
  <c r="K18" i="14"/>
  <c r="I22" i="14"/>
  <c r="H22" i="14" s="1"/>
  <c r="G36" i="14"/>
  <c r="G44" i="14"/>
  <c r="E79" i="14"/>
  <c r="D7" i="77" s="1"/>
  <c r="K22" i="14"/>
  <c r="G9" i="14"/>
  <c r="K38" i="14"/>
  <c r="J9" i="14"/>
  <c r="H9" i="14" s="1"/>
  <c r="G8" i="14"/>
  <c r="G25" i="14"/>
  <c r="J42" i="14"/>
  <c r="H42" i="14" s="1"/>
  <c r="K36" i="14"/>
  <c r="F46" i="14"/>
  <c r="J4" i="82" s="1"/>
  <c r="J21" i="14"/>
  <c r="H21" i="14" s="1"/>
  <c r="J32" i="14"/>
  <c r="G20" i="14"/>
  <c r="J18" i="14"/>
  <c r="H18" i="14" s="1"/>
  <c r="I30" i="14"/>
  <c r="I17" i="14"/>
  <c r="H17" i="14" s="1"/>
  <c r="K9" i="14"/>
  <c r="J31" i="14"/>
  <c r="G24" i="14"/>
  <c r="K44" i="14"/>
  <c r="K28" i="14"/>
  <c r="J28" i="14"/>
  <c r="G12" i="14"/>
  <c r="J13" i="14"/>
  <c r="J11" i="14"/>
  <c r="J27" i="14"/>
  <c r="G18" i="14"/>
  <c r="I31" i="14"/>
  <c r="J8" i="14"/>
  <c r="G42" i="14"/>
  <c r="J20" i="14"/>
  <c r="J24" i="14"/>
  <c r="G40" i="14"/>
  <c r="G38" i="14"/>
  <c r="J10" i="14"/>
  <c r="J23" i="14"/>
  <c r="J16" i="14"/>
  <c r="H16" i="14" s="1"/>
  <c r="E72" i="14"/>
  <c r="I4" i="82" s="1"/>
  <c r="I41" i="14"/>
  <c r="I13" i="14"/>
  <c r="I11" i="14"/>
  <c r="I27" i="14"/>
  <c r="I8" i="14"/>
  <c r="J26" i="14"/>
  <c r="H26" i="14" s="1"/>
  <c r="G37" i="14"/>
  <c r="I24" i="14"/>
  <c r="G43" i="14"/>
  <c r="J15" i="14"/>
  <c r="I10" i="14"/>
  <c r="I23" i="14"/>
  <c r="G16" i="14"/>
  <c r="I20" i="14"/>
  <c r="G10" i="14"/>
  <c r="K43" i="14"/>
  <c r="K39" i="14"/>
  <c r="K35" i="14"/>
  <c r="K31" i="14"/>
  <c r="K27" i="14"/>
  <c r="K25" i="14"/>
  <c r="K21" i="14"/>
  <c r="K17" i="14"/>
  <c r="K11" i="14"/>
  <c r="G26" i="14"/>
  <c r="J37" i="14"/>
  <c r="J43" i="14"/>
  <c r="H43" i="14" s="1"/>
  <c r="I15" i="14"/>
  <c r="J29" i="14"/>
  <c r="J44" i="14"/>
  <c r="H44" i="14" s="1"/>
  <c r="I39" i="14"/>
  <c r="H39" i="14" s="1"/>
  <c r="J7" i="14"/>
  <c r="G13" i="14"/>
  <c r="G17" i="14"/>
  <c r="G35" i="14"/>
  <c r="G39" i="14"/>
  <c r="I29" i="14"/>
  <c r="I34" i="14"/>
  <c r="H34" i="14" s="1"/>
  <c r="K16" i="14"/>
  <c r="G22" i="14"/>
  <c r="G14" i="14"/>
  <c r="G34" i="14"/>
  <c r="I28" i="14"/>
  <c r="J36" i="14"/>
  <c r="H36" i="14" s="1"/>
  <c r="I32" i="14"/>
  <c r="J35" i="14"/>
  <c r="H35" i="14" s="1"/>
  <c r="J12" i="14"/>
  <c r="H12" i="14" s="1"/>
  <c r="J25" i="14"/>
  <c r="H25" i="14" s="1"/>
  <c r="I37" i="14"/>
  <c r="I19" i="14"/>
  <c r="H19" i="14" s="1"/>
  <c r="G7" i="14"/>
  <c r="J33" i="14"/>
  <c r="J14" i="14"/>
  <c r="H14" i="14" s="1"/>
  <c r="G19" i="14"/>
  <c r="J30" i="14"/>
  <c r="J40" i="14"/>
  <c r="H40" i="14" s="1"/>
  <c r="J38" i="14"/>
  <c r="H38" i="14" s="1"/>
  <c r="G29" i="14"/>
  <c r="I7" i="14"/>
  <c r="I33" i="14"/>
  <c r="J41" i="14"/>
  <c r="G23" i="14"/>
  <c r="K14" i="14"/>
  <c r="K41" i="14"/>
  <c r="K33" i="14"/>
  <c r="K19" i="14"/>
  <c r="G21" i="14"/>
  <c r="H29" i="14" l="1"/>
  <c r="H37" i="14"/>
  <c r="H30" i="14"/>
  <c r="H33" i="14"/>
  <c r="H32" i="14"/>
  <c r="H10" i="14"/>
  <c r="H24" i="14"/>
  <c r="H15" i="14"/>
  <c r="H8" i="14"/>
  <c r="H27" i="14"/>
  <c r="Y8" i="3"/>
  <c r="J6" i="82"/>
  <c r="H31" i="14"/>
  <c r="H28" i="14"/>
  <c r="H7" i="14"/>
  <c r="H20" i="14"/>
  <c r="H11" i="14"/>
  <c r="H13" i="14"/>
  <c r="G46" i="14"/>
  <c r="H41" i="14"/>
  <c r="D8" i="4" l="1"/>
  <c r="D7" i="78"/>
</calcChain>
</file>

<file path=xl/sharedStrings.xml><?xml version="1.0" encoding="utf-8"?>
<sst xmlns="http://schemas.openxmlformats.org/spreadsheetml/2006/main" count="1041" uniqueCount="299">
  <si>
    <t>Dividend Payout Ratio</t>
  </si>
  <si>
    <t>Sector</t>
  </si>
  <si>
    <t>Technology</t>
  </si>
  <si>
    <t>Dividend Yield</t>
  </si>
  <si>
    <t>Category</t>
  </si>
  <si>
    <t>Company Name</t>
  </si>
  <si>
    <t>Ticker</t>
  </si>
  <si>
    <t>To</t>
  </si>
  <si>
    <t>From</t>
  </si>
  <si>
    <t>D</t>
  </si>
  <si>
    <t>Omitted</t>
  </si>
  <si>
    <t>ALLETE, Inc.</t>
  </si>
  <si>
    <t>ALE</t>
  </si>
  <si>
    <t>Alliant Energy Corporation</t>
  </si>
  <si>
    <t>LNT</t>
  </si>
  <si>
    <t>R</t>
  </si>
  <si>
    <t>AEE</t>
  </si>
  <si>
    <t>American Electric Power Company, Inc.</t>
  </si>
  <si>
    <t>AEP</t>
  </si>
  <si>
    <t>Avista Corporation</t>
  </si>
  <si>
    <t>AVA</t>
  </si>
  <si>
    <t>Black Hills Corporation</t>
  </si>
  <si>
    <t>BKH</t>
  </si>
  <si>
    <t>CenterPoint Energy, Inc.</t>
  </si>
  <si>
    <t>CNP</t>
  </si>
  <si>
    <t>CMS</t>
  </si>
  <si>
    <t>Consolidated Edison, Inc.</t>
  </si>
  <si>
    <t>ED</t>
  </si>
  <si>
    <t>DTE Energy Company</t>
  </si>
  <si>
    <t>DTE</t>
  </si>
  <si>
    <t>DUK</t>
  </si>
  <si>
    <t>EIX</t>
  </si>
  <si>
    <t>ETR</t>
  </si>
  <si>
    <t>Exelon Corporation</t>
  </si>
  <si>
    <t>EXC</t>
  </si>
  <si>
    <t>FE</t>
  </si>
  <si>
    <t>HE</t>
  </si>
  <si>
    <t>IDA</t>
  </si>
  <si>
    <t>MDU</t>
  </si>
  <si>
    <t>MGEE</t>
  </si>
  <si>
    <t>NI</t>
  </si>
  <si>
    <t>OGE Energy Corp.</t>
  </si>
  <si>
    <t>OGE</t>
  </si>
  <si>
    <t>OTTR</t>
  </si>
  <si>
    <t>PNW</t>
  </si>
  <si>
    <t>PPL Corporation</t>
  </si>
  <si>
    <t>PEG</t>
  </si>
  <si>
    <t>SRE</t>
  </si>
  <si>
    <t>SO</t>
  </si>
  <si>
    <t>UTL</t>
  </si>
  <si>
    <t>WEC</t>
  </si>
  <si>
    <t>XEL</t>
  </si>
  <si>
    <t>Industry Average</t>
  </si>
  <si>
    <t>Raised</t>
  </si>
  <si>
    <t>Lowered</t>
  </si>
  <si>
    <t>Total</t>
  </si>
  <si>
    <t>Ameren Corporation</t>
  </si>
  <si>
    <t>Last Action</t>
  </si>
  <si>
    <t>Portland General Electric Company</t>
  </si>
  <si>
    <t>POR</t>
  </si>
  <si>
    <t xml:space="preserve">Dividend Yield </t>
  </si>
  <si>
    <t>I. Sector Comparison, Dividend Payout Ratio</t>
  </si>
  <si>
    <t>II. Sector Comparison, Dividend Yield</t>
  </si>
  <si>
    <t>III. Dividend Patterns</t>
  </si>
  <si>
    <t>NOTES</t>
  </si>
  <si>
    <t>Financial</t>
  </si>
  <si>
    <t>EEI Index Companies</t>
  </si>
  <si>
    <t>VI. Dividends Summary</t>
  </si>
  <si>
    <t>CMS Energy Corporation</t>
  </si>
  <si>
    <t>Duke Energy Corporation</t>
  </si>
  <si>
    <t>Edison International</t>
  </si>
  <si>
    <t>Entergy Corporation</t>
  </si>
  <si>
    <t>FirstEnergy Corp.</t>
  </si>
  <si>
    <t>Hawaiian Electric Industries, Inc.</t>
  </si>
  <si>
    <t>IDACORP, Inc.</t>
  </si>
  <si>
    <t>MDU Resources Group, Inc.</t>
  </si>
  <si>
    <t>MGE Energy, Inc.</t>
  </si>
  <si>
    <t>NiSource Inc.</t>
  </si>
  <si>
    <t>NWE</t>
  </si>
  <si>
    <t>Otter Tail Corporation</t>
  </si>
  <si>
    <t>PG&amp;E Corporation</t>
  </si>
  <si>
    <t>Pinnacle West Capital Corporation</t>
  </si>
  <si>
    <t>PPL</t>
  </si>
  <si>
    <t>Southern Company</t>
  </si>
  <si>
    <t>Unitil Corporation</t>
  </si>
  <si>
    <t xml:space="preserve">Dividend Per Share </t>
  </si>
  <si>
    <t>"NM" applies to companies with negative earnings or payout ratios greater than 200%.</t>
  </si>
  <si>
    <t>Consumer Discretionary</t>
  </si>
  <si>
    <t>Consumer Staples</t>
  </si>
  <si>
    <t>Energy</t>
  </si>
  <si>
    <t>Health Care</t>
  </si>
  <si>
    <t>Industrial</t>
  </si>
  <si>
    <t>Materials</t>
  </si>
  <si>
    <t>Utilities</t>
  </si>
  <si>
    <t>Xcel Energy Inc.</t>
  </si>
  <si>
    <t>Payout Ratio</t>
  </si>
  <si>
    <t>Dividend
Yield</t>
  </si>
  <si>
    <t>Dividend Payout Ratio:  Last Twelve Months</t>
  </si>
  <si>
    <t>PCG</t>
  </si>
  <si>
    <t>EEI Index Companies*</t>
  </si>
  <si>
    <t>Annual Dividend Rate</t>
  </si>
  <si>
    <t>NextEra Energy, Inc.</t>
  </si>
  <si>
    <t>NEE</t>
  </si>
  <si>
    <t>For more information on constituents of each S&amp;P sector, see http://www.sectorspdr.com/.</t>
  </si>
  <si>
    <t>Share Price</t>
  </si>
  <si>
    <t>Direction</t>
  </si>
  <si>
    <t>Date</t>
  </si>
  <si>
    <t>Announced</t>
  </si>
  <si>
    <t>XLY</t>
  </si>
  <si>
    <t>XLU</t>
  </si>
  <si>
    <t>XLP</t>
  </si>
  <si>
    <t>XLE</t>
  </si>
  <si>
    <t>XLF</t>
  </si>
  <si>
    <t>XLV</t>
  </si>
  <si>
    <t>XLI</t>
  </si>
  <si>
    <t>XLB</t>
  </si>
  <si>
    <t>XLK</t>
  </si>
  <si>
    <t>* For this table, EEI (1) sums dividends and (2) sums earnings of all index companies and then (3) divides to determine the comparable DPR.</t>
  </si>
  <si>
    <t>1. EEI Index Companies payout ratio based on LTM common dividends paid and income before nonrecurring and extraordinary items.</t>
  </si>
  <si>
    <t>Assumptions:</t>
  </si>
  <si>
    <t>Dividends</t>
  </si>
  <si>
    <t>Mark Agnew</t>
  </si>
  <si>
    <t>magnew@eei.org</t>
  </si>
  <si>
    <t>Financial Analysis Contacts</t>
  </si>
  <si>
    <t>Contents</t>
  </si>
  <si>
    <t>202-508-5049</t>
  </si>
  <si>
    <t>Edison Electric Institute (EEI)</t>
  </si>
  <si>
    <t>Additional Internet Resources</t>
  </si>
  <si>
    <t>Sector Yield</t>
  </si>
  <si>
    <t>Sector Payout Ratio</t>
  </si>
  <si>
    <t>Dividend Summary</t>
  </si>
  <si>
    <t>No
Change</t>
  </si>
  <si>
    <t>Count</t>
  </si>
  <si>
    <t>Not
Paying</t>
  </si>
  <si>
    <t>Re-
instated</t>
  </si>
  <si>
    <t>Go to Contents</t>
  </si>
  <si>
    <t>Settings</t>
  </si>
  <si>
    <t>Re-instated</t>
  </si>
  <si>
    <t>Action</t>
  </si>
  <si>
    <t>Text</t>
  </si>
  <si>
    <t>Dividend Policy Action</t>
  </si>
  <si>
    <t>Payout Ratio Calculation - Weighted</t>
  </si>
  <si>
    <t>LTM</t>
  </si>
  <si>
    <t>Div Paid</t>
  </si>
  <si>
    <t>Income</t>
  </si>
  <si>
    <t/>
  </si>
  <si>
    <t>Average Dividend Change</t>
  </si>
  <si>
    <t>Periods</t>
  </si>
  <si>
    <t>Average</t>
  </si>
  <si>
    <t>Increase</t>
  </si>
  <si>
    <t>Decrease</t>
  </si>
  <si>
    <t>Average Movement</t>
  </si>
  <si>
    <t xml:space="preserve">While net income is after-tax, nonrecurring and extraordinary items are pre-tax, as there is no consistent method of gathering these items on a tax adjusted basis under </t>
  </si>
  <si>
    <t>current reporting guidelines. On an individual company basis, the Payout Ratio in the table could differ slightly from what is reported directly by the company.</t>
  </si>
  <si>
    <t>Quarterly Report of the U.S. Investor-Owned Electric Utility Industry</t>
  </si>
  <si>
    <t>Companies Listed by Business Segmentation Category</t>
  </si>
  <si>
    <t>DPL Inc. *</t>
  </si>
  <si>
    <t>IPALCO Enterprises, Inc. *</t>
  </si>
  <si>
    <t>Puget Energy, Inc. *</t>
  </si>
  <si>
    <t>Note:  * Non-publicly traded companies</t>
  </si>
  <si>
    <t>Berkshire Hathaway Energy *</t>
  </si>
  <si>
    <t>Eversource Energy</t>
  </si>
  <si>
    <t>ES</t>
  </si>
  <si>
    <t>WEC Energy Group, Inc.</t>
  </si>
  <si>
    <t xml:space="preserve">WEC Energy Group, Inc. </t>
  </si>
  <si>
    <t>Cleco Corporation *</t>
  </si>
  <si>
    <t>Source:  S&amp;P Global Market Intelligence and EEI Finance Department</t>
  </si>
  <si>
    <t>Source:  S&amp;P Global Market Intelligence, company reports, and EEI Finance Department</t>
  </si>
  <si>
    <t>-</t>
  </si>
  <si>
    <t>U.S. Investor-Owned Electric Utilities</t>
  </si>
  <si>
    <t xml:space="preserve">https://www.etfrc.com/articles/ </t>
  </si>
  <si>
    <t>Dominion Energy, Inc.</t>
  </si>
  <si>
    <t>Evergy, Inc.</t>
  </si>
  <si>
    <t>EVRG</t>
  </si>
  <si>
    <t xml:space="preserve">Dividends Patterns table captures all actions taken in isolation in each quarter (i.e., may include more than one action per company). </t>
  </si>
  <si>
    <t>Average includes only the most recent action taken by each company in the calendar year (i.e., limited to one action per company), whereas the</t>
  </si>
  <si>
    <t>é</t>
  </si>
  <si>
    <t>Daniel Foy</t>
  </si>
  <si>
    <t>Director, Financial Analysis</t>
  </si>
  <si>
    <t>dfoy@eei.org</t>
  </si>
  <si>
    <t>202-508-5970</t>
  </si>
  <si>
    <t>INITIAL RANK</t>
  </si>
  <si>
    <t>TIE COUNT</t>
  </si>
  <si>
    <t>RE-RANK</t>
  </si>
  <si>
    <t>TRUE RANK</t>
  </si>
  <si>
    <t>MATCH</t>
  </si>
  <si>
    <t>Source: AltaVista Research, S&amp;P Global Market Intelligence, and EEI Finance Department</t>
  </si>
  <si>
    <t>Dividend Patterns</t>
  </si>
  <si>
    <t>Eric Yang</t>
  </si>
  <si>
    <t>Senior Financial Analyst</t>
  </si>
  <si>
    <t>202-508-5529</t>
  </si>
  <si>
    <t>eyang@eei.org</t>
  </si>
  <si>
    <t>Date_EOP_Current</t>
  </si>
  <si>
    <t>Date_EOP_Last</t>
  </si>
  <si>
    <t>Named Ranges</t>
  </si>
  <si>
    <t>INPUTS (Update Q1 Only)</t>
  </si>
  <si>
    <t>INPUTS (Update Every Quarter)</t>
  </si>
  <si>
    <t>Formulas (Do Not Change)</t>
  </si>
  <si>
    <t>Date_Current_Year</t>
  </si>
  <si>
    <t>Quarter_EOP_Current</t>
  </si>
  <si>
    <r>
      <t xml:space="preserve">Settings_Columns_Hidden </t>
    </r>
    <r>
      <rPr>
        <b/>
        <vertAlign val="superscript"/>
        <sz val="10"/>
        <rFont val="Calibri"/>
        <family val="2"/>
        <scheme val="minor"/>
      </rPr>
      <t>1</t>
    </r>
  </si>
  <si>
    <t>Quarter_EOP_Current_Full</t>
  </si>
  <si>
    <r>
      <t xml:space="preserve">Settings_Sheets_Hidden </t>
    </r>
    <r>
      <rPr>
        <b/>
        <vertAlign val="superscript"/>
        <sz val="10"/>
        <rFont val="Calibri"/>
        <family val="2"/>
        <scheme val="minor"/>
      </rPr>
      <t>1</t>
    </r>
  </si>
  <si>
    <t>SPDR Payout</t>
  </si>
  <si>
    <t>Month_EOP_Current</t>
  </si>
  <si>
    <t>SPDR Yield</t>
  </si>
  <si>
    <t>Date_Payout_Ratio</t>
  </si>
  <si>
    <r>
      <t xml:space="preserve">Settings_Sheets_VeryHidden </t>
    </r>
    <r>
      <rPr>
        <b/>
        <vertAlign val="superscript"/>
        <sz val="10"/>
        <rFont val="Calibri"/>
        <family val="2"/>
        <scheme val="minor"/>
      </rPr>
      <t>1</t>
    </r>
  </si>
  <si>
    <t>Payout_Ratio_Lag?</t>
  </si>
  <si>
    <r>
      <t xml:space="preserve">
</t>
    </r>
    <r>
      <rPr>
        <b/>
        <sz val="9"/>
        <rFont val="Calibri"/>
        <family val="2"/>
        <scheme val="minor"/>
      </rPr>
      <t>Payout_Ratio_Lag:</t>
    </r>
    <r>
      <rPr>
        <sz val="9"/>
        <rFont val="Calibri"/>
        <family val="2"/>
        <scheme val="minor"/>
      </rPr>
      <t xml:space="preserve">
Q4 in January = YES
Q4 for FINREV in March after SEC Filings Available = NO
Q1 in April = YES
Q2 in July = YES
Q3 in October = YES
</t>
    </r>
  </si>
  <si>
    <t>Quarter_CY_Q1</t>
  </si>
  <si>
    <t>Quarter_CY_Q2</t>
  </si>
  <si>
    <t>Quarter_CY_Q3</t>
  </si>
  <si>
    <t>Quarter_CY_Q4</t>
  </si>
  <si>
    <t>* Average of all companies paying dividend.</t>
  </si>
  <si>
    <t>Source: S&amp;P Global Market Intelligence, company reports and EEI Finance Department</t>
  </si>
  <si>
    <t>Date_Business_Segmentation</t>
  </si>
  <si>
    <t>Current</t>
  </si>
  <si>
    <t>No Change</t>
  </si>
  <si>
    <t>Not Paying</t>
  </si>
  <si>
    <t>Rate</t>
  </si>
  <si>
    <t>Ratio</t>
  </si>
  <si>
    <t>Q</t>
  </si>
  <si>
    <t>R  ↑</t>
  </si>
  <si>
    <t>L  ↓</t>
  </si>
  <si>
    <t>Q4 Avg Move (%)</t>
  </si>
  <si>
    <t>Q3 Avg Move (%)</t>
  </si>
  <si>
    <t>Q2 Avg Move (%)</t>
  </si>
  <si>
    <t>Q1 Avg Move (%)</t>
  </si>
  <si>
    <t>Values from Previous Q</t>
  </si>
  <si>
    <t>Payout
Ratio</t>
  </si>
  <si>
    <t>Payout 
Ratio*</t>
  </si>
  <si>
    <t>↑</t>
  </si>
  <si>
    <t>Clear values when starting new year (Q1 Update Only)</t>
  </si>
  <si>
    <t>Patterns Worksheet</t>
  </si>
  <si>
    <t>Price</t>
  </si>
  <si>
    <t>Skip Communication Services and Real Estate Funds</t>
  </si>
  <si>
    <t>❷ Paste values here from Q4 Values file "Annual Summary" sheet (Q4 Update Only)</t>
  </si>
  <si>
    <t>RAISED</t>
  </si>
  <si>
    <t>NO CHANGE</t>
  </si>
  <si>
    <t>LOWERED</t>
  </si>
  <si>
    <t>OMITTED</t>
  </si>
  <si>
    <t>RE-INSTATED</t>
  </si>
  <si>
    <t>NOT PAYING</t>
  </si>
  <si>
    <t>TOTAL</t>
  </si>
  <si>
    <t>PAYOUT</t>
  </si>
  <si>
    <t>INCREASE</t>
  </si>
  <si>
    <t>DECREASE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</si>
  <si>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LISTS MUST CONTAIN UNIQUE VALUES</t>
    </r>
  </si>
  <si>
    <t>2023 Q4</t>
  </si>
  <si>
    <t>2022 Q1</t>
  </si>
  <si>
    <t>Sample:</t>
  </si>
  <si>
    <t>2024 Q3</t>
  </si>
  <si>
    <t>TXNM Energy Inc.</t>
  </si>
  <si>
    <t>TXNM</t>
  </si>
  <si>
    <t>2024 Q4</t>
  </si>
  <si>
    <t>For purposes of calculating the average dividend increase, individual company results that are equal to or greater than 50% are excluded.</t>
  </si>
  <si>
    <t>2025</t>
  </si>
  <si>
    <t>Yes</t>
  </si>
  <si>
    <t>V. Dividend Yield</t>
  </si>
  <si>
    <t>IV. Dividend Payout Ratio</t>
  </si>
  <si>
    <t>QFUSupport.xlam</t>
  </si>
  <si>
    <t>Dividend 
Rate</t>
  </si>
  <si>
    <t xml:space="preserve">I. </t>
  </si>
  <si>
    <t xml:space="preserve">II. </t>
  </si>
  <si>
    <t xml:space="preserve">III. </t>
  </si>
  <si>
    <t xml:space="preserve">IV. </t>
  </si>
  <si>
    <t xml:space="preserve">V. </t>
  </si>
  <si>
    <t xml:space="preserve">VI. </t>
  </si>
  <si>
    <t>Senior Director, Financial Analysis</t>
  </si>
  <si>
    <t>American Electric Power Co, Inc.</t>
  </si>
  <si>
    <t>FirstEnergy Corporation</t>
  </si>
  <si>
    <t>OGE Energy Corporation</t>
  </si>
  <si>
    <t>Public Service Enterprise Group Inc.</t>
  </si>
  <si>
    <t>Sempra</t>
  </si>
  <si>
    <t>TXNM Energy, Inc.</t>
  </si>
  <si>
    <t>Category Definitions:</t>
  </si>
  <si>
    <t xml:space="preserve">Regulated: 80% or more of total </t>
  </si>
  <si>
    <t>assets are regulated</t>
  </si>
  <si>
    <t>Mostly Regulated: Less than 80%</t>
  </si>
  <si>
    <t xml:space="preserve">of total assets are regulated </t>
  </si>
  <si>
    <t>Mostly Regulated (4 of 43)</t>
  </si>
  <si>
    <t>Based on assets as of 12/31/2024</t>
  </si>
  <si>
    <t>Contents!E:XFD</t>
  </si>
  <si>
    <t>Regulated (39 of 43)</t>
  </si>
  <si>
    <t>NorthWestern Energy Group</t>
  </si>
  <si>
    <t>NC</t>
  </si>
  <si>
    <t>L</t>
  </si>
  <si>
    <t>O</t>
  </si>
  <si>
    <t>RE</t>
  </si>
  <si>
    <t>NP</t>
  </si>
  <si>
    <t>Row</t>
  </si>
  <si>
    <t>2025 Q3</t>
  </si>
  <si>
    <t>2025 Q1</t>
  </si>
  <si>
    <t>2025 Q2</t>
  </si>
  <si>
    <t>NorthWestern Energy Group, Inc.</t>
  </si>
  <si>
    <t>←  ❶ Copy this quarterly total as values to matching quarter on "Dividend Patterns" sheet in this workbook (Q1 Q2 Q3 Q4)</t>
  </si>
  <si>
    <t>←  ❸ Copy this annual total as values to annual total line on "Dividend Patterns" sheet in this workbook (Q4 Update Only)</t>
  </si>
  <si>
    <t>Dividends 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</si>
</sst>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0.0%_);\(0.0%\);0.0%_);@_%_)"/>
    <numFmt numFmtId="168" formatCode="0.0%;;;@_%"/>
    <numFmt numFmtId="169" formatCode="[$-409]mmm\-yy;@"/>
    <numFmt numFmtId="170" formatCode="&quot;$&quot;#,##0.00"/>
    <numFmt numFmtId="171" formatCode="0.0000%_);\(0.0000%\);0.0000%_);@_%_)"/>
    <numFmt numFmtId="172" formatCode="0.0000000000000000%"/>
    <numFmt numFmtId="173" formatCode="0.00%_);\(0.00%\);0.00%_);@_%_)"/>
  </numFmts>
  <fonts count="54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9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u/>
      <sz val="8.5"/>
      <color theme="10"/>
      <name val="Arial"/>
      <family val="2"/>
    </font>
    <font>
      <b/>
      <sz val="12"/>
      <color theme="0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b/>
      <sz val="14"/>
      <color rgb="FF104985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A6A6A6"/>
      <name val="Calibri"/>
      <family val="2"/>
    </font>
    <font>
      <i/>
      <u/>
      <sz val="9"/>
      <name val="Calibri"/>
      <family val="2"/>
    </font>
    <font>
      <sz val="10"/>
      <color rgb="FF0070C0"/>
      <name val="Calibri"/>
      <family val="2"/>
    </font>
    <font>
      <sz val="10"/>
      <color rgb="FFBFBFBF"/>
      <name val="Calibri"/>
      <family val="2"/>
    </font>
    <font>
      <b/>
      <sz val="10"/>
      <color theme="0"/>
      <name val="Calibri"/>
      <family val="2"/>
    </font>
    <font>
      <sz val="8"/>
      <name val="Calibri"/>
      <family val="2"/>
    </font>
    <font>
      <b/>
      <sz val="10"/>
      <color rgb="FF0070C0"/>
      <name val="Calibri"/>
      <family val="2"/>
    </font>
    <font>
      <u/>
      <sz val="10"/>
      <color theme="10"/>
      <name val="Calibri"/>
      <family val="2"/>
    </font>
    <font>
      <b/>
      <vertAlign val="superscript"/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rgb="FF345680"/>
      <name val="Calibri"/>
      <family val="2"/>
    </font>
    <font>
      <b/>
      <sz val="10"/>
      <color rgb="FF345680"/>
      <name val="Calibri"/>
      <family val="2"/>
    </font>
    <font>
      <b/>
      <sz val="12"/>
      <color theme="0"/>
      <name val="Calibri"/>
      <family val="2"/>
    </font>
    <font>
      <b/>
      <sz val="8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Arial"/>
      <family val="2"/>
    </font>
    <font>
      <b/>
      <sz val="14"/>
      <color theme="0"/>
      <name val="Calibri"/>
      <family val="2"/>
    </font>
    <font>
      <i/>
      <sz val="10"/>
      <color theme="0"/>
      <name val="Calibri"/>
      <family val="2"/>
    </font>
    <font>
      <sz val="8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4D74"/>
        <bgColor indexed="64"/>
      </patternFill>
    </fill>
    <fill>
      <patternFill patternType="solid">
        <fgColor rgb="FF1049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4568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</borders>
  <cellStyleXfs count="3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9" fontId="3" fillId="0" borderId="0"/>
    <xf numFmtId="0" fontId="3" fillId="0" borderId="0"/>
    <xf numFmtId="43" fontId="2" fillId="0" borderId="0" applyFont="0" applyFill="0" applyBorder="0" applyAlignment="0" applyProtection="0"/>
    <xf numFmtId="16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/>
    <xf numFmtId="0" fontId="1" fillId="0" borderId="0"/>
    <xf numFmtId="0" fontId="50" fillId="0" borderId="0" applyNumberFormat="0" applyFill="0" applyBorder="0" applyAlignment="0" applyProtection="0"/>
  </cellStyleXfs>
  <cellXfs count="293">
    <xf numFmtId="0" fontId="0" fillId="0" borderId="0" xfId="0"/>
    <xf numFmtId="0" fontId="9" fillId="0" borderId="0" xfId="0" applyFont="1" applyAlignment="1">
      <alignment vertical="center"/>
    </xf>
    <xf numFmtId="169" fontId="1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9" fontId="18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0" borderId="0" xfId="1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164" fontId="9" fillId="0" borderId="0" xfId="8" applyNumberFormat="1" applyFont="1" applyAlignment="1">
      <alignment vertical="center"/>
    </xf>
    <xf numFmtId="0" fontId="3" fillId="0" borderId="0" xfId="8" applyAlignment="1">
      <alignment horizontal="center" vertical="center"/>
    </xf>
    <xf numFmtId="0" fontId="9" fillId="0" borderId="16" xfId="8" applyFont="1" applyBorder="1" applyAlignment="1">
      <alignment vertical="center"/>
    </xf>
    <xf numFmtId="0" fontId="9" fillId="0" borderId="16" xfId="8" applyFont="1" applyBorder="1" applyAlignment="1">
      <alignment horizontal="center" vertical="center"/>
    </xf>
    <xf numFmtId="164" fontId="9" fillId="0" borderId="16" xfId="12" applyNumberFormat="1" applyFont="1" applyFill="1" applyBorder="1" applyAlignment="1">
      <alignment horizontal="right" vertical="center" indent="1"/>
    </xf>
    <xf numFmtId="0" fontId="7" fillId="0" borderId="18" xfId="8" applyFont="1" applyBorder="1" applyAlignment="1">
      <alignment horizontal="center" vertical="center"/>
    </xf>
    <xf numFmtId="0" fontId="9" fillId="0" borderId="21" xfId="8" applyFont="1" applyBorder="1" applyAlignment="1">
      <alignment vertical="center"/>
    </xf>
    <xf numFmtId="0" fontId="9" fillId="0" borderId="21" xfId="8" applyFont="1" applyBorder="1" applyAlignment="1">
      <alignment horizontal="center" vertical="center"/>
    </xf>
    <xf numFmtId="164" fontId="9" fillId="0" borderId="21" xfId="12" applyNumberFormat="1" applyFont="1" applyFill="1" applyBorder="1" applyAlignment="1">
      <alignment horizontal="right" vertical="center" indent="1"/>
    </xf>
    <xf numFmtId="0" fontId="7" fillId="0" borderId="23" xfId="8" applyFont="1" applyBorder="1" applyAlignment="1">
      <alignment horizontal="center" vertical="center"/>
    </xf>
    <xf numFmtId="164" fontId="12" fillId="0" borderId="0" xfId="12" applyNumberFormat="1" applyFont="1" applyAlignment="1">
      <alignment vertical="center"/>
    </xf>
    <xf numFmtId="0" fontId="12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12" fillId="4" borderId="3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41" fontId="22" fillId="0" borderId="5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horizontal="right" vertical="center"/>
    </xf>
    <xf numFmtId="168" fontId="22" fillId="0" borderId="5" xfId="0" applyNumberFormat="1" applyFont="1" applyBorder="1" applyAlignment="1">
      <alignment horizontal="right" vertical="center"/>
    </xf>
    <xf numFmtId="169" fontId="27" fillId="0" borderId="0" xfId="0" applyNumberFormat="1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1" fontId="12" fillId="0" borderId="29" xfId="0" applyNumberFormat="1" applyFont="1" applyBorder="1" applyAlignment="1">
      <alignment horizontal="right" vertical="center"/>
    </xf>
    <xf numFmtId="41" fontId="22" fillId="0" borderId="29" xfId="0" applyNumberFormat="1" applyFont="1" applyBorder="1" applyAlignment="1">
      <alignment horizontal="right" vertical="center"/>
    </xf>
    <xf numFmtId="1" fontId="12" fillId="0" borderId="7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168" fontId="22" fillId="0" borderId="29" xfId="0" applyNumberFormat="1" applyFont="1" applyBorder="1" applyAlignment="1">
      <alignment horizontal="right" vertical="center"/>
    </xf>
    <xf numFmtId="0" fontId="12" fillId="2" borderId="3" xfId="8" applyFont="1" applyFill="1" applyBorder="1" applyAlignment="1">
      <alignment horizontal="right" vertical="center"/>
    </xf>
    <xf numFmtId="0" fontId="12" fillId="2" borderId="3" xfId="8" applyFont="1" applyFill="1" applyBorder="1" applyAlignment="1">
      <alignment horizontal="left" vertical="center"/>
    </xf>
    <xf numFmtId="0" fontId="12" fillId="0" borderId="30" xfId="8" applyFont="1" applyBorder="1" applyAlignment="1">
      <alignment horizontal="left" vertical="center" indent="1"/>
    </xf>
    <xf numFmtId="3" fontId="9" fillId="0" borderId="30" xfId="8" applyNumberFormat="1" applyFont="1" applyBorder="1" applyAlignment="1">
      <alignment vertical="center"/>
    </xf>
    <xf numFmtId="0" fontId="12" fillId="0" borderId="2" xfId="8" applyFont="1" applyBorder="1" applyAlignment="1">
      <alignment horizontal="left" vertical="center" indent="1"/>
    </xf>
    <xf numFmtId="3" fontId="9" fillId="0" borderId="2" xfId="8" applyNumberFormat="1" applyFont="1" applyBorder="1" applyAlignment="1">
      <alignment vertical="center"/>
    </xf>
    <xf numFmtId="0" fontId="12" fillId="0" borderId="31" xfId="8" applyFont="1" applyBorder="1" applyAlignment="1">
      <alignment horizontal="left" vertical="center" indent="1"/>
    </xf>
    <xf numFmtId="3" fontId="9" fillId="0" borderId="31" xfId="8" applyNumberFormat="1" applyFont="1" applyBorder="1" applyAlignment="1">
      <alignment vertical="center"/>
    </xf>
    <xf numFmtId="0" fontId="12" fillId="0" borderId="31" xfId="8" applyFont="1" applyBorder="1" applyAlignment="1">
      <alignment horizontal="left" vertical="center"/>
    </xf>
    <xf numFmtId="164" fontId="9" fillId="0" borderId="31" xfId="10" applyNumberFormat="1" applyFont="1" applyBorder="1" applyAlignment="1">
      <alignment vertical="center"/>
    </xf>
    <xf numFmtId="0" fontId="20" fillId="0" borderId="0" xfId="8" applyFont="1" applyAlignment="1">
      <alignment horizontal="center" vertical="center"/>
    </xf>
    <xf numFmtId="10" fontId="9" fillId="0" borderId="2" xfId="10" applyNumberFormat="1" applyFont="1" applyBorder="1" applyAlignment="1">
      <alignment horizontal="right" vertical="center"/>
    </xf>
    <xf numFmtId="10" fontId="9" fillId="0" borderId="31" xfId="10" applyNumberFormat="1" applyFont="1" applyBorder="1" applyAlignment="1">
      <alignment horizontal="right" vertical="center"/>
    </xf>
    <xf numFmtId="10" fontId="12" fillId="0" borderId="0" xfId="10" applyNumberFormat="1" applyFont="1" applyBorder="1" applyAlignment="1">
      <alignment horizontal="right" vertical="center"/>
    </xf>
    <xf numFmtId="164" fontId="12" fillId="0" borderId="0" xfId="8" applyNumberFormat="1" applyFont="1" applyAlignment="1">
      <alignment vertical="center"/>
    </xf>
    <xf numFmtId="167" fontId="22" fillId="0" borderId="5" xfId="10" applyNumberFormat="1" applyFont="1" applyFill="1" applyBorder="1" applyAlignment="1">
      <alignment horizontal="right" vertical="center"/>
    </xf>
    <xf numFmtId="165" fontId="22" fillId="0" borderId="3" xfId="0" applyNumberFormat="1" applyFont="1" applyBorder="1" applyAlignment="1">
      <alignment horizontal="right" vertical="center"/>
    </xf>
    <xf numFmtId="165" fontId="22" fillId="0" borderId="3" xfId="1" applyNumberFormat="1" applyFont="1" applyFill="1" applyBorder="1" applyAlignment="1">
      <alignment horizontal="right" vertical="center"/>
    </xf>
    <xf numFmtId="167" fontId="22" fillId="0" borderId="29" xfId="10" applyNumberFormat="1" applyFont="1" applyFill="1" applyBorder="1" applyAlignment="1">
      <alignment horizontal="right" vertical="center"/>
    </xf>
    <xf numFmtId="41" fontId="22" fillId="0" borderId="7" xfId="0" applyNumberFormat="1" applyFont="1" applyBorder="1" applyAlignment="1">
      <alignment horizontal="right" vertical="center"/>
    </xf>
    <xf numFmtId="168" fontId="22" fillId="0" borderId="7" xfId="0" applyNumberFormat="1" applyFont="1" applyBorder="1" applyAlignment="1">
      <alignment horizontal="right" vertical="center"/>
    </xf>
    <xf numFmtId="167" fontId="22" fillId="0" borderId="7" xfId="10" applyNumberFormat="1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0" xfId="21" applyFont="1" applyAlignment="1">
      <alignment vertical="center"/>
    </xf>
    <xf numFmtId="164" fontId="9" fillId="0" borderId="0" xfId="21" applyNumberFormat="1" applyFont="1" applyAlignment="1">
      <alignment vertical="center"/>
    </xf>
    <xf numFmtId="0" fontId="9" fillId="0" borderId="33" xfId="8" applyFont="1" applyBorder="1" applyAlignment="1">
      <alignment vertical="center"/>
    </xf>
    <xf numFmtId="0" fontId="9" fillId="0" borderId="33" xfId="8" applyFont="1" applyBorder="1" applyAlignment="1">
      <alignment horizontal="center" vertical="center"/>
    </xf>
    <xf numFmtId="164" fontId="9" fillId="0" borderId="33" xfId="12" applyNumberFormat="1" applyFont="1" applyFill="1" applyBorder="1" applyAlignment="1">
      <alignment horizontal="right" vertical="center" indent="1"/>
    </xf>
    <xf numFmtId="0" fontId="7" fillId="0" borderId="35" xfId="8" applyFont="1" applyBorder="1" applyAlignment="1">
      <alignment horizontal="center" vertical="center"/>
    </xf>
    <xf numFmtId="0" fontId="28" fillId="0" borderId="0" xfId="8" applyFont="1" applyAlignment="1">
      <alignment horizontal="center" vertical="center"/>
    </xf>
    <xf numFmtId="0" fontId="28" fillId="0" borderId="0" xfId="8" applyFont="1" applyAlignment="1">
      <alignment vertical="center"/>
    </xf>
    <xf numFmtId="0" fontId="29" fillId="0" borderId="0" xfId="8" applyFont="1" applyAlignment="1">
      <alignment horizontal="center" vertical="center"/>
    </xf>
    <xf numFmtId="0" fontId="29" fillId="0" borderId="0" xfId="8" applyFont="1" applyAlignment="1">
      <alignment vertical="center"/>
    </xf>
    <xf numFmtId="0" fontId="29" fillId="0" borderId="0" xfId="21" applyFont="1" applyAlignment="1">
      <alignment vertical="center"/>
    </xf>
    <xf numFmtId="0" fontId="28" fillId="0" borderId="0" xfId="21" applyFont="1" applyAlignment="1">
      <alignment horizontal="center" vertical="center"/>
    </xf>
    <xf numFmtId="0" fontId="29" fillId="0" borderId="0" xfId="21" applyFont="1" applyAlignment="1">
      <alignment horizontal="center" vertical="center"/>
    </xf>
    <xf numFmtId="0" fontId="35" fillId="0" borderId="0" xfId="21" applyFont="1" applyAlignment="1">
      <alignment horizontal="center" vertical="center"/>
    </xf>
    <xf numFmtId="165" fontId="36" fillId="0" borderId="0" xfId="21" applyNumberFormat="1" applyFont="1" applyAlignment="1">
      <alignment horizontal="center" vertical="center"/>
    </xf>
    <xf numFmtId="0" fontId="29" fillId="2" borderId="9" xfId="21" applyFont="1" applyFill="1" applyBorder="1" applyAlignment="1">
      <alignment horizontal="center" vertical="center"/>
    </xf>
    <xf numFmtId="165" fontId="29" fillId="2" borderId="9" xfId="21" applyNumberFormat="1" applyFont="1" applyFill="1" applyBorder="1" applyAlignment="1">
      <alignment horizontal="center" vertical="center"/>
    </xf>
    <xf numFmtId="1" fontId="29" fillId="2" borderId="9" xfId="21" applyNumberFormat="1" applyFont="1" applyFill="1" applyBorder="1" applyAlignment="1">
      <alignment horizontal="center" vertical="center"/>
    </xf>
    <xf numFmtId="0" fontId="37" fillId="0" borderId="0" xfId="14" applyFont="1" applyFill="1" applyAlignment="1" applyProtection="1">
      <alignment horizontal="left" vertical="center"/>
    </xf>
    <xf numFmtId="0" fontId="29" fillId="0" borderId="2" xfId="21" applyFont="1" applyBorder="1" applyAlignment="1">
      <alignment vertical="center"/>
    </xf>
    <xf numFmtId="165" fontId="9" fillId="0" borderId="0" xfId="21" applyNumberFormat="1" applyFont="1" applyAlignment="1">
      <alignment vertical="center"/>
    </xf>
    <xf numFmtId="169" fontId="27" fillId="0" borderId="0" xfId="21" applyNumberFormat="1" applyFont="1" applyAlignment="1">
      <alignment vertical="center"/>
    </xf>
    <xf numFmtId="169" fontId="18" fillId="0" borderId="0" xfId="21" applyNumberFormat="1" applyFont="1" applyAlignment="1">
      <alignment vertical="center"/>
    </xf>
    <xf numFmtId="165" fontId="14" fillId="0" borderId="0" xfId="21" applyNumberFormat="1" applyFont="1" applyAlignment="1">
      <alignment horizontal="centerContinuous" vertical="center"/>
    </xf>
    <xf numFmtId="169" fontId="18" fillId="0" borderId="0" xfId="21" applyNumberFormat="1" applyFont="1" applyAlignment="1">
      <alignment horizontal="left" vertical="center"/>
    </xf>
    <xf numFmtId="0" fontId="12" fillId="4" borderId="3" xfId="21" applyFont="1" applyFill="1" applyBorder="1" applyAlignment="1">
      <alignment vertical="center"/>
    </xf>
    <xf numFmtId="164" fontId="12" fillId="4" borderId="3" xfId="21" applyNumberFormat="1" applyFont="1" applyFill="1" applyBorder="1" applyAlignment="1">
      <alignment horizontal="center" vertical="center"/>
    </xf>
    <xf numFmtId="0" fontId="12" fillId="0" borderId="1" xfId="21" applyFont="1" applyBorder="1" applyAlignment="1">
      <alignment vertical="center"/>
    </xf>
    <xf numFmtId="164" fontId="12" fillId="0" borderId="1" xfId="21" applyNumberFormat="1" applyFont="1" applyBorder="1" applyAlignment="1">
      <alignment horizontal="center" vertical="center"/>
    </xf>
    <xf numFmtId="0" fontId="12" fillId="0" borderId="2" xfId="21" applyFont="1" applyBorder="1" applyAlignment="1">
      <alignment vertical="center"/>
    </xf>
    <xf numFmtId="164" fontId="12" fillId="0" borderId="2" xfId="21" applyNumberFormat="1" applyFont="1" applyBorder="1" applyAlignment="1">
      <alignment horizontal="center" vertical="center"/>
    </xf>
    <xf numFmtId="164" fontId="29" fillId="0" borderId="2" xfId="21" applyNumberFormat="1" applyFont="1" applyBorder="1" applyAlignment="1">
      <alignment horizontal="center" vertical="center"/>
    </xf>
    <xf numFmtId="0" fontId="14" fillId="0" borderId="0" xfId="21" applyFont="1" applyAlignment="1">
      <alignment vertical="center" wrapText="1"/>
    </xf>
    <xf numFmtId="0" fontId="3" fillId="0" borderId="0" xfId="21" applyAlignment="1">
      <alignment vertical="center" wrapText="1"/>
    </xf>
    <xf numFmtId="164" fontId="14" fillId="0" borderId="0" xfId="21" applyNumberFormat="1" applyFont="1" applyAlignment="1">
      <alignment horizontal="centerContinuous" vertical="center"/>
    </xf>
    <xf numFmtId="0" fontId="12" fillId="0" borderId="0" xfId="21" applyFont="1" applyAlignment="1">
      <alignment horizontal="center" vertical="center"/>
    </xf>
    <xf numFmtId="164" fontId="12" fillId="0" borderId="0" xfId="21" applyNumberFormat="1" applyFont="1" applyAlignment="1">
      <alignment horizontal="center" vertical="center"/>
    </xf>
    <xf numFmtId="0" fontId="13" fillId="0" borderId="0" xfId="21" applyFont="1" applyAlignment="1">
      <alignment vertical="center"/>
    </xf>
    <xf numFmtId="0" fontId="12" fillId="0" borderId="0" xfId="21" applyFont="1" applyAlignment="1">
      <alignment vertical="center"/>
    </xf>
    <xf numFmtId="49" fontId="23" fillId="9" borderId="9" xfId="21" applyNumberFormat="1" applyFont="1" applyFill="1" applyBorder="1" applyAlignment="1">
      <alignment horizontal="left" vertical="center" indent="1"/>
    </xf>
    <xf numFmtId="14" fontId="23" fillId="9" borderId="9" xfId="21" applyNumberFormat="1" applyFont="1" applyFill="1" applyBorder="1" applyAlignment="1">
      <alignment horizontal="left" vertical="center" indent="1"/>
    </xf>
    <xf numFmtId="0" fontId="39" fillId="0" borderId="0" xfId="2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32" fillId="0" borderId="0" xfId="8" quotePrefix="1" applyFont="1" applyAlignment="1">
      <alignment horizontal="left" vertical="center"/>
    </xf>
    <xf numFmtId="0" fontId="29" fillId="0" borderId="0" xfId="8" applyFont="1" applyAlignment="1">
      <alignment horizontal="right" vertical="center" indent="1"/>
    </xf>
    <xf numFmtId="0" fontId="33" fillId="0" borderId="0" xfId="8" quotePrefix="1" applyFont="1" applyAlignment="1">
      <alignment horizontal="left" vertical="center"/>
    </xf>
    <xf numFmtId="0" fontId="32" fillId="0" borderId="0" xfId="8" applyFont="1" applyAlignment="1">
      <alignment horizontal="center" vertical="center"/>
    </xf>
    <xf numFmtId="0" fontId="33" fillId="0" borderId="0" xfId="8" applyFont="1" applyAlignment="1">
      <alignment horizontal="center" vertical="center"/>
    </xf>
    <xf numFmtId="0" fontId="33" fillId="0" borderId="0" xfId="8" applyFont="1" applyAlignment="1">
      <alignment horizontal="right" vertical="center" indent="1"/>
    </xf>
    <xf numFmtId="0" fontId="33" fillId="0" borderId="0" xfId="8" applyFont="1" applyAlignment="1">
      <alignment horizontal="right" vertical="center"/>
    </xf>
    <xf numFmtId="0" fontId="32" fillId="0" borderId="0" xfId="8" applyFont="1" applyAlignment="1">
      <alignment horizontal="left" vertical="center"/>
    </xf>
    <xf numFmtId="0" fontId="32" fillId="0" borderId="0" xfId="8" applyFont="1" applyAlignment="1">
      <alignment horizontal="right" vertical="center" indent="1"/>
    </xf>
    <xf numFmtId="0" fontId="32" fillId="0" borderId="0" xfId="8" applyFont="1" applyAlignment="1">
      <alignment vertical="center"/>
    </xf>
    <xf numFmtId="164" fontId="28" fillId="0" borderId="0" xfId="10" applyNumberFormat="1" applyFont="1" applyFill="1" applyBorder="1" applyAlignment="1">
      <alignment horizontal="right" vertical="center" indent="1"/>
    </xf>
    <xf numFmtId="0" fontId="31" fillId="0" borderId="0" xfId="8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28" fillId="0" borderId="0" xfId="8" applyFont="1" applyAlignment="1">
      <alignment horizontal="left" vertical="center"/>
    </xf>
    <xf numFmtId="0" fontId="28" fillId="0" borderId="0" xfId="8" applyFont="1" applyAlignment="1">
      <alignment horizontal="right" vertical="center" indent="1"/>
    </xf>
    <xf numFmtId="0" fontId="9" fillId="0" borderId="0" xfId="8" applyFont="1" applyAlignment="1">
      <alignment horizontal="right" vertical="center" indent="1"/>
    </xf>
    <xf numFmtId="0" fontId="30" fillId="0" borderId="0" xfId="8" applyFont="1" applyAlignment="1">
      <alignment horizontal="center" vertical="center"/>
    </xf>
    <xf numFmtId="164" fontId="29" fillId="0" borderId="0" xfId="10" applyNumberFormat="1" applyFont="1" applyFill="1" applyBorder="1" applyAlignment="1">
      <alignment horizontal="center" vertical="center"/>
    </xf>
    <xf numFmtId="4" fontId="29" fillId="0" borderId="0" xfId="8" applyNumberFormat="1" applyFont="1" applyAlignment="1">
      <alignment horizontal="center" vertical="center"/>
    </xf>
    <xf numFmtId="4" fontId="29" fillId="0" borderId="0" xfId="8" applyNumberFormat="1" applyFont="1" applyAlignment="1">
      <alignment horizontal="right" vertical="center" indent="1"/>
    </xf>
    <xf numFmtId="0" fontId="9" fillId="0" borderId="42" xfId="8" applyFont="1" applyBorder="1" applyAlignment="1">
      <alignment vertical="center"/>
    </xf>
    <xf numFmtId="0" fontId="9" fillId="0" borderId="42" xfId="8" applyFont="1" applyBorder="1" applyAlignment="1">
      <alignment horizontal="center" vertical="center"/>
    </xf>
    <xf numFmtId="164" fontId="9" fillId="0" borderId="42" xfId="12" applyNumberFormat="1" applyFont="1" applyFill="1" applyBorder="1" applyAlignment="1">
      <alignment horizontal="right" vertical="center" indent="1"/>
    </xf>
    <xf numFmtId="0" fontId="7" fillId="0" borderId="44" xfId="8" applyFont="1" applyBorder="1" applyAlignment="1">
      <alignment horizontal="center" vertical="center"/>
    </xf>
    <xf numFmtId="164" fontId="12" fillId="0" borderId="0" xfId="12" applyNumberFormat="1" applyFont="1" applyFill="1" applyBorder="1" applyAlignment="1">
      <alignment horizontal="right" vertical="center" indent="1"/>
    </xf>
    <xf numFmtId="0" fontId="5" fillId="0" borderId="0" xfId="8" applyFont="1" applyAlignment="1">
      <alignment horizontal="center" vertical="center"/>
    </xf>
    <xf numFmtId="0" fontId="28" fillId="3" borderId="13" xfId="8" applyFont="1" applyFill="1" applyBorder="1" applyAlignment="1">
      <alignment horizontal="center" vertical="center" wrapText="1"/>
    </xf>
    <xf numFmtId="0" fontId="28" fillId="3" borderId="14" xfId="8" applyFont="1" applyFill="1" applyBorder="1" applyAlignment="1">
      <alignment horizontal="center" vertical="center" wrapText="1"/>
    </xf>
    <xf numFmtId="0" fontId="28" fillId="3" borderId="15" xfId="8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right" vertical="center"/>
    </xf>
    <xf numFmtId="41" fontId="22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168" fontId="22" fillId="0" borderId="0" xfId="0" applyNumberFormat="1" applyFont="1" applyAlignment="1">
      <alignment horizontal="right" vertical="center"/>
    </xf>
    <xf numFmtId="167" fontId="22" fillId="0" borderId="0" xfId="10" applyNumberFormat="1" applyFont="1" applyFill="1" applyBorder="1" applyAlignment="1">
      <alignment horizontal="right" vertical="center"/>
    </xf>
    <xf numFmtId="167" fontId="22" fillId="0" borderId="0" xfId="10" quotePrefix="1" applyNumberFormat="1" applyFont="1" applyFill="1" applyBorder="1" applyAlignment="1">
      <alignment horizontal="right" vertical="center"/>
    </xf>
    <xf numFmtId="167" fontId="22" fillId="0" borderId="5" xfId="10" quotePrefix="1" applyNumberFormat="1" applyFont="1" applyFill="1" applyBorder="1" applyAlignment="1">
      <alignment horizontal="right" vertical="center"/>
    </xf>
    <xf numFmtId="0" fontId="12" fillId="4" borderId="32" xfId="0" applyFont="1" applyFill="1" applyBorder="1" applyAlignment="1">
      <alignment horizontal="right" vertical="center" wrapText="1"/>
    </xf>
    <xf numFmtId="14" fontId="41" fillId="0" borderId="0" xfId="21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1" fontId="22" fillId="0" borderId="9" xfId="0" applyNumberFormat="1" applyFont="1" applyBorder="1" applyAlignment="1">
      <alignment horizontal="right" vertical="center"/>
    </xf>
    <xf numFmtId="41" fontId="9" fillId="2" borderId="9" xfId="0" applyNumberFormat="1" applyFont="1" applyFill="1" applyBorder="1" applyAlignment="1">
      <alignment horizontal="right" vertical="center"/>
    </xf>
    <xf numFmtId="168" fontId="9" fillId="2" borderId="9" xfId="0" applyNumberFormat="1" applyFont="1" applyFill="1" applyBorder="1" applyAlignment="1">
      <alignment horizontal="right" vertical="center"/>
    </xf>
    <xf numFmtId="1" fontId="9" fillId="2" borderId="9" xfId="0" applyNumberFormat="1" applyFont="1" applyFill="1" applyBorder="1" applyAlignment="1">
      <alignment horizontal="right" vertical="center"/>
    </xf>
    <xf numFmtId="14" fontId="36" fillId="0" borderId="9" xfId="21" applyNumberFormat="1" applyFont="1" applyBorder="1" applyAlignment="1">
      <alignment horizontal="left" vertical="center"/>
    </xf>
    <xf numFmtId="0" fontId="19" fillId="8" borderId="9" xfId="0" applyFont="1" applyFill="1" applyBorder="1" applyAlignment="1">
      <alignment horizontal="center" vertical="center"/>
    </xf>
    <xf numFmtId="14" fontId="12" fillId="2" borderId="9" xfId="21" applyNumberFormat="1" applyFont="1" applyFill="1" applyBorder="1" applyAlignment="1">
      <alignment horizontal="left" vertical="center" indent="1"/>
    </xf>
    <xf numFmtId="0" fontId="12" fillId="2" borderId="9" xfId="21" applyFont="1" applyFill="1" applyBorder="1" applyAlignment="1">
      <alignment horizontal="left" vertical="center" indent="1"/>
    </xf>
    <xf numFmtId="49" fontId="23" fillId="0" borderId="9" xfId="21" applyNumberFormat="1" applyFont="1" applyBorder="1" applyAlignment="1">
      <alignment horizontal="left" vertical="center" indent="1"/>
    </xf>
    <xf numFmtId="49" fontId="23" fillId="0" borderId="26" xfId="21" applyNumberFormat="1" applyFont="1" applyBorder="1" applyAlignment="1">
      <alignment horizontal="left" vertical="center" indent="1"/>
    </xf>
    <xf numFmtId="0" fontId="23" fillId="0" borderId="27" xfId="21" applyFont="1" applyBorder="1" applyAlignment="1">
      <alignment horizontal="left" vertical="center" indent="1"/>
    </xf>
    <xf numFmtId="0" fontId="23" fillId="0" borderId="27" xfId="21" applyFont="1" applyBorder="1" applyAlignment="1">
      <alignment horizontal="left" vertical="center"/>
    </xf>
    <xf numFmtId="0" fontId="23" fillId="0" borderId="28" xfId="21" applyFont="1" applyBorder="1" applyAlignment="1">
      <alignment horizontal="left" vertical="center"/>
    </xf>
    <xf numFmtId="0" fontId="22" fillId="0" borderId="27" xfId="21" applyFont="1" applyBorder="1" applyAlignment="1">
      <alignment vertical="center"/>
    </xf>
    <xf numFmtId="0" fontId="22" fillId="0" borderId="28" xfId="21" applyFont="1" applyBorder="1" applyAlignment="1">
      <alignment vertical="center"/>
    </xf>
    <xf numFmtId="0" fontId="19" fillId="8" borderId="9" xfId="8" applyFont="1" applyFill="1" applyBorder="1" applyAlignment="1">
      <alignment horizontal="centerContinuous" vertical="center"/>
    </xf>
    <xf numFmtId="0" fontId="42" fillId="8" borderId="9" xfId="0" applyFont="1" applyFill="1" applyBorder="1" applyAlignment="1">
      <alignment horizontal="centerContinuous" vertical="center"/>
    </xf>
    <xf numFmtId="0" fontId="9" fillId="0" borderId="0" xfId="8" applyFont="1" applyAlignment="1">
      <alignment vertical="center" wrapText="1"/>
    </xf>
    <xf numFmtId="0" fontId="29" fillId="2" borderId="9" xfId="8" applyFont="1" applyFill="1" applyBorder="1" applyAlignment="1">
      <alignment horizontal="center" vertical="center"/>
    </xf>
    <xf numFmtId="0" fontId="29" fillId="2" borderId="9" xfId="10" applyNumberFormat="1" applyFont="1" applyFill="1" applyBorder="1" applyAlignment="1">
      <alignment horizontal="center" vertical="center"/>
    </xf>
    <xf numFmtId="14" fontId="29" fillId="2" borderId="9" xfId="8" applyNumberFormat="1" applyFont="1" applyFill="1" applyBorder="1" applyAlignment="1">
      <alignment horizontal="center" vertical="center"/>
    </xf>
    <xf numFmtId="164" fontId="29" fillId="2" borderId="9" xfId="10" applyNumberFormat="1" applyFont="1" applyFill="1" applyBorder="1" applyAlignment="1">
      <alignment horizontal="right" vertical="center" indent="1"/>
    </xf>
    <xf numFmtId="4" fontId="29" fillId="2" borderId="9" xfId="8" applyNumberFormat="1" applyFont="1" applyFill="1" applyBorder="1" applyAlignment="1">
      <alignment horizontal="right" vertical="center" indent="1"/>
    </xf>
    <xf numFmtId="164" fontId="29" fillId="2" borderId="9" xfId="10" applyNumberFormat="1" applyFont="1" applyFill="1" applyBorder="1" applyAlignment="1">
      <alignment horizontal="center" vertical="center"/>
    </xf>
    <xf numFmtId="0" fontId="12" fillId="7" borderId="9" xfId="8" applyFont="1" applyFill="1" applyBorder="1" applyAlignment="1">
      <alignment horizontal="center" vertical="center"/>
    </xf>
    <xf numFmtId="170" fontId="29" fillId="2" borderId="9" xfId="8" applyNumberFormat="1" applyFont="1" applyFill="1" applyBorder="1" applyAlignment="1">
      <alignment horizontal="center" vertical="center"/>
    </xf>
    <xf numFmtId="3" fontId="29" fillId="2" borderId="9" xfId="1" applyNumberFormat="1" applyFont="1" applyFill="1" applyBorder="1" applyAlignment="1">
      <alignment horizontal="right" vertical="center"/>
    </xf>
    <xf numFmtId="3" fontId="28" fillId="0" borderId="0" xfId="1" applyNumberFormat="1" applyFont="1" applyFill="1" applyBorder="1" applyAlignment="1">
      <alignment horizontal="right" vertical="center"/>
    </xf>
    <xf numFmtId="0" fontId="28" fillId="0" borderId="0" xfId="21" applyFont="1" applyAlignment="1">
      <alignment vertical="center"/>
    </xf>
    <xf numFmtId="171" fontId="9" fillId="9" borderId="9" xfId="10" applyNumberFormat="1" applyFont="1" applyFill="1" applyBorder="1" applyAlignment="1">
      <alignment horizontal="right" vertical="center"/>
    </xf>
    <xf numFmtId="164" fontId="14" fillId="0" borderId="0" xfId="8" applyNumberFormat="1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172" fontId="9" fillId="0" borderId="0" xfId="0" applyNumberFormat="1" applyFont="1" applyAlignment="1">
      <alignment vertical="center"/>
    </xf>
    <xf numFmtId="0" fontId="13" fillId="0" borderId="0" xfId="8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10" fontId="14" fillId="0" borderId="0" xfId="8" applyNumberFormat="1" applyFont="1" applyAlignment="1">
      <alignment horizontal="center" vertical="center"/>
    </xf>
    <xf numFmtId="14" fontId="23" fillId="0" borderId="9" xfId="21" applyNumberFormat="1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center" vertical="center"/>
    </xf>
    <xf numFmtId="170" fontId="9" fillId="0" borderId="17" xfId="5" applyNumberFormat="1" applyFont="1" applyFill="1" applyBorder="1" applyAlignment="1">
      <alignment horizontal="right" vertical="center" indent="1"/>
    </xf>
    <xf numFmtId="170" fontId="9" fillId="0" borderId="22" xfId="5" applyNumberFormat="1" applyFont="1" applyFill="1" applyBorder="1" applyAlignment="1">
      <alignment horizontal="right" vertical="center" indent="1"/>
    </xf>
    <xf numFmtId="170" fontId="9" fillId="0" borderId="34" xfId="5" applyNumberFormat="1" applyFont="1" applyFill="1" applyBorder="1" applyAlignment="1">
      <alignment horizontal="right" vertical="center" indent="1"/>
    </xf>
    <xf numFmtId="170" fontId="9" fillId="0" borderId="43" xfId="5" applyNumberFormat="1" applyFont="1" applyFill="1" applyBorder="1" applyAlignment="1">
      <alignment horizontal="right" vertical="center" indent="1"/>
    </xf>
    <xf numFmtId="14" fontId="9" fillId="0" borderId="20" xfId="8" applyNumberFormat="1" applyFont="1" applyBorder="1" applyAlignment="1">
      <alignment horizontal="right" vertical="center" indent="1"/>
    </xf>
    <xf numFmtId="14" fontId="9" fillId="0" borderId="25" xfId="8" applyNumberFormat="1" applyFont="1" applyBorder="1" applyAlignment="1">
      <alignment horizontal="right" vertical="center" indent="1"/>
    </xf>
    <xf numFmtId="14" fontId="9" fillId="0" borderId="37" xfId="8" applyNumberFormat="1" applyFont="1" applyBorder="1" applyAlignment="1">
      <alignment horizontal="right" vertical="center" indent="1"/>
    </xf>
    <xf numFmtId="14" fontId="9" fillId="0" borderId="46" xfId="8" applyNumberFormat="1" applyFont="1" applyBorder="1" applyAlignment="1">
      <alignment horizontal="right" vertical="center" indent="1"/>
    </xf>
    <xf numFmtId="170" fontId="9" fillId="0" borderId="19" xfId="5" applyNumberFormat="1" applyFont="1" applyFill="1" applyBorder="1" applyAlignment="1">
      <alignment horizontal="right" vertical="center" indent="1"/>
    </xf>
    <xf numFmtId="170" fontId="9" fillId="0" borderId="24" xfId="5" applyNumberFormat="1" applyFont="1" applyFill="1" applyBorder="1" applyAlignment="1">
      <alignment horizontal="right" vertical="center" indent="1"/>
    </xf>
    <xf numFmtId="170" fontId="9" fillId="0" borderId="36" xfId="5" applyNumberFormat="1" applyFont="1" applyFill="1" applyBorder="1" applyAlignment="1">
      <alignment horizontal="right" vertical="center" indent="1"/>
    </xf>
    <xf numFmtId="170" fontId="9" fillId="0" borderId="45" xfId="5" applyNumberFormat="1" applyFont="1" applyFill="1" applyBorder="1" applyAlignment="1">
      <alignment horizontal="right" vertical="center" indent="1"/>
    </xf>
    <xf numFmtId="0" fontId="41" fillId="14" borderId="0" xfId="29" applyFont="1" applyFill="1" applyAlignment="1">
      <alignment horizontal="left" vertical="center"/>
    </xf>
    <xf numFmtId="0" fontId="41" fillId="0" borderId="0" xfId="29" applyFont="1" applyAlignment="1">
      <alignment horizontal="left" vertical="center"/>
    </xf>
    <xf numFmtId="0" fontId="46" fillId="0" borderId="0" xfId="29" applyFont="1" applyAlignment="1">
      <alignment horizontal="left" vertical="center"/>
    </xf>
    <xf numFmtId="0" fontId="41" fillId="14" borderId="47" xfId="29" applyFont="1" applyFill="1" applyBorder="1" applyAlignment="1">
      <alignment horizontal="left" vertical="center"/>
    </xf>
    <xf numFmtId="0" fontId="41" fillId="14" borderId="48" xfId="29" applyFont="1" applyFill="1" applyBorder="1" applyAlignment="1">
      <alignment horizontal="left" vertical="center"/>
    </xf>
    <xf numFmtId="0" fontId="34" fillId="14" borderId="0" xfId="29" applyFont="1" applyFill="1" applyAlignment="1">
      <alignment horizontal="left" vertical="center"/>
    </xf>
    <xf numFmtId="0" fontId="48" fillId="14" borderId="0" xfId="29" applyFont="1" applyFill="1" applyAlignment="1">
      <alignment horizontal="left" vertical="center" indent="1"/>
    </xf>
    <xf numFmtId="0" fontId="49" fillId="14" borderId="0" xfId="29" applyFont="1" applyFill="1" applyAlignment="1">
      <alignment horizontal="left" vertical="center"/>
    </xf>
    <xf numFmtId="0" fontId="49" fillId="14" borderId="50" xfId="29" applyFont="1" applyFill="1" applyBorder="1" applyAlignment="1">
      <alignment horizontal="left" vertical="center" indent="1"/>
    </xf>
    <xf numFmtId="0" fontId="52" fillId="14" borderId="50" xfId="29" applyFont="1" applyFill="1" applyBorder="1" applyAlignment="1">
      <alignment horizontal="left" vertical="center" indent="1"/>
    </xf>
    <xf numFmtId="0" fontId="53" fillId="14" borderId="50" xfId="29" applyFont="1" applyFill="1" applyBorder="1" applyAlignment="1">
      <alignment horizontal="left" vertical="center" indent="1"/>
    </xf>
    <xf numFmtId="0" fontId="49" fillId="14" borderId="50" xfId="29" applyFont="1" applyFill="1" applyBorder="1" applyAlignment="1">
      <alignment horizontal="left" vertical="center"/>
    </xf>
    <xf numFmtId="0" fontId="49" fillId="14" borderId="51" xfId="29" applyFont="1" applyFill="1" applyBorder="1" applyAlignment="1">
      <alignment horizontal="left" vertical="center"/>
    </xf>
    <xf numFmtId="165" fontId="36" fillId="13" borderId="9" xfId="21" applyNumberFormat="1" applyFont="1" applyFill="1" applyBorder="1" applyAlignment="1">
      <alignment horizontal="center" vertical="center"/>
    </xf>
    <xf numFmtId="1" fontId="12" fillId="0" borderId="52" xfId="0" applyNumberFormat="1" applyFont="1" applyBorder="1" applyAlignment="1">
      <alignment horizontal="right" vertical="center"/>
    </xf>
    <xf numFmtId="41" fontId="22" fillId="0" borderId="52" xfId="0" applyNumberFormat="1" applyFont="1" applyBorder="1" applyAlignment="1">
      <alignment horizontal="right" vertical="center"/>
    </xf>
    <xf numFmtId="41" fontId="9" fillId="0" borderId="52" xfId="0" applyNumberFormat="1" applyFont="1" applyBorder="1" applyAlignment="1">
      <alignment horizontal="right" vertical="center"/>
    </xf>
    <xf numFmtId="168" fontId="22" fillId="0" borderId="52" xfId="0" applyNumberFormat="1" applyFont="1" applyBorder="1" applyAlignment="1">
      <alignment horizontal="right" vertical="center"/>
    </xf>
    <xf numFmtId="167" fontId="22" fillId="0" borderId="52" xfId="10" applyNumberFormat="1" applyFont="1" applyFill="1" applyBorder="1" applyAlignment="1">
      <alignment horizontal="right" vertical="center"/>
    </xf>
    <xf numFmtId="167" fontId="22" fillId="0" borderId="52" xfId="10" quotePrefix="1" applyNumberFormat="1" applyFont="1" applyFill="1" applyBorder="1" applyAlignment="1">
      <alignment horizontal="right" vertical="center"/>
    </xf>
    <xf numFmtId="173" fontId="9" fillId="9" borderId="9" xfId="10" applyNumberFormat="1" applyFont="1" applyFill="1" applyBorder="1" applyAlignment="1">
      <alignment horizontal="right" vertical="center"/>
    </xf>
    <xf numFmtId="167" fontId="22" fillId="0" borderId="29" xfId="10" quotePrefix="1" applyNumberFormat="1" applyFont="1" applyFill="1" applyBorder="1" applyAlignment="1">
      <alignment horizontal="right" vertical="center"/>
    </xf>
    <xf numFmtId="167" fontId="22" fillId="0" borderId="7" xfId="10" quotePrefix="1" applyNumberFormat="1" applyFont="1" applyFill="1" applyBorder="1" applyAlignment="1">
      <alignment horizontal="right" vertical="center"/>
    </xf>
    <xf numFmtId="168" fontId="22" fillId="0" borderId="7" xfId="0" quotePrefix="1" applyNumberFormat="1" applyFont="1" applyBorder="1" applyAlignment="1">
      <alignment horizontal="right" vertical="center"/>
    </xf>
    <xf numFmtId="0" fontId="34" fillId="14" borderId="0" xfId="29" applyFont="1" applyFill="1" applyAlignment="1">
      <alignment horizontal="left" vertical="center"/>
    </xf>
    <xf numFmtId="0" fontId="48" fillId="14" borderId="0" xfId="29" applyFont="1" applyFill="1" applyAlignment="1">
      <alignment horizontal="left" vertical="center" indent="1"/>
    </xf>
    <xf numFmtId="0" fontId="47" fillId="14" borderId="47" xfId="29" applyFont="1" applyFill="1" applyBorder="1" applyAlignment="1">
      <alignment horizontal="left" vertical="center"/>
    </xf>
    <xf numFmtId="0" fontId="47" fillId="14" borderId="48" xfId="29" applyFont="1" applyFill="1" applyBorder="1" applyAlignment="1">
      <alignment horizontal="left" vertical="center"/>
    </xf>
    <xf numFmtId="0" fontId="34" fillId="14" borderId="0" xfId="30" applyNumberFormat="1" applyFont="1" applyFill="1" applyAlignment="1">
      <alignment horizontal="left" vertical="center"/>
    </xf>
    <xf numFmtId="0" fontId="44" fillId="14" borderId="0" xfId="14" applyFont="1" applyFill="1" applyAlignment="1" applyProtection="1">
      <alignment horizontal="left" vertical="center"/>
    </xf>
    <xf numFmtId="0" fontId="34" fillId="14" borderId="0" xfId="14" applyFont="1" applyFill="1" applyAlignment="1" applyProtection="1">
      <alignment horizontal="left" vertical="center"/>
    </xf>
    <xf numFmtId="0" fontId="45" fillId="0" borderId="0" xfId="29" applyFont="1" applyAlignment="1">
      <alignment horizontal="left" vertical="center"/>
    </xf>
    <xf numFmtId="0" fontId="51" fillId="14" borderId="0" xfId="29" applyFont="1" applyFill="1" applyAlignment="1">
      <alignment horizontal="left" vertical="center"/>
    </xf>
    <xf numFmtId="0" fontId="47" fillId="14" borderId="49" xfId="29" applyFont="1" applyFill="1" applyBorder="1" applyAlignment="1">
      <alignment horizontal="left" vertical="center" indent="1"/>
    </xf>
    <xf numFmtId="0" fontId="47" fillId="14" borderId="50" xfId="29" applyFont="1" applyFill="1" applyBorder="1" applyAlignment="1">
      <alignment horizontal="left" vertical="center" indent="1"/>
    </xf>
    <xf numFmtId="0" fontId="13" fillId="0" borderId="0" xfId="21" applyFont="1" applyAlignment="1">
      <alignment vertical="top" wrapText="1"/>
    </xf>
    <xf numFmtId="0" fontId="3" fillId="0" borderId="0" xfId="21" applyAlignment="1">
      <alignment vertical="top" wrapText="1"/>
    </xf>
    <xf numFmtId="0" fontId="26" fillId="0" borderId="0" xfId="17" applyFont="1" applyBorder="1" applyAlignment="1" applyProtection="1">
      <alignment vertical="center"/>
    </xf>
    <xf numFmtId="0" fontId="3" fillId="0" borderId="0" xfId="21" applyAlignment="1">
      <alignment vertical="center"/>
    </xf>
    <xf numFmtId="169" fontId="3" fillId="0" borderId="0" xfId="21" applyNumberFormat="1"/>
    <xf numFmtId="0" fontId="0" fillId="0" borderId="0" xfId="0" applyAlignment="1">
      <alignment vertical="center"/>
    </xf>
    <xf numFmtId="169" fontId="0" fillId="0" borderId="0" xfId="0" applyNumberFormat="1"/>
    <xf numFmtId="0" fontId="9" fillId="4" borderId="6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12" fillId="4" borderId="6" xfId="0" applyFont="1" applyFill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2" fillId="4" borderId="6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9" fontId="25" fillId="6" borderId="3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4" fillId="5" borderId="9" xfId="8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164" fontId="34" fillId="5" borderId="9" xfId="8" applyNumberFormat="1" applyFont="1" applyFill="1" applyBorder="1" applyAlignment="1">
      <alignment horizontal="center" vertical="center" wrapText="1"/>
    </xf>
    <xf numFmtId="0" fontId="34" fillId="5" borderId="10" xfId="8" applyFont="1" applyFill="1" applyBorder="1" applyAlignment="1">
      <alignment horizontal="center" vertical="center"/>
    </xf>
    <xf numFmtId="0" fontId="34" fillId="5" borderId="3" xfId="8" applyFont="1" applyFill="1" applyBorder="1" applyAlignment="1">
      <alignment horizontal="center" vertical="center"/>
    </xf>
    <xf numFmtId="0" fontId="34" fillId="5" borderId="11" xfId="8" applyFont="1" applyFill="1" applyBorder="1" applyAlignment="1">
      <alignment horizontal="center" vertical="center"/>
    </xf>
    <xf numFmtId="0" fontId="34" fillId="5" borderId="9" xfId="8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34" fillId="8" borderId="0" xfId="2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3" fillId="9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21" applyFont="1" applyAlignment="1">
      <alignment horizontal="right" vertical="center"/>
    </xf>
    <xf numFmtId="0" fontId="10" fillId="0" borderId="38" xfId="0" applyFont="1" applyBorder="1" applyAlignment="1">
      <alignment horizontal="left" vertical="top" wrapText="1" indent="1"/>
    </xf>
    <xf numFmtId="0" fontId="10" fillId="0" borderId="39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40" xfId="0" applyFont="1" applyBorder="1" applyAlignment="1">
      <alignment horizontal="left" vertical="top" wrapText="1" indent="1"/>
    </xf>
    <xf numFmtId="0" fontId="10" fillId="0" borderId="41" xfId="0" applyFont="1" applyBorder="1" applyAlignment="1">
      <alignment horizontal="left" vertical="top" wrapText="1" indent="1"/>
    </xf>
    <xf numFmtId="0" fontId="25" fillId="8" borderId="12" xfId="21" applyFont="1" applyFill="1" applyBorder="1" applyAlignment="1">
      <alignment horizontal="center" vertical="center"/>
    </xf>
    <xf numFmtId="0" fontId="25" fillId="8" borderId="0" xfId="21" applyFont="1" applyFill="1" applyAlignment="1">
      <alignment horizontal="center" vertical="center"/>
    </xf>
    <xf numFmtId="0" fontId="25" fillId="10" borderId="9" xfId="8" applyFont="1" applyFill="1" applyBorder="1" applyAlignment="1">
      <alignment horizontal="center" vertical="center"/>
    </xf>
    <xf numFmtId="0" fontId="25" fillId="11" borderId="9" xfId="8" applyFont="1" applyFill="1" applyBorder="1" applyAlignment="1">
      <alignment horizontal="center" vertical="center"/>
    </xf>
    <xf numFmtId="0" fontId="25" fillId="12" borderId="9" xfId="8" applyFont="1" applyFill="1" applyBorder="1" applyAlignment="1">
      <alignment horizontal="center" vertical="center"/>
    </xf>
  </cellXfs>
  <cellStyles count="31">
    <cellStyle name="Comma" xfId="1" builtinId="3"/>
    <cellStyle name="Comma 2" xfId="2" xr:uid="{00000000-0005-0000-0000-000001000000}"/>
    <cellStyle name="Comma 2 2" xfId="3" xr:uid="{00000000-0005-0000-0000-000002000000}"/>
    <cellStyle name="Comma 5" xfId="22" xr:uid="{00000000-0005-0000-0000-000003000000}"/>
    <cellStyle name="Currency 2" xfId="4" xr:uid="{00000000-0005-0000-0000-000004000000}"/>
    <cellStyle name="Currency 2 2" xfId="5" xr:uid="{00000000-0005-0000-0000-000005000000}"/>
    <cellStyle name="Currency 3" xfId="6" xr:uid="{00000000-0005-0000-0000-000006000000}"/>
    <cellStyle name="Hyperlink" xfId="14" builtinId="8"/>
    <cellStyle name="Hyperlink 2" xfId="17" xr:uid="{00000000-0005-0000-0000-000008000000}"/>
    <cellStyle name="Hyperlink 3" xfId="30" xr:uid="{5683B0DE-1126-4B0C-BA36-1B0B06BB6B51}"/>
    <cellStyle name="Normal" xfId="0" builtinId="0"/>
    <cellStyle name="Normal 10" xfId="21" xr:uid="{00000000-0005-0000-0000-00000A000000}"/>
    <cellStyle name="Normal 11" xfId="29" xr:uid="{2C70089B-F4EB-45AA-B3E5-052CC007B5C5}"/>
    <cellStyle name="Normal 2" xfId="7" xr:uid="{00000000-0005-0000-0000-00000B000000}"/>
    <cellStyle name="Normal 2 2" xfId="8" xr:uid="{00000000-0005-0000-0000-00000C000000}"/>
    <cellStyle name="Normal 2 2 2" xfId="20" xr:uid="{00000000-0005-0000-0000-00000D000000}"/>
    <cellStyle name="Normal 2 2 2 2" xfId="28" xr:uid="{00000000-0005-0000-0000-00000E000000}"/>
    <cellStyle name="Normal 2 3" xfId="18" xr:uid="{00000000-0005-0000-0000-00000F000000}"/>
    <cellStyle name="Normal 3" xfId="9" xr:uid="{00000000-0005-0000-0000-000010000000}"/>
    <cellStyle name="Normal 3 2" xfId="23" xr:uid="{00000000-0005-0000-0000-000011000000}"/>
    <cellStyle name="Normal 4" xfId="16" xr:uid="{00000000-0005-0000-0000-000012000000}"/>
    <cellStyle name="Normal 5" xfId="19" xr:uid="{00000000-0005-0000-0000-000013000000}"/>
    <cellStyle name="Normal 6" xfId="15" xr:uid="{00000000-0005-0000-0000-000014000000}"/>
    <cellStyle name="Normal 6 2" xfId="24" xr:uid="{00000000-0005-0000-0000-000015000000}"/>
    <cellStyle name="Normal 7" xfId="25" xr:uid="{00000000-0005-0000-0000-000016000000}"/>
    <cellStyle name="Normal 8" xfId="26" xr:uid="{00000000-0005-0000-0000-000017000000}"/>
    <cellStyle name="Normal 9" xfId="27" xr:uid="{00000000-0005-0000-0000-000018000000}"/>
    <cellStyle name="Percent" xfId="10" builtinId="5"/>
    <cellStyle name="Percent 2" xfId="11" xr:uid="{00000000-0005-0000-0000-00001A000000}"/>
    <cellStyle name="Percent 2 2" xfId="12" xr:uid="{00000000-0005-0000-0000-00001B000000}"/>
    <cellStyle name="Percent 3" xfId="13" xr:uid="{00000000-0005-0000-0000-00001C000000}"/>
  </cellStyles>
  <dxfs count="5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264D74"/>
      <color rgb="FF104985"/>
      <color rgb="FFF3E7FF"/>
      <color rgb="FFCCFFCC"/>
      <color rgb="FFFFFFCC"/>
      <color rgb="FF339966"/>
      <color rgb="FF99FF99"/>
      <color rgb="FFE6CDFF"/>
      <color rgb="FFCC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563660</xdr:colOff>
      <xdr:row>7</xdr:row>
      <xdr:rowOff>133349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F5D31EF-50E8-4029-9783-3F14A4547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66700"/>
          <a:ext cx="877985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0</xdr:colOff>
      <xdr:row>16</xdr:row>
      <xdr:rowOff>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DE2F-084B-49A2-9F86-99E962EF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81175"/>
          <a:ext cx="2943225" cy="81239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0</xdr:colOff>
      <xdr:row>19</xdr:row>
      <xdr:rowOff>102985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9E26A7-7889-4B24-B233-84130000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81175"/>
          <a:ext cx="2943225" cy="13983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i.org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tfrc.com/articl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tfrc.com/artic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8C59-3B69-4C68-A4BC-613629335AA2}">
  <sheetPr codeName="Sheet1">
    <tabColor rgb="FF345680"/>
  </sheetPr>
  <dimension ref="A1:D95"/>
  <sheetViews>
    <sheetView showGridLines="0" tabSelected="1" workbookViewId="0">
      <selection activeCell="E53" sqref="E53"/>
    </sheetView>
  </sheetViews>
  <sheetFormatPr defaultColWidth="0" defaultRowHeight="11.1" customHeight="1" zeroHeight="1"/>
  <cols>
    <col min="1" max="2" width="4.7109375" style="219" customWidth="1"/>
    <col min="3" max="3" width="12.7109375" style="219" customWidth="1"/>
    <col min="4" max="4" width="58.7109375" style="219" customWidth="1"/>
    <col min="5" max="16384" width="0" style="219" hidden="1"/>
  </cols>
  <sheetData>
    <row r="1" spans="1:4" ht="11.1" customHeight="1">
      <c r="A1" s="218"/>
      <c r="B1" s="218"/>
      <c r="C1" s="218"/>
      <c r="D1" s="218"/>
    </row>
    <row r="2" spans="1:4" ht="11.1" customHeight="1"/>
    <row r="3" spans="1:4" ht="11.1" customHeight="1"/>
    <row r="4" spans="1:4" ht="11.1" customHeight="1">
      <c r="D4" s="249" t="s">
        <v>298</v>
      </c>
    </row>
    <row r="5" spans="1:4" ht="11.1" customHeight="1">
      <c r="D5" s="249"/>
    </row>
    <row r="6" spans="1:4" ht="11.1" customHeight="1">
      <c r="D6" s="249"/>
    </row>
    <row r="7" spans="1:4" ht="11.1" customHeight="1">
      <c r="D7" s="220" t="s">
        <v>154</v>
      </c>
    </row>
    <row r="8" spans="1:4" ht="11.1" customHeight="1"/>
    <row r="9" spans="1:4" ht="11.1" customHeight="1"/>
    <row r="10" spans="1:4" ht="11.1" customHeight="1">
      <c r="A10" s="218"/>
      <c r="B10" s="218"/>
      <c r="C10" s="218"/>
      <c r="D10" s="218"/>
    </row>
    <row r="11" spans="1:4" ht="11.1" customHeight="1">
      <c r="A11" s="221"/>
      <c r="B11" s="244" t="s">
        <v>124</v>
      </c>
      <c r="C11" s="244"/>
      <c r="D11" s="244"/>
    </row>
    <row r="12" spans="1:4" ht="11.1" customHeight="1">
      <c r="A12" s="222"/>
      <c r="B12" s="245"/>
      <c r="C12" s="245"/>
      <c r="D12" s="245"/>
    </row>
    <row r="13" spans="1:4" ht="11.1" customHeight="1">
      <c r="A13" s="218"/>
      <c r="B13" s="218"/>
      <c r="C13" s="218"/>
      <c r="D13" s="218"/>
    </row>
    <row r="14" spans="1:4" ht="11.1" customHeight="1">
      <c r="A14" s="218"/>
      <c r="B14" s="223" t="s">
        <v>263</v>
      </c>
      <c r="C14" s="247" t="s">
        <v>129</v>
      </c>
      <c r="D14" s="247"/>
    </row>
    <row r="15" spans="1:4" ht="11.1" customHeight="1">
      <c r="A15" s="218"/>
      <c r="B15" s="223" t="s">
        <v>264</v>
      </c>
      <c r="C15" s="247" t="s">
        <v>128</v>
      </c>
      <c r="D15" s="247"/>
    </row>
    <row r="16" spans="1:4" ht="11.1" customHeight="1">
      <c r="A16" s="218"/>
      <c r="B16" s="223" t="s">
        <v>265</v>
      </c>
      <c r="C16" s="247" t="s">
        <v>187</v>
      </c>
      <c r="D16" s="247"/>
    </row>
    <row r="17" spans="1:4" ht="11.1" customHeight="1">
      <c r="A17" s="218"/>
      <c r="B17" s="223" t="s">
        <v>266</v>
      </c>
      <c r="C17" s="247" t="s">
        <v>0</v>
      </c>
      <c r="D17" s="247"/>
    </row>
    <row r="18" spans="1:4" ht="11.1" customHeight="1">
      <c r="A18" s="218"/>
      <c r="B18" s="223" t="s">
        <v>267</v>
      </c>
      <c r="C18" s="247" t="s">
        <v>3</v>
      </c>
      <c r="D18" s="247"/>
    </row>
    <row r="19" spans="1:4" ht="11.1" customHeight="1">
      <c r="A19" s="218"/>
      <c r="B19" s="223" t="s">
        <v>268</v>
      </c>
      <c r="C19" s="247" t="s">
        <v>130</v>
      </c>
      <c r="D19" s="247"/>
    </row>
    <row r="20" spans="1:4" ht="11.1" customHeight="1">
      <c r="A20" s="218"/>
      <c r="B20" s="223"/>
      <c r="C20" s="248"/>
      <c r="D20" s="248"/>
    </row>
    <row r="21" spans="1:4" ht="11.1" customHeight="1">
      <c r="A21" s="218"/>
      <c r="B21" s="223"/>
      <c r="C21" s="242"/>
      <c r="D21" s="242"/>
    </row>
    <row r="22" spans="1:4" ht="11.1" customHeight="1">
      <c r="A22" s="218"/>
      <c r="B22" s="223"/>
      <c r="C22" s="242"/>
      <c r="D22" s="242"/>
    </row>
    <row r="23" spans="1:4" ht="11.1" customHeight="1">
      <c r="A23" s="218"/>
      <c r="B23" s="223"/>
      <c r="C23" s="242"/>
      <c r="D23" s="242"/>
    </row>
    <row r="24" spans="1:4" ht="11.1" customHeight="1">
      <c r="A24" s="218"/>
      <c r="B24" s="223"/>
      <c r="C24" s="242"/>
      <c r="D24" s="242"/>
    </row>
    <row r="25" spans="1:4" ht="11.1" customHeight="1">
      <c r="A25" s="218"/>
      <c r="B25" s="223"/>
      <c r="C25" s="242"/>
      <c r="D25" s="242"/>
    </row>
    <row r="26" spans="1:4" ht="11.1" customHeight="1">
      <c r="A26" s="218"/>
      <c r="B26" s="223"/>
      <c r="C26" s="242"/>
      <c r="D26" s="242"/>
    </row>
    <row r="27" spans="1:4" ht="11.1" customHeight="1">
      <c r="A27" s="218"/>
      <c r="B27" s="218"/>
      <c r="C27" s="218"/>
      <c r="D27" s="218"/>
    </row>
    <row r="28" spans="1:4" ht="11.1" customHeight="1">
      <c r="A28" s="221"/>
      <c r="B28" s="244" t="s">
        <v>123</v>
      </c>
      <c r="C28" s="244"/>
      <c r="D28" s="244"/>
    </row>
    <row r="29" spans="1:4" ht="11.1" customHeight="1">
      <c r="A29" s="222"/>
      <c r="B29" s="245"/>
      <c r="C29" s="245"/>
      <c r="D29" s="245"/>
    </row>
    <row r="30" spans="1:4" ht="11.1" customHeight="1">
      <c r="A30" s="218"/>
      <c r="B30" s="218"/>
      <c r="C30" s="218"/>
      <c r="D30" s="218"/>
    </row>
    <row r="31" spans="1:4" ht="11.1" customHeight="1">
      <c r="A31" s="218"/>
      <c r="B31" s="242" t="s">
        <v>121</v>
      </c>
      <c r="C31" s="242"/>
      <c r="D31" s="242"/>
    </row>
    <row r="32" spans="1:4" ht="11.1" customHeight="1">
      <c r="A32" s="218"/>
      <c r="B32" s="243" t="s">
        <v>269</v>
      </c>
      <c r="C32" s="243"/>
      <c r="D32" s="243"/>
    </row>
    <row r="33" spans="1:4" ht="11.1" customHeight="1">
      <c r="A33" s="218"/>
      <c r="B33" s="243" t="s">
        <v>125</v>
      </c>
      <c r="C33" s="243"/>
      <c r="D33" s="243"/>
    </row>
    <row r="34" spans="1:4" ht="11.1" customHeight="1">
      <c r="A34" s="218"/>
      <c r="B34" s="243" t="s">
        <v>122</v>
      </c>
      <c r="C34" s="243"/>
      <c r="D34" s="243"/>
    </row>
    <row r="35" spans="1:4" ht="11.1" customHeight="1">
      <c r="A35" s="218"/>
      <c r="B35" s="225"/>
      <c r="C35" s="218"/>
      <c r="D35" s="218"/>
    </row>
    <row r="36" spans="1:4" ht="11.1" customHeight="1">
      <c r="A36" s="218"/>
      <c r="B36" s="242" t="s">
        <v>177</v>
      </c>
      <c r="C36" s="242"/>
      <c r="D36" s="242"/>
    </row>
    <row r="37" spans="1:4" ht="11.1" customHeight="1">
      <c r="A37" s="218"/>
      <c r="B37" s="243" t="s">
        <v>178</v>
      </c>
      <c r="C37" s="243"/>
      <c r="D37" s="243"/>
    </row>
    <row r="38" spans="1:4" ht="11.1" customHeight="1">
      <c r="A38" s="218"/>
      <c r="B38" s="243" t="s">
        <v>180</v>
      </c>
      <c r="C38" s="243"/>
      <c r="D38" s="243"/>
    </row>
    <row r="39" spans="1:4" ht="11.1" customHeight="1">
      <c r="A39" s="218"/>
      <c r="B39" s="243" t="s">
        <v>179</v>
      </c>
      <c r="C39" s="243"/>
      <c r="D39" s="243"/>
    </row>
    <row r="40" spans="1:4" ht="11.1" customHeight="1">
      <c r="A40" s="218"/>
      <c r="B40" s="225"/>
      <c r="C40" s="218"/>
      <c r="D40" s="218"/>
    </row>
    <row r="41" spans="1:4" ht="11.1" customHeight="1">
      <c r="A41" s="218"/>
      <c r="B41" s="242" t="s">
        <v>188</v>
      </c>
      <c r="C41" s="242"/>
      <c r="D41" s="242"/>
    </row>
    <row r="42" spans="1:4" ht="11.1" customHeight="1">
      <c r="A42" s="218"/>
      <c r="B42" s="243" t="s">
        <v>189</v>
      </c>
      <c r="C42" s="243"/>
      <c r="D42" s="243"/>
    </row>
    <row r="43" spans="1:4" ht="11.1" customHeight="1">
      <c r="A43" s="218"/>
      <c r="B43" s="243" t="s">
        <v>190</v>
      </c>
      <c r="C43" s="243"/>
      <c r="D43" s="243"/>
    </row>
    <row r="44" spans="1:4" ht="11.1" customHeight="1">
      <c r="A44" s="218"/>
      <c r="B44" s="243" t="s">
        <v>191</v>
      </c>
      <c r="C44" s="243"/>
      <c r="D44" s="243"/>
    </row>
    <row r="45" spans="1:4" ht="11.1" customHeight="1">
      <c r="A45" s="218"/>
      <c r="B45" s="224"/>
      <c r="C45" s="224"/>
      <c r="D45" s="224"/>
    </row>
    <row r="46" spans="1:4" ht="11.1" customHeight="1">
      <c r="A46" s="218"/>
      <c r="B46" s="224"/>
      <c r="C46" s="224"/>
      <c r="D46" s="224"/>
    </row>
    <row r="47" spans="1:4" ht="11.1" customHeight="1">
      <c r="A47" s="218"/>
      <c r="B47" s="218"/>
      <c r="C47" s="218"/>
      <c r="D47" s="218"/>
    </row>
    <row r="48" spans="1:4" ht="11.1" customHeight="1">
      <c r="A48" s="221"/>
      <c r="B48" s="244" t="s">
        <v>127</v>
      </c>
      <c r="C48" s="244"/>
      <c r="D48" s="244"/>
    </row>
    <row r="49" spans="1:4" ht="11.1" customHeight="1">
      <c r="A49" s="222"/>
      <c r="B49" s="245"/>
      <c r="C49" s="245"/>
      <c r="D49" s="245"/>
    </row>
    <row r="50" spans="1:4" ht="11.1" customHeight="1">
      <c r="A50" s="218"/>
      <c r="B50" s="218"/>
      <c r="C50" s="218"/>
      <c r="D50" s="218"/>
    </row>
    <row r="51" spans="1:4" ht="11.1" customHeight="1">
      <c r="A51" s="218"/>
      <c r="B51" s="246" t="s">
        <v>126</v>
      </c>
      <c r="C51" s="246"/>
      <c r="D51" s="246"/>
    </row>
    <row r="52" spans="1:4" ht="11.1" customHeight="1">
      <c r="A52" s="218"/>
      <c r="B52" s="218"/>
      <c r="C52" s="218"/>
      <c r="D52" s="218"/>
    </row>
    <row r="53" spans="1:4" ht="11.1" customHeight="1">
      <c r="A53" s="218"/>
      <c r="B53" s="218"/>
      <c r="C53" s="218"/>
      <c r="D53" s="218"/>
    </row>
    <row r="65" s="219" customFormat="1" ht="11.1" hidden="1" customHeight="1"/>
    <row r="66" s="219" customFormat="1" ht="11.1" hidden="1" customHeight="1"/>
    <row r="67" s="219" customFormat="1" ht="11.1" hidden="1" customHeight="1"/>
    <row r="68" s="219" customFormat="1" ht="11.1" hidden="1" customHeight="1"/>
    <row r="69" s="219" customFormat="1" ht="11.1" hidden="1" customHeight="1"/>
    <row r="70" s="219" customFormat="1" ht="11.1" hidden="1" customHeight="1"/>
    <row r="71" s="219" customFormat="1" ht="11.1" hidden="1" customHeight="1"/>
    <row r="72" s="219" customFormat="1" ht="11.1" hidden="1" customHeight="1"/>
    <row r="73" s="219" customFormat="1" ht="11.1" hidden="1" customHeight="1"/>
    <row r="74" s="219" customFormat="1" ht="11.1" hidden="1" customHeight="1"/>
    <row r="75" s="219" customFormat="1" ht="11.1" hidden="1" customHeight="1"/>
    <row r="76" s="219" customFormat="1" ht="11.1" hidden="1" customHeight="1"/>
    <row r="77" s="219" customFormat="1" ht="11.1" hidden="1" customHeight="1"/>
    <row r="78" s="219" customFormat="1" ht="11.1" hidden="1" customHeight="1"/>
    <row r="79" s="219" customFormat="1" ht="11.1" hidden="1" customHeight="1"/>
    <row r="80" s="219" customFormat="1" ht="11.1" hidden="1" customHeight="1"/>
    <row r="81" s="219" customFormat="1" ht="11.1" hidden="1" customHeight="1"/>
    <row r="82" s="219" customFormat="1" ht="11.1" hidden="1" customHeight="1"/>
    <row r="83" s="219" customFormat="1" ht="11.1" hidden="1" customHeight="1"/>
    <row r="84" s="219" customFormat="1" ht="11.1" hidden="1" customHeight="1"/>
    <row r="85" s="219" customFormat="1" ht="11.1" hidden="1" customHeight="1"/>
    <row r="86" s="219" customFormat="1" ht="11.1" hidden="1" customHeight="1"/>
    <row r="87" s="219" customFormat="1" ht="11.1" hidden="1" customHeight="1"/>
    <row r="88" s="219" customFormat="1" ht="11.1" hidden="1" customHeight="1"/>
    <row r="89" s="219" customFormat="1" ht="11.1" hidden="1" customHeight="1"/>
    <row r="90" s="219" customFormat="1" ht="11.1" hidden="1" customHeight="1"/>
    <row r="91" s="219" customFormat="1" ht="11.1" hidden="1" customHeight="1"/>
    <row r="92" s="219" customFormat="1" ht="11.1" hidden="1" customHeight="1"/>
    <row r="93" s="219" customFormat="1" ht="11.1" hidden="1" customHeight="1"/>
    <row r="94" s="219" customFormat="1" ht="11.1" hidden="1" customHeight="1"/>
    <row r="95" s="219" customFormat="1" ht="11.1" hidden="1" customHeight="1"/>
  </sheetData>
  <mergeCells count="30">
    <mergeCell ref="C17:D17"/>
    <mergeCell ref="D4:D6"/>
    <mergeCell ref="B11:D12"/>
    <mergeCell ref="C14:D14"/>
    <mergeCell ref="C15:D15"/>
    <mergeCell ref="C16:D16"/>
    <mergeCell ref="B32:D32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8:D29"/>
    <mergeCell ref="B31:D31"/>
    <mergeCell ref="B51:D51"/>
    <mergeCell ref="B33:D33"/>
    <mergeCell ref="B34:D34"/>
    <mergeCell ref="B36:D36"/>
    <mergeCell ref="B37:D37"/>
    <mergeCell ref="B38:D38"/>
    <mergeCell ref="B39:D39"/>
    <mergeCell ref="B41:D41"/>
    <mergeCell ref="B42:D42"/>
    <mergeCell ref="B43:D43"/>
    <mergeCell ref="B44:D44"/>
    <mergeCell ref="B48:D49"/>
  </mergeCells>
  <hyperlinks>
    <hyperlink ref="B51:D51" r:id="rId1" display="Edison Electric Institute (EEI)" xr:uid="{A9B27691-1C29-4490-8457-C73640972A16}"/>
    <hyperlink ref="C14:D14" location="'Sector Payout Ratio'!A1" display="Sector Payout Ratio" xr:uid="{03CFC425-7430-4903-8C2E-2CDFCA94A4FD}"/>
    <hyperlink ref="C15:D15" location="'Sector Yield'!A1" display="Sector Yield" xr:uid="{DA25BADC-7CAE-4FB6-90BD-AAD846A8458D}"/>
    <hyperlink ref="C16:D16" location="'Dividend Patterns'!A1" display="Dividend Patterns" xr:uid="{BFD65524-272F-4520-9A3B-E1C2356F98CA}"/>
    <hyperlink ref="C17:D17" location="'Dividend Payout Ratio'!A1" display="Dividend Payout Ratio" xr:uid="{80F123BE-60A2-4E4C-AF4E-F631D5708782}"/>
    <hyperlink ref="C18:D18" location="'Dividend Yield'!A1" display="Dividend Yield" xr:uid="{2DE5EF18-4994-40B6-A9AC-158F20A8B668}"/>
    <hyperlink ref="C19:D19" location="'Dividend Summary'!A1" display="Dividend Summary" xr:uid="{199DA55F-72D0-4772-9D52-8C5E4BCF0F45}"/>
  </hyperlinks>
  <printOptions horizontalCentered="1"/>
  <pageMargins left="0.75" right="0.75" top="0.75" bottom="0.75" header="0.3" footer="0.3"/>
  <pageSetup scale="11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37C1-D4B4-4535-A59A-F52077FE0CFB}">
  <sheetPr codeName="Sheet7"/>
  <dimension ref="B2:BI10"/>
  <sheetViews>
    <sheetView showGridLines="0" zoomScale="80" zoomScaleNormal="80" workbookViewId="0">
      <selection activeCell="BK2" sqref="BK2"/>
    </sheetView>
  </sheetViews>
  <sheetFormatPr defaultColWidth="9.140625" defaultRowHeight="12.75"/>
  <cols>
    <col min="1" max="1" width="2.7109375" style="93" customWidth="1"/>
    <col min="2" max="2" width="14.7109375" style="93" customWidth="1"/>
    <col min="3" max="11" width="14.7109375" style="95" customWidth="1"/>
    <col min="12" max="12" width="2.7109375" style="95" customWidth="1"/>
    <col min="13" max="32" width="2.7109375" style="93" customWidth="1"/>
    <col min="33" max="41" width="3.7109375" style="93" customWidth="1"/>
    <col min="42" max="62" width="2.7109375" style="93" customWidth="1"/>
    <col min="63" max="16384" width="9.140625" style="93"/>
  </cols>
  <sheetData>
    <row r="2" spans="2:61">
      <c r="C2" s="94" t="s">
        <v>108</v>
      </c>
      <c r="D2" s="94" t="s">
        <v>110</v>
      </c>
      <c r="E2" s="94" t="s">
        <v>111</v>
      </c>
      <c r="F2" s="94" t="s">
        <v>112</v>
      </c>
      <c r="G2" s="94" t="s">
        <v>113</v>
      </c>
      <c r="H2" s="94" t="s">
        <v>114</v>
      </c>
      <c r="I2" s="94" t="s">
        <v>115</v>
      </c>
      <c r="J2" s="94" t="s">
        <v>116</v>
      </c>
      <c r="K2" s="94" t="s">
        <v>109</v>
      </c>
      <c r="M2" s="277" t="s">
        <v>181</v>
      </c>
      <c r="N2" s="277"/>
      <c r="O2" s="277"/>
      <c r="P2" s="277"/>
      <c r="Q2" s="277"/>
      <c r="R2" s="277"/>
      <c r="S2" s="277"/>
      <c r="T2" s="277"/>
      <c r="U2" s="277"/>
      <c r="W2" s="277" t="s">
        <v>182</v>
      </c>
      <c r="X2" s="277"/>
      <c r="Y2" s="277"/>
      <c r="Z2" s="277"/>
      <c r="AA2" s="277"/>
      <c r="AB2" s="277"/>
      <c r="AC2" s="277"/>
      <c r="AD2" s="277"/>
      <c r="AE2" s="277"/>
      <c r="AG2" s="277" t="s">
        <v>183</v>
      </c>
      <c r="AH2" s="277"/>
      <c r="AI2" s="277"/>
      <c r="AJ2" s="277"/>
      <c r="AK2" s="277"/>
      <c r="AL2" s="277"/>
      <c r="AM2" s="277"/>
      <c r="AN2" s="277"/>
      <c r="AO2" s="277"/>
      <c r="AQ2" s="277" t="s">
        <v>184</v>
      </c>
      <c r="AR2" s="277"/>
      <c r="AS2" s="277"/>
      <c r="AT2" s="277"/>
      <c r="AU2" s="277"/>
      <c r="AV2" s="277"/>
      <c r="AW2" s="277"/>
      <c r="AX2" s="277"/>
      <c r="AY2" s="277"/>
      <c r="BA2" s="277" t="s">
        <v>185</v>
      </c>
      <c r="BB2" s="277"/>
      <c r="BC2" s="277"/>
      <c r="BD2" s="277"/>
      <c r="BE2" s="277"/>
      <c r="BF2" s="277"/>
      <c r="BG2" s="277"/>
      <c r="BH2" s="277"/>
      <c r="BI2" s="277"/>
    </row>
    <row r="3" spans="2:61">
      <c r="C3" s="96" t="s">
        <v>87</v>
      </c>
      <c r="D3" s="96" t="s">
        <v>88</v>
      </c>
      <c r="E3" s="96" t="s">
        <v>89</v>
      </c>
      <c r="F3" s="96" t="s">
        <v>65</v>
      </c>
      <c r="G3" s="96" t="s">
        <v>90</v>
      </c>
      <c r="H3" s="96" t="s">
        <v>91</v>
      </c>
      <c r="I3" s="96" t="s">
        <v>92</v>
      </c>
      <c r="J3" s="96" t="s">
        <v>2</v>
      </c>
      <c r="K3" s="96" t="s">
        <v>93</v>
      </c>
      <c r="L3" s="96"/>
    </row>
    <row r="4" spans="2:61">
      <c r="B4" s="172">
        <v>45930</v>
      </c>
      <c r="C4" s="231">
        <v>0.8</v>
      </c>
      <c r="D4" s="231">
        <v>2.8</v>
      </c>
      <c r="E4" s="231">
        <v>3.5</v>
      </c>
      <c r="F4" s="231">
        <v>1.5</v>
      </c>
      <c r="G4" s="231">
        <v>1.8</v>
      </c>
      <c r="H4" s="231">
        <v>1.2</v>
      </c>
      <c r="I4" s="231">
        <v>2</v>
      </c>
      <c r="J4" s="231">
        <v>0.7</v>
      </c>
      <c r="K4" s="231">
        <v>3.1</v>
      </c>
      <c r="L4" s="97"/>
      <c r="M4" s="98">
        <f t="shared" ref="M4:U4" si="0">RANK(C4,$C4:$K4,0)</f>
        <v>8</v>
      </c>
      <c r="N4" s="98">
        <f t="shared" si="0"/>
        <v>3</v>
      </c>
      <c r="O4" s="98">
        <f t="shared" si="0"/>
        <v>1</v>
      </c>
      <c r="P4" s="98">
        <f t="shared" si="0"/>
        <v>6</v>
      </c>
      <c r="Q4" s="98">
        <f t="shared" si="0"/>
        <v>5</v>
      </c>
      <c r="R4" s="98">
        <f t="shared" si="0"/>
        <v>7</v>
      </c>
      <c r="S4" s="98">
        <f t="shared" si="0"/>
        <v>4</v>
      </c>
      <c r="T4" s="98">
        <f t="shared" si="0"/>
        <v>9</v>
      </c>
      <c r="U4" s="98">
        <f t="shared" si="0"/>
        <v>2</v>
      </c>
      <c r="W4" s="98">
        <f>COUNTIF($M4:M4,M4)-1</f>
        <v>0</v>
      </c>
      <c r="X4" s="98">
        <f>COUNTIF($M4:N4,N4)-1</f>
        <v>0</v>
      </c>
      <c r="Y4" s="98">
        <f>COUNTIF($M4:O4,O4)-1</f>
        <v>0</v>
      </c>
      <c r="Z4" s="98">
        <f>COUNTIF($M4:P4,P4)-1</f>
        <v>0</v>
      </c>
      <c r="AA4" s="98">
        <f>COUNTIF($M4:Q4,Q4)-1</f>
        <v>0</v>
      </c>
      <c r="AB4" s="98">
        <f>COUNTIF($M4:R4,R4)-1</f>
        <v>0</v>
      </c>
      <c r="AC4" s="98">
        <f>COUNTIF($M4:S4,S4)-1</f>
        <v>0</v>
      </c>
      <c r="AD4" s="98">
        <f>COUNTIF($M4:T4,T4)-1</f>
        <v>0</v>
      </c>
      <c r="AE4" s="98">
        <f>COUNTIF($M4:U4,U4)-1</f>
        <v>0</v>
      </c>
      <c r="AG4" s="99">
        <f>M4+W4/10</f>
        <v>8</v>
      </c>
      <c r="AH4" s="99">
        <f t="shared" ref="AH4:AO4" si="1">N4+X4/10</f>
        <v>3</v>
      </c>
      <c r="AI4" s="99">
        <f t="shared" si="1"/>
        <v>1</v>
      </c>
      <c r="AJ4" s="99">
        <f t="shared" si="1"/>
        <v>6</v>
      </c>
      <c r="AK4" s="99">
        <f t="shared" si="1"/>
        <v>5</v>
      </c>
      <c r="AL4" s="99">
        <f t="shared" si="1"/>
        <v>7</v>
      </c>
      <c r="AM4" s="99">
        <f t="shared" si="1"/>
        <v>4</v>
      </c>
      <c r="AN4" s="99">
        <f t="shared" si="1"/>
        <v>9</v>
      </c>
      <c r="AO4" s="99">
        <f t="shared" si="1"/>
        <v>2</v>
      </c>
      <c r="AQ4" s="100">
        <f t="shared" ref="AQ4:AY4" si="2">RANK(AG4,$AG4:$AO4,1)</f>
        <v>8</v>
      </c>
      <c r="AR4" s="100">
        <f t="shared" si="2"/>
        <v>3</v>
      </c>
      <c r="AS4" s="100">
        <f t="shared" si="2"/>
        <v>1</v>
      </c>
      <c r="AT4" s="100">
        <f t="shared" si="2"/>
        <v>6</v>
      </c>
      <c r="AU4" s="100">
        <f t="shared" si="2"/>
        <v>5</v>
      </c>
      <c r="AV4" s="100">
        <f t="shared" si="2"/>
        <v>7</v>
      </c>
      <c r="AW4" s="100">
        <f t="shared" si="2"/>
        <v>4</v>
      </c>
      <c r="AX4" s="100">
        <f t="shared" si="2"/>
        <v>9</v>
      </c>
      <c r="AY4" s="100">
        <f t="shared" si="2"/>
        <v>2</v>
      </c>
      <c r="BA4" s="100">
        <f>MATCH(1,$AQ$4:$AY$4,0)</f>
        <v>3</v>
      </c>
      <c r="BB4" s="100">
        <f>MATCH(2,$AQ$4:$AY$4,0)</f>
        <v>9</v>
      </c>
      <c r="BC4" s="100">
        <f>MATCH(3,$AQ$4:$AY$4,0)</f>
        <v>2</v>
      </c>
      <c r="BD4" s="100">
        <f>MATCH(4,$AQ$4:$AY$4,0)</f>
        <v>7</v>
      </c>
      <c r="BE4" s="100">
        <f>MATCH(5,$AQ$4:$AY$4,0)</f>
        <v>5</v>
      </c>
      <c r="BF4" s="100">
        <f>MATCH(6,$AQ$4:$AY$4,0)</f>
        <v>4</v>
      </c>
      <c r="BG4" s="100">
        <f>MATCH(7,$AQ$4:$AY$4,0)</f>
        <v>6</v>
      </c>
      <c r="BH4" s="100">
        <f>MATCH(8,$AQ$4:$AY$4,0)</f>
        <v>1</v>
      </c>
      <c r="BI4" s="100">
        <f>MATCH(9,$AQ$4:$AY$4,0)</f>
        <v>8</v>
      </c>
    </row>
    <row r="6" spans="2:61">
      <c r="B6" s="101" t="s">
        <v>170</v>
      </c>
    </row>
    <row r="8" spans="2:61">
      <c r="B8" s="164" t="s">
        <v>236</v>
      </c>
      <c r="C8" s="93"/>
      <c r="D8" s="93"/>
      <c r="E8" s="93"/>
      <c r="F8" s="93"/>
      <c r="G8" s="93"/>
      <c r="H8" s="93"/>
      <c r="I8" s="93"/>
      <c r="J8" s="93"/>
      <c r="K8" s="93"/>
    </row>
    <row r="10" spans="2:61">
      <c r="B10" s="196" t="s">
        <v>251</v>
      </c>
    </row>
  </sheetData>
  <mergeCells count="5">
    <mergeCell ref="M2:U2"/>
    <mergeCell ref="W2:AE2"/>
    <mergeCell ref="AG2:AO2"/>
    <mergeCell ref="AQ2:AY2"/>
    <mergeCell ref="BA2:BI2"/>
  </mergeCells>
  <hyperlinks>
    <hyperlink ref="B6" r:id="rId1" xr:uid="{C9DCA1EE-D87E-4FB4-94F1-75E003E5A2F4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F185-DD68-4C00-B0E2-2663DE3470F7}">
  <sheetPr codeName="Sheet3"/>
  <dimension ref="B1:Z12"/>
  <sheetViews>
    <sheetView showGridLines="0" zoomScaleNormal="100" workbookViewId="0">
      <selection activeCell="N2" sqref="N2"/>
    </sheetView>
  </sheetViews>
  <sheetFormatPr defaultColWidth="9.28515625" defaultRowHeight="12.75"/>
  <cols>
    <col min="1" max="1" width="2.7109375" style="1" customWidth="1"/>
    <col min="2" max="2" width="10.7109375" style="1" customWidth="1"/>
    <col min="3" max="10" width="10.7109375" style="7" customWidth="1"/>
    <col min="11" max="12" width="10.7109375" style="1" customWidth="1"/>
    <col min="13" max="13" width="2.7109375" style="1" customWidth="1"/>
    <col min="14" max="16384" width="9.28515625" style="1"/>
  </cols>
  <sheetData>
    <row r="1" spans="2:26">
      <c r="B1" s="3"/>
      <c r="C1" s="5"/>
      <c r="D1" s="5"/>
      <c r="E1" s="5"/>
      <c r="F1" s="5"/>
      <c r="G1" s="5"/>
      <c r="H1" s="5"/>
      <c r="I1" s="5"/>
      <c r="J1" s="5"/>
    </row>
    <row r="2" spans="2:26" ht="12.75" customHeight="1">
      <c r="B2" s="173"/>
      <c r="C2" s="173" t="s">
        <v>238</v>
      </c>
      <c r="D2" s="173" t="s">
        <v>239</v>
      </c>
      <c r="E2" s="173" t="s">
        <v>240</v>
      </c>
      <c r="F2" s="173" t="s">
        <v>241</v>
      </c>
      <c r="G2" s="173" t="s">
        <v>242</v>
      </c>
      <c r="H2" s="173" t="s">
        <v>243</v>
      </c>
      <c r="I2" s="173" t="s">
        <v>244</v>
      </c>
      <c r="J2" s="173" t="s">
        <v>245</v>
      </c>
      <c r="K2" s="173" t="s">
        <v>246</v>
      </c>
      <c r="L2" s="173" t="s">
        <v>247</v>
      </c>
    </row>
    <row r="3" spans="2:26">
      <c r="B3" s="125"/>
      <c r="C3" s="166"/>
      <c r="D3" s="167"/>
      <c r="E3" s="167"/>
      <c r="F3" s="167"/>
      <c r="G3" s="167"/>
      <c r="H3" s="167"/>
      <c r="I3" s="167"/>
      <c r="J3" s="167"/>
      <c r="K3" s="167"/>
      <c r="L3" s="167"/>
    </row>
    <row r="4" spans="2:26">
      <c r="B4" s="171" t="str">
        <f>Quarter_EOP_Current_Full</f>
        <v>2025 Q3</v>
      </c>
      <c r="C4" s="169">
        <f>'Dividend Summary'!$E$66</f>
        <v>4</v>
      </c>
      <c r="D4" s="169">
        <f>'Dividend Summary'!$E$67</f>
        <v>33</v>
      </c>
      <c r="E4" s="169">
        <f>'Dividend Summary'!$E$68</f>
        <v>0</v>
      </c>
      <c r="F4" s="169">
        <f>'Dividend Summary'!$E$69</f>
        <v>0</v>
      </c>
      <c r="G4" s="169">
        <f>'Dividend Summary'!$E$70</f>
        <v>0</v>
      </c>
      <c r="H4" s="169">
        <f>'Dividend Summary'!$E$71</f>
        <v>1</v>
      </c>
      <c r="I4" s="169">
        <f>'Dividend Summary'!$E$72</f>
        <v>38</v>
      </c>
      <c r="J4" s="170">
        <f>'Dividend Summary'!$F$46</f>
        <v>0.64862610851106439</v>
      </c>
      <c r="K4" s="238">
        <f>IF(Quarter_EOP_Current="Q1",'Dividend Summary'!$AI$46,IF(Quarter_EOP_Current="Q2",'Dividend Summary'!$AE$46,IF(Quarter_EOP_Current="Q3",'Dividend Summary'!$AA$46,'Dividend Summary'!$W$46)))</f>
        <v>4.0129866402707326E-2</v>
      </c>
      <c r="L4" s="197" t="str">
        <f>IF(Quarter_EOP_Current="Q1",'Dividend Summary'!$AJ$46,IF(Quarter_EOP_Current="Q2",'Dividend Summary'!$AF$46,IF(Quarter_EOP_Current="Q3",'Dividend Summary'!$AB$46,'Dividend Summary'!$X$46)))</f>
        <v>-</v>
      </c>
      <c r="N4" s="280" t="s">
        <v>296</v>
      </c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</row>
    <row r="6" spans="2:26">
      <c r="B6" s="171" t="str">
        <f>Date_Current_Year</f>
        <v>2025</v>
      </c>
      <c r="C6" s="168"/>
      <c r="D6" s="168"/>
      <c r="E6" s="168"/>
      <c r="F6" s="168"/>
      <c r="G6" s="168"/>
      <c r="H6" s="168"/>
      <c r="I6" s="168"/>
      <c r="J6" s="170" t="str">
        <f>IF(Quarter_EOP_Current="Q4",'Dividend Summary'!$F$46,"Q4 ONLY")</f>
        <v>Q4 ONLY</v>
      </c>
      <c r="N6" s="280" t="s">
        <v>297</v>
      </c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</row>
    <row r="8" spans="2:26">
      <c r="C8" s="165" t="s">
        <v>232</v>
      </c>
      <c r="D8" s="165" t="s">
        <v>232</v>
      </c>
      <c r="E8" s="165" t="s">
        <v>232</v>
      </c>
      <c r="F8" s="165" t="s">
        <v>232</v>
      </c>
      <c r="G8" s="165" t="s">
        <v>232</v>
      </c>
      <c r="H8" s="165" t="s">
        <v>232</v>
      </c>
      <c r="I8" s="165" t="s">
        <v>232</v>
      </c>
    </row>
    <row r="9" spans="2:26">
      <c r="C9" s="1"/>
      <c r="D9" s="1"/>
      <c r="E9" s="1"/>
      <c r="F9" s="1"/>
      <c r="G9" s="1"/>
      <c r="H9" s="1"/>
      <c r="I9" s="1"/>
    </row>
    <row r="10" spans="2:26">
      <c r="C10" s="278" t="s">
        <v>237</v>
      </c>
      <c r="D10" s="278"/>
      <c r="E10" s="278"/>
      <c r="F10" s="278"/>
      <c r="G10" s="278"/>
      <c r="H10" s="278"/>
      <c r="I10" s="278"/>
    </row>
    <row r="11" spans="2:26">
      <c r="C11" s="279" t="s">
        <v>233</v>
      </c>
      <c r="D11" s="279"/>
      <c r="E11" s="279"/>
      <c r="F11" s="279"/>
      <c r="G11" s="279"/>
      <c r="H11" s="279"/>
      <c r="I11" s="279"/>
    </row>
    <row r="12" spans="2:26">
      <c r="C12" s="1"/>
      <c r="D12" s="1"/>
    </row>
  </sheetData>
  <mergeCells count="4">
    <mergeCell ref="C10:I10"/>
    <mergeCell ref="C11:I11"/>
    <mergeCell ref="N4:Z4"/>
    <mergeCell ref="N6:Z6"/>
  </mergeCells>
  <pageMargins left="0.17" right="0.75" top="1" bottom="1" header="0.5" footer="0.5"/>
  <pageSetup scale="90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7B21-FDF2-4E51-9833-89551AB4EB6E}">
  <sheetPr codeName="Sheet8">
    <tabColor rgb="FFFFFF00"/>
  </sheetPr>
  <dimension ref="B2:L20"/>
  <sheetViews>
    <sheetView showGridLines="0" zoomScaleNormal="100" workbookViewId="0"/>
  </sheetViews>
  <sheetFormatPr defaultColWidth="8.85546875" defaultRowHeight="18" customHeight="1"/>
  <cols>
    <col min="1" max="1" width="2.7109375" style="83" customWidth="1"/>
    <col min="2" max="2" width="26.7109375" style="83" customWidth="1"/>
    <col min="3" max="3" width="20.7109375" style="83" customWidth="1"/>
    <col min="4" max="4" width="2.7109375" style="83" customWidth="1"/>
    <col min="5" max="5" width="26.7109375" style="83" customWidth="1"/>
    <col min="6" max="6" width="20.7109375" style="83" customWidth="1"/>
    <col min="7" max="7" width="2.7109375" style="83" customWidth="1"/>
    <col min="8" max="8" width="26.7109375" style="83" customWidth="1"/>
    <col min="9" max="9" width="20.7109375" style="83" customWidth="1"/>
    <col min="10" max="10" width="2.7109375" style="83" customWidth="1"/>
    <col min="11" max="11" width="26.7109375" style="83" customWidth="1"/>
    <col min="12" max="12" width="20.7109375" style="83" customWidth="1"/>
    <col min="13" max="13" width="2.7109375" style="83" customWidth="1"/>
    <col min="14" max="16384" width="8.85546875" style="83"/>
  </cols>
  <sheetData>
    <row r="2" spans="2:12" ht="18" customHeight="1">
      <c r="B2" s="288" t="s">
        <v>194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4" spans="2:12" ht="18" customHeight="1">
      <c r="B4" s="290" t="s">
        <v>195</v>
      </c>
      <c r="C4" s="290"/>
      <c r="E4" s="290" t="s">
        <v>196</v>
      </c>
      <c r="F4" s="290"/>
      <c r="H4" s="291" t="s">
        <v>197</v>
      </c>
      <c r="I4" s="291"/>
      <c r="K4" s="292" t="s">
        <v>261</v>
      </c>
      <c r="L4" s="292"/>
    </row>
    <row r="6" spans="2:12" ht="18" customHeight="1">
      <c r="B6" s="121" t="s">
        <v>198</v>
      </c>
      <c r="C6" s="122" t="s">
        <v>257</v>
      </c>
      <c r="E6" s="121" t="s">
        <v>192</v>
      </c>
      <c r="F6" s="123">
        <v>45930</v>
      </c>
      <c r="H6" s="121" t="s">
        <v>199</v>
      </c>
      <c r="I6" s="174" t="str">
        <f>IF(Month_EOP_Current="12","Q4",IF(Month_EOP_Current="9","Q3",IF(Month_EOP_Current="6","Q2",IF(Month_EOP_Current="3","Q1",""))))</f>
        <v>Q3</v>
      </c>
      <c r="K6" s="121" t="s">
        <v>200</v>
      </c>
      <c r="L6" s="176" t="s">
        <v>283</v>
      </c>
    </row>
    <row r="7" spans="2:12" ht="18" customHeight="1">
      <c r="E7" s="121" t="s">
        <v>193</v>
      </c>
      <c r="F7" s="123">
        <v>45838</v>
      </c>
      <c r="H7" s="121" t="s">
        <v>201</v>
      </c>
      <c r="I7" s="175" t="str">
        <f>Date_Current_Year&amp;" "&amp;Quarter_EOP_Current</f>
        <v>2025 Q3</v>
      </c>
    </row>
    <row r="8" spans="2:12" ht="18" customHeight="1">
      <c r="B8" s="121" t="s">
        <v>216</v>
      </c>
      <c r="C8" s="204">
        <v>45657</v>
      </c>
      <c r="K8" s="121" t="s">
        <v>202</v>
      </c>
      <c r="L8" s="177" t="s">
        <v>203</v>
      </c>
    </row>
    <row r="9" spans="2:12" ht="18" customHeight="1">
      <c r="E9" s="121" t="s">
        <v>208</v>
      </c>
      <c r="F9" s="122" t="s">
        <v>258</v>
      </c>
      <c r="H9" s="121" t="s">
        <v>204</v>
      </c>
      <c r="I9" s="175" t="str">
        <f>TEXT(Date_EOP_Current,"M")</f>
        <v>9</v>
      </c>
      <c r="L9" s="178" t="s">
        <v>205</v>
      </c>
    </row>
    <row r="10" spans="2:12" ht="18" customHeight="1">
      <c r="L10" s="178" t="s">
        <v>234</v>
      </c>
    </row>
    <row r="11" spans="2:12" ht="18" customHeight="1">
      <c r="E11" s="282" t="s">
        <v>209</v>
      </c>
      <c r="F11" s="283"/>
      <c r="H11" s="125" t="s">
        <v>210</v>
      </c>
      <c r="I11" s="175" t="str">
        <f>Date_Current_Year&amp;" "&amp;"Q1"</f>
        <v>2025 Q1</v>
      </c>
      <c r="L11" s="179"/>
    </row>
    <row r="12" spans="2:12" ht="18" customHeight="1">
      <c r="E12" s="284"/>
      <c r="F12" s="285"/>
      <c r="H12" s="125" t="s">
        <v>211</v>
      </c>
      <c r="I12" s="175" t="str">
        <f>Date_Current_Year&amp;" "&amp;"Q2"</f>
        <v>2025 Q2</v>
      </c>
      <c r="L12" s="180"/>
    </row>
    <row r="13" spans="2:12" ht="18" customHeight="1">
      <c r="E13" s="284"/>
      <c r="F13" s="285"/>
      <c r="H13" s="125" t="s">
        <v>212</v>
      </c>
      <c r="I13" s="175" t="str">
        <f>Date_Current_Year&amp;" "&amp;"Q3"</f>
        <v>2025 Q3</v>
      </c>
    </row>
    <row r="14" spans="2:12" ht="18" customHeight="1">
      <c r="E14" s="284"/>
      <c r="F14" s="285"/>
      <c r="H14" s="125" t="s">
        <v>213</v>
      </c>
      <c r="I14" s="175" t="str">
        <f>Date_Current_Year&amp;" "&amp;"Q4"</f>
        <v>2025 Q4</v>
      </c>
      <c r="K14" s="121" t="s">
        <v>207</v>
      </c>
      <c r="L14" s="177" t="s">
        <v>136</v>
      </c>
    </row>
    <row r="15" spans="2:12" ht="18" customHeight="1">
      <c r="E15" s="284"/>
      <c r="F15" s="285"/>
      <c r="L15" s="181"/>
    </row>
    <row r="16" spans="2:12" ht="18" customHeight="1">
      <c r="E16" s="286"/>
      <c r="F16" s="287"/>
      <c r="H16" s="121" t="s">
        <v>206</v>
      </c>
      <c r="I16" s="174">
        <f>IF(Payout_Ratio_Lag="Yes",Date_EOP_Last,Date_EOP_Current)</f>
        <v>45838</v>
      </c>
      <c r="L16" s="181"/>
    </row>
    <row r="17" spans="2:12" ht="18" customHeight="1">
      <c r="E17" s="126"/>
      <c r="F17" s="126"/>
      <c r="L17" s="181"/>
    </row>
    <row r="18" spans="2:12" ht="18" customHeight="1">
      <c r="B18" s="124"/>
      <c r="E18" s="126"/>
      <c r="F18" s="126"/>
      <c r="L18" s="182"/>
    </row>
    <row r="20" spans="2:12" ht="18" customHeight="1">
      <c r="K20" s="281" t="s">
        <v>248</v>
      </c>
      <c r="L20" s="281"/>
    </row>
  </sheetData>
  <mergeCells count="7">
    <mergeCell ref="K20:L20"/>
    <mergeCell ref="E11:F16"/>
    <mergeCell ref="B2:L2"/>
    <mergeCell ref="B4:C4"/>
    <mergeCell ref="E4:F4"/>
    <mergeCell ref="H4:I4"/>
    <mergeCell ref="K4:L4"/>
  </mergeCells>
  <dataValidations count="1">
    <dataValidation type="list" allowBlank="1" showInputMessage="1" showErrorMessage="1" sqref="F9" xr:uid="{5E152D9D-D57A-43BD-93DD-FD3A4B945F25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B671-A904-4D4C-B73C-74A076A130D7}">
  <sheetPr codeName="Sheet2">
    <tabColor rgb="FF345680"/>
  </sheetPr>
  <dimension ref="A1:D53"/>
  <sheetViews>
    <sheetView showGridLines="0" workbookViewId="0">
      <selection activeCell="E53" sqref="E53"/>
    </sheetView>
  </sheetViews>
  <sheetFormatPr defaultColWidth="0" defaultRowHeight="11.1" customHeight="1" zeroHeight="1"/>
  <cols>
    <col min="1" max="1" width="4.7109375" style="219" customWidth="1"/>
    <col min="2" max="3" width="35.7109375" style="219" customWidth="1"/>
    <col min="4" max="4" width="4.7109375" style="219" customWidth="1"/>
    <col min="5" max="16384" width="9.140625" style="219" hidden="1"/>
  </cols>
  <sheetData>
    <row r="1" spans="1:4" ht="11.1" customHeight="1">
      <c r="A1" s="225"/>
      <c r="B1" s="225"/>
      <c r="C1" s="225"/>
      <c r="D1" s="225"/>
    </row>
    <row r="2" spans="1:4" ht="11.1" customHeight="1">
      <c r="A2" s="225"/>
      <c r="B2" s="250" t="s">
        <v>155</v>
      </c>
      <c r="C2" s="250"/>
      <c r="D2" s="225"/>
    </row>
    <row r="3" spans="1:4" ht="11.1" customHeight="1">
      <c r="A3" s="225"/>
      <c r="B3" s="250"/>
      <c r="C3" s="250"/>
      <c r="D3" s="225"/>
    </row>
    <row r="4" spans="1:4" ht="11.1" customHeight="1">
      <c r="A4" s="225"/>
      <c r="B4" s="250"/>
      <c r="C4" s="250"/>
      <c r="D4" s="225"/>
    </row>
    <row r="5" spans="1:4" ht="11.1" customHeight="1">
      <c r="A5" s="225"/>
      <c r="B5" s="225"/>
      <c r="C5" s="225"/>
      <c r="D5" s="225"/>
    </row>
    <row r="6" spans="1:4" ht="11.1" customHeight="1">
      <c r="A6" s="225"/>
      <c r="B6" s="251" t="s">
        <v>284</v>
      </c>
      <c r="C6" s="251" t="s">
        <v>281</v>
      </c>
      <c r="D6" s="225"/>
    </row>
    <row r="7" spans="1:4" ht="11.1" customHeight="1">
      <c r="A7" s="225"/>
      <c r="B7" s="252"/>
      <c r="C7" s="252"/>
      <c r="D7" s="225"/>
    </row>
    <row r="8" spans="1:4" ht="11.1" customHeight="1">
      <c r="A8" s="225"/>
      <c r="B8" s="252"/>
      <c r="C8" s="252"/>
      <c r="D8" s="225"/>
    </row>
    <row r="9" spans="1:4" ht="11.1" customHeight="1">
      <c r="A9" s="225"/>
      <c r="B9" s="226" t="s">
        <v>13</v>
      </c>
      <c r="C9" s="226" t="s">
        <v>11</v>
      </c>
      <c r="D9" s="225"/>
    </row>
    <row r="10" spans="1:4" ht="11.1" customHeight="1">
      <c r="A10" s="225"/>
      <c r="B10" s="226" t="s">
        <v>56</v>
      </c>
      <c r="C10" s="227" t="s">
        <v>160</v>
      </c>
      <c r="D10" s="225"/>
    </row>
    <row r="11" spans="1:4" ht="11.1" customHeight="1">
      <c r="A11" s="225"/>
      <c r="B11" s="226" t="s">
        <v>270</v>
      </c>
      <c r="C11" s="226" t="s">
        <v>101</v>
      </c>
      <c r="D11" s="225"/>
    </row>
    <row r="12" spans="1:4" ht="11.1" customHeight="1">
      <c r="A12" s="225"/>
      <c r="B12" s="226" t="s">
        <v>19</v>
      </c>
      <c r="C12" s="226" t="s">
        <v>79</v>
      </c>
      <c r="D12" s="225"/>
    </row>
    <row r="13" spans="1:4" ht="11.1" customHeight="1">
      <c r="A13" s="225"/>
      <c r="B13" s="226" t="s">
        <v>21</v>
      </c>
      <c r="C13" s="226"/>
      <c r="D13" s="225"/>
    </row>
    <row r="14" spans="1:4" ht="11.1" customHeight="1">
      <c r="A14" s="225"/>
      <c r="B14" s="226" t="s">
        <v>23</v>
      </c>
      <c r="C14" s="226"/>
      <c r="D14" s="225"/>
    </row>
    <row r="15" spans="1:4" ht="11.1" customHeight="1">
      <c r="A15" s="225"/>
      <c r="B15" s="227" t="s">
        <v>165</v>
      </c>
      <c r="C15" s="226"/>
      <c r="D15" s="225"/>
    </row>
    <row r="16" spans="1:4" ht="11.1" customHeight="1">
      <c r="A16" s="225"/>
      <c r="B16" s="226" t="s">
        <v>68</v>
      </c>
      <c r="C16" s="226"/>
      <c r="D16" s="225"/>
    </row>
    <row r="17" spans="1:4" ht="11.1" customHeight="1">
      <c r="A17" s="225"/>
      <c r="B17" s="226" t="s">
        <v>26</v>
      </c>
      <c r="C17" s="226"/>
      <c r="D17" s="225"/>
    </row>
    <row r="18" spans="1:4" ht="11.1" customHeight="1">
      <c r="A18" s="225"/>
      <c r="B18" s="226" t="s">
        <v>171</v>
      </c>
      <c r="C18" s="226"/>
      <c r="D18" s="225"/>
    </row>
    <row r="19" spans="1:4" ht="11.1" customHeight="1">
      <c r="A19" s="225"/>
      <c r="B19" s="227" t="s">
        <v>156</v>
      </c>
      <c r="C19" s="226"/>
      <c r="D19" s="225"/>
    </row>
    <row r="20" spans="1:4" ht="11.1" customHeight="1">
      <c r="A20" s="225"/>
      <c r="B20" s="226" t="s">
        <v>28</v>
      </c>
      <c r="C20" s="226"/>
      <c r="D20" s="225"/>
    </row>
    <row r="21" spans="1:4" ht="11.1" customHeight="1">
      <c r="A21" s="225"/>
      <c r="B21" s="226" t="s">
        <v>69</v>
      </c>
      <c r="C21" s="226"/>
      <c r="D21" s="225"/>
    </row>
    <row r="22" spans="1:4" ht="11.1" customHeight="1">
      <c r="A22" s="225"/>
      <c r="B22" s="226" t="s">
        <v>70</v>
      </c>
      <c r="C22" s="226"/>
      <c r="D22" s="225"/>
    </row>
    <row r="23" spans="1:4" ht="11.1" customHeight="1">
      <c r="A23" s="225"/>
      <c r="B23" s="226" t="s">
        <v>71</v>
      </c>
      <c r="C23" s="226"/>
      <c r="D23" s="225"/>
    </row>
    <row r="24" spans="1:4" ht="11.1" customHeight="1">
      <c r="A24" s="225"/>
      <c r="B24" s="226" t="s">
        <v>172</v>
      </c>
      <c r="C24" s="226"/>
      <c r="D24" s="225"/>
    </row>
    <row r="25" spans="1:4" ht="11.1" customHeight="1">
      <c r="A25" s="225"/>
      <c r="B25" s="226" t="s">
        <v>161</v>
      </c>
      <c r="C25" s="226"/>
      <c r="D25" s="225"/>
    </row>
    <row r="26" spans="1:4" ht="11.1" customHeight="1">
      <c r="A26" s="225"/>
      <c r="B26" s="226" t="s">
        <v>33</v>
      </c>
      <c r="C26" s="226"/>
      <c r="D26" s="225"/>
    </row>
    <row r="27" spans="1:4" ht="11.1" customHeight="1">
      <c r="A27" s="225"/>
      <c r="B27" s="226" t="s">
        <v>271</v>
      </c>
      <c r="C27" s="226"/>
      <c r="D27" s="225"/>
    </row>
    <row r="28" spans="1:4" ht="11.1" customHeight="1">
      <c r="A28" s="225"/>
      <c r="B28" s="226" t="s">
        <v>73</v>
      </c>
      <c r="C28" s="226"/>
      <c r="D28" s="225"/>
    </row>
    <row r="29" spans="1:4" ht="11.1" customHeight="1">
      <c r="A29" s="225"/>
      <c r="B29" s="226" t="s">
        <v>74</v>
      </c>
      <c r="C29" s="226"/>
      <c r="D29" s="225"/>
    </row>
    <row r="30" spans="1:4" ht="11.1" customHeight="1">
      <c r="A30" s="225"/>
      <c r="B30" s="227" t="s">
        <v>157</v>
      </c>
      <c r="C30" s="226"/>
      <c r="D30" s="225"/>
    </row>
    <row r="31" spans="1:4" ht="11.1" customHeight="1">
      <c r="A31" s="225"/>
      <c r="B31" s="226" t="s">
        <v>75</v>
      </c>
      <c r="C31" s="226"/>
      <c r="D31" s="225"/>
    </row>
    <row r="32" spans="1:4" ht="11.1" customHeight="1">
      <c r="A32" s="225"/>
      <c r="B32" s="226" t="s">
        <v>76</v>
      </c>
      <c r="C32" s="226"/>
      <c r="D32" s="225"/>
    </row>
    <row r="33" spans="1:4" ht="11.1" customHeight="1">
      <c r="A33" s="225"/>
      <c r="B33" s="226" t="s">
        <v>77</v>
      </c>
      <c r="C33" s="226"/>
      <c r="D33" s="225"/>
    </row>
    <row r="34" spans="1:4" ht="11.1" customHeight="1">
      <c r="A34" s="225"/>
      <c r="B34" s="226" t="s">
        <v>285</v>
      </c>
      <c r="C34" s="226"/>
      <c r="D34" s="225"/>
    </row>
    <row r="35" spans="1:4" ht="11.1" customHeight="1">
      <c r="A35" s="225"/>
      <c r="B35" s="226" t="s">
        <v>272</v>
      </c>
      <c r="C35" s="226"/>
      <c r="D35" s="225"/>
    </row>
    <row r="36" spans="1:4" ht="11.1" customHeight="1">
      <c r="A36" s="225"/>
      <c r="B36" s="226" t="s">
        <v>80</v>
      </c>
      <c r="C36" s="226"/>
      <c r="D36" s="225"/>
    </row>
    <row r="37" spans="1:4" ht="11.1" customHeight="1">
      <c r="A37" s="225"/>
      <c r="B37" s="226" t="s">
        <v>81</v>
      </c>
      <c r="C37" s="226"/>
      <c r="D37" s="225"/>
    </row>
    <row r="38" spans="1:4" ht="11.1" customHeight="1">
      <c r="A38" s="225"/>
      <c r="B38" s="226" t="s">
        <v>58</v>
      </c>
      <c r="C38" s="226"/>
      <c r="D38" s="225"/>
    </row>
    <row r="39" spans="1:4" ht="11.1" customHeight="1">
      <c r="A39" s="225"/>
      <c r="B39" s="226" t="s">
        <v>45</v>
      </c>
      <c r="C39" s="226"/>
      <c r="D39" s="225"/>
    </row>
    <row r="40" spans="1:4" ht="11.1" customHeight="1">
      <c r="A40" s="225"/>
      <c r="B40" s="226" t="s">
        <v>273</v>
      </c>
      <c r="C40" s="226"/>
      <c r="D40" s="225"/>
    </row>
    <row r="41" spans="1:4" ht="11.1" customHeight="1">
      <c r="A41" s="225"/>
      <c r="B41" s="227" t="s">
        <v>158</v>
      </c>
      <c r="C41" s="226"/>
      <c r="D41" s="225"/>
    </row>
    <row r="42" spans="1:4" ht="11.1" customHeight="1">
      <c r="A42" s="225"/>
      <c r="B42" s="226" t="s">
        <v>274</v>
      </c>
      <c r="C42" s="228" t="s">
        <v>282</v>
      </c>
      <c r="D42" s="225"/>
    </row>
    <row r="43" spans="1:4" ht="11.1" customHeight="1">
      <c r="A43" s="225"/>
      <c r="B43" s="226" t="s">
        <v>83</v>
      </c>
      <c r="C43" s="228"/>
      <c r="D43" s="225"/>
    </row>
    <row r="44" spans="1:4" ht="11.1" customHeight="1">
      <c r="A44" s="225"/>
      <c r="B44" s="226" t="s">
        <v>275</v>
      </c>
      <c r="C44" s="228" t="s">
        <v>276</v>
      </c>
      <c r="D44" s="225"/>
    </row>
    <row r="45" spans="1:4" ht="11.1" customHeight="1">
      <c r="A45" s="225"/>
      <c r="B45" s="226" t="s">
        <v>84</v>
      </c>
      <c r="C45" s="228"/>
      <c r="D45" s="225"/>
    </row>
    <row r="46" spans="1:4" ht="11.1" customHeight="1">
      <c r="A46" s="225"/>
      <c r="B46" s="226" t="s">
        <v>164</v>
      </c>
      <c r="C46" s="228" t="s">
        <v>277</v>
      </c>
      <c r="D46" s="225"/>
    </row>
    <row r="47" spans="1:4" ht="11.1" customHeight="1">
      <c r="A47" s="225"/>
      <c r="B47" s="226" t="s">
        <v>94</v>
      </c>
      <c r="C47" s="228" t="s">
        <v>278</v>
      </c>
      <c r="D47" s="225"/>
    </row>
    <row r="48" spans="1:4" ht="11.1" customHeight="1">
      <c r="A48" s="225"/>
      <c r="B48" s="226"/>
      <c r="C48" s="228"/>
      <c r="D48" s="225"/>
    </row>
    <row r="49" spans="1:4" ht="11.1" customHeight="1">
      <c r="A49" s="225"/>
      <c r="B49" s="229"/>
      <c r="C49" s="228" t="s">
        <v>279</v>
      </c>
      <c r="D49" s="225"/>
    </row>
    <row r="50" spans="1:4" ht="11.1" customHeight="1">
      <c r="A50" s="225"/>
      <c r="B50" s="228" t="s">
        <v>159</v>
      </c>
      <c r="C50" s="228" t="s">
        <v>280</v>
      </c>
      <c r="D50" s="225"/>
    </row>
    <row r="51" spans="1:4" ht="11.1" customHeight="1">
      <c r="A51" s="225"/>
      <c r="B51" s="230"/>
      <c r="C51" s="230"/>
      <c r="D51" s="225"/>
    </row>
    <row r="52" spans="1:4" ht="11.1" customHeight="1">
      <c r="A52" s="225"/>
      <c r="B52" s="225"/>
      <c r="C52" s="225"/>
      <c r="D52" s="225"/>
    </row>
    <row r="53" spans="1:4" ht="11.1" customHeight="1">
      <c r="A53" s="225"/>
      <c r="B53" s="225"/>
      <c r="C53" s="225"/>
      <c r="D53" s="225"/>
    </row>
  </sheetData>
  <mergeCells count="3">
    <mergeCell ref="B2:C4"/>
    <mergeCell ref="B6:B8"/>
    <mergeCell ref="C6:C8"/>
  </mergeCells>
  <printOptions horizontalCentered="1"/>
  <pageMargins left="0.75" right="0.75" top="0.75" bottom="0.75" header="0.3" footer="0.3"/>
  <pageSetup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23F9-36B9-49FF-93A4-9332730B4355}">
  <sheetPr codeName="Sheet4"/>
  <dimension ref="A1:D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83" customWidth="1"/>
    <col min="3" max="3" width="35.7109375" style="83" customWidth="1"/>
    <col min="4" max="4" width="21.7109375" style="103" customWidth="1"/>
    <col min="5" max="16384" width="9.28515625" style="83"/>
  </cols>
  <sheetData>
    <row r="1" spans="1:4">
      <c r="A1" s="255" t="s">
        <v>135</v>
      </c>
      <c r="B1" s="256"/>
      <c r="C1" s="257"/>
    </row>
    <row r="2" spans="1:4" ht="18.75">
      <c r="B2" s="104" t="s">
        <v>61</v>
      </c>
    </row>
    <row r="3" spans="1:4">
      <c r="C3" s="105" t="str">
        <f>"EEI: 12-month period ending " &amp; TEXT(Date_Payout_Ratio,"m/dd/yyyy")</f>
        <v>EEI: 12-month period ending 6/30/2025</v>
      </c>
      <c r="D3" s="106"/>
    </row>
    <row r="4" spans="1:4">
      <c r="C4" s="107" t="str">
        <f>"S&amp;P Sectors: "&amp;Date_Current_Year&amp;"E as of " &amp; TEXT(Date_EOP_Current,"m/dd/yyyy")</f>
        <v>S&amp;P Sectors: 2025E as of 9/30/2025</v>
      </c>
      <c r="D4" s="106"/>
    </row>
    <row r="6" spans="1:4">
      <c r="C6" s="108" t="s">
        <v>1</v>
      </c>
      <c r="D6" s="109" t="s">
        <v>95</v>
      </c>
    </row>
    <row r="7" spans="1:4">
      <c r="C7" s="110" t="s">
        <v>99</v>
      </c>
      <c r="D7" s="111">
        <f>'Dividend Summary'!E79</f>
        <v>0.62933228489973814</v>
      </c>
    </row>
    <row r="8" spans="1:4">
      <c r="C8" s="112"/>
      <c r="D8" s="113"/>
    </row>
    <row r="9" spans="1:4">
      <c r="C9" s="102" t="str">
        <f ca="1">OFFSET('SPDR Payout'!C$3,0,'SPDR Payout'!BA$4-1)</f>
        <v>Utilities</v>
      </c>
      <c r="D9" s="114">
        <f ca="1">OFFSET('SPDR Payout'!C$4,0,'SPDR Payout'!BA$4-1)/100</f>
        <v>0.61099999999999999</v>
      </c>
    </row>
    <row r="10" spans="1:4">
      <c r="C10" s="102" t="str">
        <f ca="1">OFFSET('SPDR Payout'!C$3,0,'SPDR Payout'!BB$4-1)</f>
        <v>Energy</v>
      </c>
      <c r="D10" s="114">
        <f ca="1">OFFSET('SPDR Payout'!C$4,0,'SPDR Payout'!BB$4-1)/100</f>
        <v>0.58499999999999996</v>
      </c>
    </row>
    <row r="11" spans="1:4">
      <c r="C11" s="102" t="str">
        <f ca="1">OFFSET('SPDR Payout'!C$3,0,'SPDR Payout'!BC$4-1)</f>
        <v>Consumer Staples</v>
      </c>
      <c r="D11" s="114">
        <f ca="1">OFFSET('SPDR Payout'!C$4,0,'SPDR Payout'!BC$4-1)/100</f>
        <v>0.54299999999999993</v>
      </c>
    </row>
    <row r="12" spans="1:4">
      <c r="C12" s="102" t="str">
        <f ca="1">OFFSET('SPDR Payout'!C$3,0,'SPDR Payout'!BD$4-1)</f>
        <v>Materials</v>
      </c>
      <c r="D12" s="114">
        <f ca="1">OFFSET('SPDR Payout'!C$4,0,'SPDR Payout'!BD$4-1)/100</f>
        <v>0.504</v>
      </c>
    </row>
    <row r="13" spans="1:4">
      <c r="C13" s="102" t="str">
        <f ca="1">OFFSET('SPDR Payout'!C$3,0,'SPDR Payout'!BE$4-1)</f>
        <v>Industrial</v>
      </c>
      <c r="D13" s="114">
        <f ca="1">OFFSET('SPDR Payout'!C$4,0,'SPDR Payout'!BE$4-1)/100</f>
        <v>0.32899999999999996</v>
      </c>
    </row>
    <row r="14" spans="1:4">
      <c r="C14" s="102" t="str">
        <f ca="1">OFFSET('SPDR Payout'!C$3,0,'SPDR Payout'!BF$4-1)</f>
        <v>Health Care</v>
      </c>
      <c r="D14" s="114">
        <f ca="1">OFFSET('SPDR Payout'!C$4,0,'SPDR Payout'!BF$4-1)/100</f>
        <v>0.32700000000000001</v>
      </c>
    </row>
    <row r="15" spans="1:4">
      <c r="C15" s="102" t="str">
        <f ca="1">OFFSET('SPDR Payout'!C$3,0,'SPDR Payout'!BG$4-1)</f>
        <v>Financial</v>
      </c>
      <c r="D15" s="114">
        <f ca="1">OFFSET('SPDR Payout'!C$4,0,'SPDR Payout'!BG$4-1)/100</f>
        <v>0.26400000000000001</v>
      </c>
    </row>
    <row r="16" spans="1:4">
      <c r="C16" s="102" t="str">
        <f ca="1">OFFSET('SPDR Payout'!C$3,0,'SPDR Payout'!BH$4-1)</f>
        <v>Consumer Discretionary</v>
      </c>
      <c r="D16" s="114">
        <f ca="1">OFFSET('SPDR Payout'!C$4,0,'SPDR Payout'!BH$4-1)/100</f>
        <v>0.22600000000000001</v>
      </c>
    </row>
    <row r="17" spans="3:4">
      <c r="C17" s="102" t="str">
        <f ca="1">OFFSET('SPDR Payout'!C$3,0,'SPDR Payout'!BI$4-1)</f>
        <v>Technology</v>
      </c>
      <c r="D17" s="114">
        <f ca="1">OFFSET('SPDR Payout'!C$4,0,'SPDR Payout'!BI$4-1)/100</f>
        <v>0.22</v>
      </c>
    </row>
    <row r="19" spans="3:4">
      <c r="C19" s="115" t="s">
        <v>119</v>
      </c>
      <c r="D19" s="116"/>
    </row>
    <row r="20" spans="3:4" ht="24" customHeight="1">
      <c r="C20" s="253" t="s">
        <v>118</v>
      </c>
      <c r="D20" s="254"/>
    </row>
    <row r="21" spans="3:4" ht="24" customHeight="1">
      <c r="C21" s="253" t="str">
        <f>"2. S&amp;P sector payout ratios based on "&amp;Date_Current_Year&amp;"E dividends and earnings per share (estimates as of " &amp; TEXT(Date_EOP_Current,"m/dd/yyyy")&amp;")."</f>
        <v>2. S&amp;P sector payout ratios based on 2025E dividends and earnings per share (estimates as of 9/30/2025).</v>
      </c>
      <c r="D21" s="254"/>
    </row>
    <row r="22" spans="3:4" ht="24" customHeight="1">
      <c r="C22" s="253" t="s">
        <v>103</v>
      </c>
      <c r="D22" s="254"/>
    </row>
    <row r="23" spans="3:4" ht="24" customHeight="1">
      <c r="C23" s="253" t="s">
        <v>186</v>
      </c>
      <c r="D23" s="254"/>
    </row>
    <row r="24" spans="3:4" ht="24" customHeight="1">
      <c r="C24" s="253" t="s">
        <v>117</v>
      </c>
      <c r="D24" s="254"/>
    </row>
  </sheetData>
  <mergeCells count="6">
    <mergeCell ref="C24:D24"/>
    <mergeCell ref="A1:C1"/>
    <mergeCell ref="C20:D20"/>
    <mergeCell ref="C21:D21"/>
    <mergeCell ref="C22:D22"/>
    <mergeCell ref="C23:D23"/>
  </mergeCells>
  <hyperlinks>
    <hyperlink ref="A1" location="Index!A1" display="Return to Index" xr:uid="{CA6AF466-A2C1-4B8F-987E-15D0E90F9D2C}"/>
    <hyperlink ref="A1:B1" location="Contents!A1" display="Go to Contents" xr:uid="{CE76EADE-5BA4-4ED4-BF09-24892F4A51D8}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D06A-4E84-48D1-A719-935B8A3870CE}">
  <sheetPr codeName="Sheet5"/>
  <dimension ref="A1:D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83" customWidth="1"/>
    <col min="3" max="3" width="35.7109375" style="83" customWidth="1"/>
    <col min="4" max="4" width="21.7109375" style="84" customWidth="1"/>
    <col min="5" max="16384" width="9.28515625" style="83"/>
  </cols>
  <sheetData>
    <row r="1" spans="1:4">
      <c r="A1" s="255" t="s">
        <v>135</v>
      </c>
      <c r="B1" s="256"/>
      <c r="C1" s="257"/>
    </row>
    <row r="2" spans="1:4" ht="18.75">
      <c r="B2" s="104" t="s">
        <v>62</v>
      </c>
    </row>
    <row r="3" spans="1:4">
      <c r="C3" s="105" t="str">
        <f>"as of "&amp;TEXT(Date_EOP_Current,"m/dd/yyyy")</f>
        <v>as of 9/30/2025</v>
      </c>
      <c r="D3" s="117"/>
    </row>
    <row r="4" spans="1:4">
      <c r="C4" s="105"/>
      <c r="D4" s="117"/>
    </row>
    <row r="5" spans="1:4">
      <c r="C5" s="118"/>
      <c r="D5" s="119"/>
    </row>
    <row r="6" spans="1:4">
      <c r="C6" s="108" t="s">
        <v>1</v>
      </c>
      <c r="D6" s="109" t="s">
        <v>3</v>
      </c>
    </row>
    <row r="7" spans="1:4">
      <c r="C7" s="110" t="s">
        <v>66</v>
      </c>
      <c r="D7" s="111">
        <f>'Dividend Summary'!$G$46</f>
        <v>3.3662230740372848E-2</v>
      </c>
    </row>
    <row r="8" spans="1:4">
      <c r="C8" s="112"/>
      <c r="D8" s="113"/>
    </row>
    <row r="9" spans="1:4">
      <c r="C9" s="102" t="str">
        <f ca="1">OFFSET('SPDR Yield'!C$3,0,'SPDR Yield'!BA$4-1)</f>
        <v>Energy</v>
      </c>
      <c r="D9" s="114">
        <f ca="1">OFFSET('SPDR Yield'!C$4,0,'SPDR Yield'!BA$4-1)/100</f>
        <v>3.5000000000000003E-2</v>
      </c>
    </row>
    <row r="10" spans="1:4">
      <c r="C10" s="102" t="str">
        <f ca="1">OFFSET('SPDR Yield'!C$3,0,'SPDR Yield'!BB$4-1)</f>
        <v>Utilities</v>
      </c>
      <c r="D10" s="114">
        <f ca="1">OFFSET('SPDR Yield'!C$4,0,'SPDR Yield'!BB$4-1)/100</f>
        <v>3.1E-2</v>
      </c>
    </row>
    <row r="11" spans="1:4">
      <c r="C11" s="102" t="str">
        <f ca="1">OFFSET('SPDR Yield'!C$3,0,'SPDR Yield'!BC$4-1)</f>
        <v>Consumer Staples</v>
      </c>
      <c r="D11" s="114">
        <f ca="1">OFFSET('SPDR Yield'!C$4,0,'SPDR Yield'!BC$4-1)/100</f>
        <v>2.7999999999999997E-2</v>
      </c>
    </row>
    <row r="12" spans="1:4">
      <c r="C12" s="102" t="str">
        <f ca="1">OFFSET('SPDR Yield'!C$3,0,'SPDR Yield'!BD$4-1)</f>
        <v>Materials</v>
      </c>
      <c r="D12" s="114">
        <f ca="1">OFFSET('SPDR Yield'!C$4,0,'SPDR Yield'!BD$4-1)/100</f>
        <v>0.02</v>
      </c>
    </row>
    <row r="13" spans="1:4">
      <c r="C13" s="102" t="str">
        <f ca="1">OFFSET('SPDR Yield'!C$3,0,'SPDR Yield'!BE$4-1)</f>
        <v>Health Care</v>
      </c>
      <c r="D13" s="114">
        <f ca="1">OFFSET('SPDR Yield'!C$4,0,'SPDR Yield'!BE$4-1)/100</f>
        <v>1.8000000000000002E-2</v>
      </c>
    </row>
    <row r="14" spans="1:4">
      <c r="C14" s="102" t="str">
        <f ca="1">OFFSET('SPDR Yield'!C$3,0,'SPDR Yield'!BF$4-1)</f>
        <v>Financial</v>
      </c>
      <c r="D14" s="114">
        <f ca="1">OFFSET('SPDR Yield'!C$4,0,'SPDR Yield'!BF$4-1)/100</f>
        <v>1.4999999999999999E-2</v>
      </c>
    </row>
    <row r="15" spans="1:4">
      <c r="C15" s="102" t="str">
        <f ca="1">OFFSET('SPDR Yield'!C$3,0,'SPDR Yield'!BG$4-1)</f>
        <v>Industrial</v>
      </c>
      <c r="D15" s="114">
        <f ca="1">OFFSET('SPDR Yield'!C$4,0,'SPDR Yield'!BG$4-1)/100</f>
        <v>1.2E-2</v>
      </c>
    </row>
    <row r="16" spans="1:4">
      <c r="C16" s="102" t="str">
        <f ca="1">OFFSET('SPDR Yield'!C$3,0,'SPDR Yield'!BH$4-1)</f>
        <v>Consumer Discretionary</v>
      </c>
      <c r="D16" s="114">
        <f ca="1">OFFSET('SPDR Yield'!C$4,0,'SPDR Yield'!BH$4-1)/100</f>
        <v>8.0000000000000002E-3</v>
      </c>
    </row>
    <row r="17" spans="3:4">
      <c r="C17" s="102" t="str">
        <f ca="1">OFFSET('SPDR Yield'!C$3,0,'SPDR Yield'!BI$4-1)</f>
        <v>Technology</v>
      </c>
      <c r="D17" s="114">
        <f ca="1">OFFSET('SPDR Yield'!C$4,0,'SPDR Yield'!BI$4-1)/100</f>
        <v>6.9999999999999993E-3</v>
      </c>
    </row>
    <row r="19" spans="3:4">
      <c r="C19" s="115" t="s">
        <v>119</v>
      </c>
    </row>
    <row r="20" spans="3:4" ht="24" customHeight="1">
      <c r="C20" s="253" t="str">
        <f>"1. EEI Index Companies' yield based on last announced, annualized dividend rates (as of "&amp;TEXT(Date_EOP_Current,"m/dd/yyyy")&amp;"); S&amp;P sector yields based on "&amp;Date_Current_Year&amp;"E cash dividends (as of "&amp;TEXT(Date_EOP_Current,"m/dd/yyyy")&amp;")."</f>
        <v>1. EEI Index Companies' yield based on last announced, annualized dividend rates (as of 9/30/2025); S&amp;P sector yields based on 2025E cash dividends (as of 9/30/2025).</v>
      </c>
      <c r="D20" s="254"/>
    </row>
    <row r="21" spans="3:4" ht="24" customHeight="1">
      <c r="C21" s="253" t="s">
        <v>103</v>
      </c>
      <c r="D21" s="254"/>
    </row>
    <row r="22" spans="3:4" ht="24" customHeight="1">
      <c r="C22" s="253" t="s">
        <v>186</v>
      </c>
      <c r="D22" s="254"/>
    </row>
    <row r="23" spans="3:4">
      <c r="C23" s="120"/>
    </row>
    <row r="24" spans="3:4">
      <c r="C24" s="120"/>
    </row>
  </sheetData>
  <mergeCells count="4">
    <mergeCell ref="A1:C1"/>
    <mergeCell ref="C20:D20"/>
    <mergeCell ref="C21:D21"/>
    <mergeCell ref="C22:D22"/>
  </mergeCells>
  <hyperlinks>
    <hyperlink ref="A1" location="Index!A1" display="Return to Index" xr:uid="{BCBF7B40-D281-4FD2-8810-CE82F72547C3}"/>
    <hyperlink ref="A1:B1" location="Contents!A1" display="Go to Contents" xr:uid="{0884EDE4-7132-4A9F-BA8B-D9582713141D}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_Report_03"/>
  <dimension ref="A1:N46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10.7109375" style="1" customWidth="1"/>
    <col min="4" max="10" width="8.7109375" style="7" customWidth="1"/>
    <col min="11" max="11" width="10.7109375" style="7" customWidth="1"/>
    <col min="12" max="13" width="10.7109375" style="1" customWidth="1"/>
    <col min="14" max="14" width="4.7109375" style="1" customWidth="1"/>
    <col min="15" max="16384" width="9.28515625" style="1"/>
  </cols>
  <sheetData>
    <row r="1" spans="1:14">
      <c r="A1" s="255" t="s">
        <v>135</v>
      </c>
      <c r="B1" s="258"/>
      <c r="C1" s="259"/>
    </row>
    <row r="2" spans="1:14" ht="18.75">
      <c r="B2" s="52" t="s">
        <v>63</v>
      </c>
      <c r="C2" s="2"/>
    </row>
    <row r="3" spans="1:14">
      <c r="C3" s="10" t="s">
        <v>169</v>
      </c>
    </row>
    <row r="4" spans="1:14">
      <c r="C4" s="3"/>
      <c r="D4" s="5"/>
      <c r="E4" s="5"/>
      <c r="F4" s="5"/>
      <c r="G4" s="5"/>
      <c r="H4" s="5"/>
      <c r="I4" s="5"/>
      <c r="J4" s="5"/>
      <c r="K4" s="5"/>
    </row>
    <row r="5" spans="1:14">
      <c r="C5" s="260"/>
      <c r="D5" s="262" t="s">
        <v>53</v>
      </c>
      <c r="E5" s="262" t="s">
        <v>131</v>
      </c>
      <c r="F5" s="262" t="s">
        <v>54</v>
      </c>
      <c r="G5" s="262" t="s">
        <v>10</v>
      </c>
      <c r="H5" s="262" t="s">
        <v>134</v>
      </c>
      <c r="I5" s="262" t="s">
        <v>133</v>
      </c>
      <c r="J5" s="262" t="s">
        <v>55</v>
      </c>
      <c r="K5" s="262" t="s">
        <v>231</v>
      </c>
      <c r="L5" s="262" t="s">
        <v>151</v>
      </c>
      <c r="M5" s="264"/>
      <c r="N5" s="265"/>
    </row>
    <row r="6" spans="1:14">
      <c r="C6" s="261"/>
      <c r="D6" s="263"/>
      <c r="E6" s="263"/>
      <c r="F6" s="263"/>
      <c r="G6" s="263"/>
      <c r="H6" s="263"/>
      <c r="I6" s="263"/>
      <c r="J6" s="263"/>
      <c r="K6" s="263"/>
      <c r="L6" s="163" t="s">
        <v>149</v>
      </c>
      <c r="M6" s="163" t="s">
        <v>150</v>
      </c>
      <c r="N6" s="266"/>
    </row>
    <row r="7" spans="1:14">
      <c r="C7" s="48"/>
      <c r="D7" s="46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12.75" customHeight="1">
      <c r="C8" s="49">
        <v>2000</v>
      </c>
      <c r="D8" s="47">
        <v>26</v>
      </c>
      <c r="E8" s="47">
        <v>39</v>
      </c>
      <c r="F8" s="47">
        <v>3</v>
      </c>
      <c r="G8" s="47">
        <v>1</v>
      </c>
      <c r="H8" s="47">
        <v>0</v>
      </c>
      <c r="I8" s="47">
        <v>2</v>
      </c>
      <c r="J8" s="45">
        <f t="shared" ref="J8:J15" si="0">SUM(D8:I8)</f>
        <v>71</v>
      </c>
      <c r="K8" s="51">
        <v>0.63900000000000001</v>
      </c>
      <c r="L8" s="74">
        <v>0.30499999999999999</v>
      </c>
      <c r="M8" s="74">
        <v>-0.42799999999999999</v>
      </c>
      <c r="N8" s="45"/>
    </row>
    <row r="9" spans="1:14">
      <c r="C9" s="49">
        <v>2001</v>
      </c>
      <c r="D9" s="47">
        <v>21</v>
      </c>
      <c r="E9" s="47">
        <v>40</v>
      </c>
      <c r="F9" s="47">
        <v>3</v>
      </c>
      <c r="G9" s="47">
        <v>2</v>
      </c>
      <c r="H9" s="47">
        <v>0</v>
      </c>
      <c r="I9" s="47">
        <v>3</v>
      </c>
      <c r="J9" s="45">
        <f t="shared" si="0"/>
        <v>69</v>
      </c>
      <c r="K9" s="51">
        <v>0.64100000000000001</v>
      </c>
      <c r="L9" s="74">
        <v>6.1199999999999997E-2</v>
      </c>
      <c r="M9" s="74">
        <v>-0.437</v>
      </c>
      <c r="N9" s="45"/>
    </row>
    <row r="10" spans="1:14">
      <c r="C10" s="50">
        <v>2002</v>
      </c>
      <c r="D10" s="47">
        <v>26</v>
      </c>
      <c r="E10" s="47">
        <v>27</v>
      </c>
      <c r="F10" s="47">
        <v>6</v>
      </c>
      <c r="G10" s="47">
        <v>3</v>
      </c>
      <c r="H10" s="47">
        <v>0</v>
      </c>
      <c r="I10" s="47">
        <v>3</v>
      </c>
      <c r="J10" s="45">
        <f t="shared" si="0"/>
        <v>65</v>
      </c>
      <c r="K10" s="51">
        <v>0.67500000000000004</v>
      </c>
      <c r="L10" s="74">
        <v>0.111</v>
      </c>
      <c r="M10" s="74">
        <v>-0.48270000000000002</v>
      </c>
      <c r="N10" s="45"/>
    </row>
    <row r="11" spans="1:14">
      <c r="C11" s="49">
        <v>2003</v>
      </c>
      <c r="D11" s="47">
        <v>26</v>
      </c>
      <c r="E11" s="47">
        <v>24</v>
      </c>
      <c r="F11" s="47">
        <v>7</v>
      </c>
      <c r="G11" s="47">
        <v>2</v>
      </c>
      <c r="H11" s="47">
        <v>1</v>
      </c>
      <c r="I11" s="47">
        <v>5</v>
      </c>
      <c r="J11" s="45">
        <f t="shared" si="0"/>
        <v>65</v>
      </c>
      <c r="K11" s="51">
        <v>0.63700000000000001</v>
      </c>
      <c r="L11" s="74">
        <v>5.8099999999999999E-2</v>
      </c>
      <c r="M11" s="74">
        <v>-0.3836</v>
      </c>
      <c r="N11" s="45"/>
    </row>
    <row r="12" spans="1:14">
      <c r="C12" s="49">
        <v>2004</v>
      </c>
      <c r="D12" s="47">
        <v>35</v>
      </c>
      <c r="E12" s="47">
        <v>22</v>
      </c>
      <c r="F12" s="47">
        <v>1</v>
      </c>
      <c r="G12" s="47">
        <v>0</v>
      </c>
      <c r="H12" s="47">
        <v>0</v>
      </c>
      <c r="I12" s="47">
        <v>7</v>
      </c>
      <c r="J12" s="45">
        <f t="shared" si="0"/>
        <v>65</v>
      </c>
      <c r="K12" s="51">
        <v>0.67900000000000005</v>
      </c>
      <c r="L12" s="74">
        <v>0.18709999999999999</v>
      </c>
      <c r="M12" s="74">
        <v>-0.47370000000000001</v>
      </c>
      <c r="N12" s="45"/>
    </row>
    <row r="13" spans="1:14">
      <c r="C13" s="49">
        <v>2005</v>
      </c>
      <c r="D13" s="47">
        <v>34</v>
      </c>
      <c r="E13" s="47">
        <v>22</v>
      </c>
      <c r="F13" s="47">
        <v>1</v>
      </c>
      <c r="G13" s="47">
        <v>1</v>
      </c>
      <c r="H13" s="47">
        <v>2</v>
      </c>
      <c r="I13" s="47">
        <v>5</v>
      </c>
      <c r="J13" s="45">
        <f t="shared" si="0"/>
        <v>65</v>
      </c>
      <c r="K13" s="51">
        <v>0.66469999999999996</v>
      </c>
      <c r="L13" s="74">
        <v>8.4000000000000005E-2</v>
      </c>
      <c r="M13" s="74">
        <v>-0.4</v>
      </c>
      <c r="N13" s="45"/>
    </row>
    <row r="14" spans="1:14">
      <c r="C14" s="50">
        <v>2006</v>
      </c>
      <c r="D14" s="47">
        <v>41</v>
      </c>
      <c r="E14" s="47">
        <v>17</v>
      </c>
      <c r="F14" s="47">
        <v>0</v>
      </c>
      <c r="G14" s="47">
        <v>0</v>
      </c>
      <c r="H14" s="47">
        <v>0</v>
      </c>
      <c r="I14" s="47">
        <v>6</v>
      </c>
      <c r="J14" s="45">
        <f t="shared" si="0"/>
        <v>64</v>
      </c>
      <c r="K14" s="51">
        <v>0.63500000000000001</v>
      </c>
      <c r="L14" s="74">
        <v>9.1999999999999998E-2</v>
      </c>
      <c r="M14" s="162" t="s">
        <v>168</v>
      </c>
      <c r="N14" s="45"/>
    </row>
    <row r="15" spans="1:14">
      <c r="C15" s="50">
        <v>2007</v>
      </c>
      <c r="D15" s="47">
        <v>40</v>
      </c>
      <c r="E15" s="47">
        <v>15</v>
      </c>
      <c r="F15" s="47">
        <v>0</v>
      </c>
      <c r="G15" s="47">
        <v>0</v>
      </c>
      <c r="H15" s="47">
        <v>3</v>
      </c>
      <c r="I15" s="47">
        <v>3</v>
      </c>
      <c r="J15" s="45">
        <f t="shared" si="0"/>
        <v>61</v>
      </c>
      <c r="K15" s="51">
        <v>0.621</v>
      </c>
      <c r="L15" s="74">
        <v>7.4380268751332052E-2</v>
      </c>
      <c r="M15" s="162" t="s">
        <v>168</v>
      </c>
      <c r="N15" s="45"/>
    </row>
    <row r="16" spans="1:14">
      <c r="C16" s="50">
        <v>2008</v>
      </c>
      <c r="D16" s="47">
        <v>36</v>
      </c>
      <c r="E16" s="47">
        <v>20</v>
      </c>
      <c r="F16" s="47">
        <v>1</v>
      </c>
      <c r="G16" s="47">
        <v>0</v>
      </c>
      <c r="H16" s="47">
        <v>1</v>
      </c>
      <c r="I16" s="47">
        <v>1</v>
      </c>
      <c r="J16" s="45">
        <f>SUM(D16:I16)</f>
        <v>59</v>
      </c>
      <c r="K16" s="51">
        <v>0.66761280752433305</v>
      </c>
      <c r="L16" s="74">
        <v>9.4172730104315525E-2</v>
      </c>
      <c r="M16" s="74">
        <v>-0.45652173913043481</v>
      </c>
      <c r="N16" s="45"/>
    </row>
    <row r="17" spans="3:14">
      <c r="C17" s="50">
        <v>2009</v>
      </c>
      <c r="D17" s="47">
        <v>31</v>
      </c>
      <c r="E17" s="47">
        <v>23</v>
      </c>
      <c r="F17" s="47">
        <v>3</v>
      </c>
      <c r="G17" s="47">
        <v>0</v>
      </c>
      <c r="H17" s="47">
        <v>0</v>
      </c>
      <c r="I17" s="47">
        <v>1</v>
      </c>
      <c r="J17" s="45">
        <f t="shared" ref="J17:J18" si="1">SUM(D17:I17)</f>
        <v>58</v>
      </c>
      <c r="K17" s="51">
        <v>0.69597757354279988</v>
      </c>
      <c r="L17" s="74">
        <v>7.1999999999999995E-2</v>
      </c>
      <c r="M17" s="74">
        <v>-0.46369432878481814</v>
      </c>
      <c r="N17" s="45"/>
    </row>
    <row r="18" spans="3:14">
      <c r="C18" s="50">
        <v>2010</v>
      </c>
      <c r="D18" s="47">
        <v>34</v>
      </c>
      <c r="E18" s="47">
        <v>22</v>
      </c>
      <c r="F18" s="47">
        <v>0</v>
      </c>
      <c r="G18" s="47">
        <v>0</v>
      </c>
      <c r="H18" s="47">
        <v>0</v>
      </c>
      <c r="I18" s="47">
        <v>1</v>
      </c>
      <c r="J18" s="45">
        <f t="shared" si="1"/>
        <v>57</v>
      </c>
      <c r="K18" s="51">
        <v>0.61970592274082226</v>
      </c>
      <c r="L18" s="74">
        <v>8.2450600336073321E-2</v>
      </c>
      <c r="M18" s="162" t="s">
        <v>168</v>
      </c>
      <c r="N18" s="45"/>
    </row>
    <row r="19" spans="3:14">
      <c r="C19" s="50">
        <v>2011</v>
      </c>
      <c r="D19" s="47">
        <v>31</v>
      </c>
      <c r="E19" s="47">
        <v>22</v>
      </c>
      <c r="F19" s="47">
        <v>0</v>
      </c>
      <c r="G19" s="47">
        <v>1</v>
      </c>
      <c r="H19" s="47">
        <v>1</v>
      </c>
      <c r="I19" s="47">
        <v>0</v>
      </c>
      <c r="J19" s="45">
        <f t="shared" ref="J19" si="2">SUM(D19:I19)</f>
        <v>55</v>
      </c>
      <c r="K19" s="51">
        <v>0.6283609221661477</v>
      </c>
      <c r="L19" s="74">
        <v>6.7566777049226145E-2</v>
      </c>
      <c r="M19" s="74">
        <v>-1</v>
      </c>
      <c r="N19" s="45"/>
    </row>
    <row r="20" spans="3:14">
      <c r="C20" s="50">
        <v>2012</v>
      </c>
      <c r="D20" s="47">
        <v>36</v>
      </c>
      <c r="E20" s="47">
        <v>14</v>
      </c>
      <c r="F20" s="47">
        <v>0</v>
      </c>
      <c r="G20" s="47">
        <v>0</v>
      </c>
      <c r="H20" s="47">
        <v>1</v>
      </c>
      <c r="I20" s="47">
        <v>0</v>
      </c>
      <c r="J20" s="45">
        <v>51</v>
      </c>
      <c r="K20" s="51">
        <v>0.64161881026115708</v>
      </c>
      <c r="L20" s="74">
        <v>7.2001326635749013E-2</v>
      </c>
      <c r="M20" s="162" t="s">
        <v>168</v>
      </c>
      <c r="N20" s="45"/>
    </row>
    <row r="21" spans="3:14">
      <c r="C21" s="50">
        <v>2013</v>
      </c>
      <c r="D21" s="47">
        <v>36</v>
      </c>
      <c r="E21" s="47">
        <v>12</v>
      </c>
      <c r="F21" s="47">
        <v>1</v>
      </c>
      <c r="G21" s="47">
        <v>0</v>
      </c>
      <c r="H21" s="47">
        <v>0</v>
      </c>
      <c r="I21" s="47">
        <v>0</v>
      </c>
      <c r="J21" s="45">
        <v>49</v>
      </c>
      <c r="K21" s="51">
        <v>0.61499999999999999</v>
      </c>
      <c r="L21" s="74">
        <v>5.2612579334584519E-2</v>
      </c>
      <c r="M21" s="74">
        <v>-0.41</v>
      </c>
      <c r="N21" s="45"/>
    </row>
    <row r="22" spans="3:14">
      <c r="C22" s="50">
        <v>2014</v>
      </c>
      <c r="D22" s="47">
        <v>38</v>
      </c>
      <c r="E22" s="47">
        <v>9</v>
      </c>
      <c r="F22" s="47">
        <v>1</v>
      </c>
      <c r="G22" s="47">
        <v>0</v>
      </c>
      <c r="H22" s="47">
        <v>0</v>
      </c>
      <c r="I22" s="47">
        <v>0</v>
      </c>
      <c r="J22" s="45">
        <v>48</v>
      </c>
      <c r="K22" s="51">
        <v>0.60362408551680646</v>
      </c>
      <c r="L22" s="74">
        <v>5.6591171318945838E-2</v>
      </c>
      <c r="M22" s="74">
        <v>-0.34545454545454557</v>
      </c>
      <c r="N22" s="45"/>
    </row>
    <row r="23" spans="3:14">
      <c r="C23" s="50">
        <v>2015</v>
      </c>
      <c r="D23" s="47">
        <v>39</v>
      </c>
      <c r="E23" s="47">
        <v>7</v>
      </c>
      <c r="F23" s="47">
        <v>0</v>
      </c>
      <c r="G23" s="47">
        <v>0</v>
      </c>
      <c r="H23" s="47">
        <v>0</v>
      </c>
      <c r="I23" s="47">
        <v>0</v>
      </c>
      <c r="J23" s="45">
        <v>46</v>
      </c>
      <c r="K23" s="51">
        <v>0.67034268427968402</v>
      </c>
      <c r="L23" s="74">
        <v>5.8125752566266252E-2</v>
      </c>
      <c r="M23" s="162" t="s">
        <v>168</v>
      </c>
      <c r="N23" s="45"/>
    </row>
    <row r="24" spans="3:14">
      <c r="C24" s="50">
        <v>2016</v>
      </c>
      <c r="D24" s="47">
        <v>40</v>
      </c>
      <c r="E24" s="47">
        <v>4</v>
      </c>
      <c r="F24" s="47">
        <v>0</v>
      </c>
      <c r="G24" s="47">
        <v>0</v>
      </c>
      <c r="H24" s="47">
        <v>0</v>
      </c>
      <c r="I24" s="47">
        <v>0</v>
      </c>
      <c r="J24" s="45">
        <v>44</v>
      </c>
      <c r="K24" s="51">
        <v>0.62941931908529536</v>
      </c>
      <c r="L24" s="74">
        <v>5.6088458741017123E-2</v>
      </c>
      <c r="M24" s="162" t="s">
        <v>168</v>
      </c>
      <c r="N24" s="45"/>
    </row>
    <row r="25" spans="3:14">
      <c r="C25" s="50">
        <v>2017</v>
      </c>
      <c r="D25" s="47">
        <v>38</v>
      </c>
      <c r="E25" s="47">
        <v>4</v>
      </c>
      <c r="F25" s="47">
        <v>0</v>
      </c>
      <c r="G25" s="47">
        <v>1</v>
      </c>
      <c r="H25" s="47">
        <v>0</v>
      </c>
      <c r="I25" s="47">
        <v>0</v>
      </c>
      <c r="J25" s="45">
        <v>43</v>
      </c>
      <c r="K25" s="51">
        <v>0.64049596438166345</v>
      </c>
      <c r="L25" s="74">
        <v>5.6463091075104589E-2</v>
      </c>
      <c r="M25" s="162" t="s">
        <v>168</v>
      </c>
      <c r="N25" s="45"/>
    </row>
    <row r="26" spans="3:14">
      <c r="C26" s="50">
        <v>2018</v>
      </c>
      <c r="D26" s="47">
        <v>39</v>
      </c>
      <c r="E26" s="47">
        <v>1</v>
      </c>
      <c r="F26" s="47">
        <v>1</v>
      </c>
      <c r="G26" s="47">
        <v>0</v>
      </c>
      <c r="H26" s="47">
        <v>0</v>
      </c>
      <c r="I26" s="47">
        <v>1</v>
      </c>
      <c r="J26" s="45">
        <v>42</v>
      </c>
      <c r="K26" s="51">
        <v>0.63946001505405781</v>
      </c>
      <c r="L26" s="74">
        <v>5.7167498823388688E-2</v>
      </c>
      <c r="M26" s="162">
        <v>-0.79804081632653068</v>
      </c>
      <c r="N26" s="45"/>
    </row>
    <row r="27" spans="3:14">
      <c r="C27" s="50">
        <v>2019</v>
      </c>
      <c r="D27" s="47">
        <v>37</v>
      </c>
      <c r="E27" s="47">
        <v>2</v>
      </c>
      <c r="F27" s="47">
        <v>0</v>
      </c>
      <c r="G27" s="47">
        <v>0</v>
      </c>
      <c r="H27" s="47">
        <v>0</v>
      </c>
      <c r="I27" s="47">
        <v>1</v>
      </c>
      <c r="J27" s="45">
        <v>40</v>
      </c>
      <c r="K27" s="51">
        <v>0.62564556563662987</v>
      </c>
      <c r="L27" s="74">
        <v>5.0956814154979463E-2</v>
      </c>
      <c r="M27" s="162" t="s">
        <v>168</v>
      </c>
      <c r="N27" s="45"/>
    </row>
    <row r="28" spans="3:14">
      <c r="C28" s="50">
        <v>2020</v>
      </c>
      <c r="D28" s="47">
        <v>34</v>
      </c>
      <c r="E28" s="47">
        <v>2</v>
      </c>
      <c r="F28" s="47">
        <v>2</v>
      </c>
      <c r="G28" s="47">
        <v>0</v>
      </c>
      <c r="H28" s="47">
        <v>0</v>
      </c>
      <c r="I28" s="47">
        <v>1</v>
      </c>
      <c r="J28" s="45">
        <v>39</v>
      </c>
      <c r="K28" s="51">
        <v>0.65274518260671377</v>
      </c>
      <c r="L28" s="74">
        <v>5.0895870363991277E-2</v>
      </c>
      <c r="M28" s="162">
        <v>-0.40627292736610415</v>
      </c>
      <c r="N28" s="45"/>
    </row>
    <row r="29" spans="3:14">
      <c r="C29" s="50">
        <v>2021</v>
      </c>
      <c r="D29" s="47">
        <v>32</v>
      </c>
      <c r="E29" s="47">
        <v>6</v>
      </c>
      <c r="F29" s="47">
        <v>0</v>
      </c>
      <c r="G29" s="47">
        <v>0</v>
      </c>
      <c r="H29" s="47">
        <v>0</v>
      </c>
      <c r="I29" s="47">
        <v>1</v>
      </c>
      <c r="J29" s="45">
        <v>39</v>
      </c>
      <c r="K29" s="51">
        <v>0.627</v>
      </c>
      <c r="L29" s="74">
        <v>4.8417000000000002E-2</v>
      </c>
      <c r="M29" s="162" t="s">
        <v>168</v>
      </c>
      <c r="N29" s="45"/>
    </row>
    <row r="30" spans="3:14">
      <c r="C30" s="50">
        <v>2022</v>
      </c>
      <c r="D30" s="47">
        <v>34</v>
      </c>
      <c r="E30" s="47">
        <v>3</v>
      </c>
      <c r="F30" s="47">
        <v>1</v>
      </c>
      <c r="G30" s="47">
        <v>0</v>
      </c>
      <c r="H30" s="47">
        <v>0</v>
      </c>
      <c r="I30" s="47">
        <v>1</v>
      </c>
      <c r="J30" s="45">
        <v>39</v>
      </c>
      <c r="K30" s="51">
        <v>0.70768107611161002</v>
      </c>
      <c r="L30" s="74">
        <v>5.1812718432866244E-2</v>
      </c>
      <c r="M30" s="162">
        <v>-0.51807228915662651</v>
      </c>
      <c r="N30" s="45"/>
    </row>
    <row r="31" spans="3:14">
      <c r="C31" s="232">
        <v>2023</v>
      </c>
      <c r="D31" s="233">
        <v>33</v>
      </c>
      <c r="E31" s="233">
        <v>4</v>
      </c>
      <c r="F31" s="233">
        <v>0</v>
      </c>
      <c r="G31" s="233">
        <v>1</v>
      </c>
      <c r="H31" s="233">
        <v>1</v>
      </c>
      <c r="I31" s="233">
        <v>0</v>
      </c>
      <c r="J31" s="234">
        <v>39</v>
      </c>
      <c r="K31" s="235">
        <v>0.68521035694060062</v>
      </c>
      <c r="L31" s="236">
        <v>5.0965693550502955E-2</v>
      </c>
      <c r="M31" s="237">
        <v>-1</v>
      </c>
      <c r="N31" s="234"/>
    </row>
    <row r="32" spans="3:14">
      <c r="C32" s="56">
        <v>2024</v>
      </c>
      <c r="D32" s="78">
        <v>36</v>
      </c>
      <c r="E32" s="78">
        <v>2</v>
      </c>
      <c r="F32" s="78">
        <v>0</v>
      </c>
      <c r="G32" s="78">
        <v>0</v>
      </c>
      <c r="H32" s="78">
        <v>0</v>
      </c>
      <c r="I32" s="78">
        <v>1</v>
      </c>
      <c r="J32" s="57">
        <v>39</v>
      </c>
      <c r="K32" s="79">
        <v>0.63998279382324785</v>
      </c>
      <c r="L32" s="80">
        <v>4.9999505283502096E-2</v>
      </c>
      <c r="M32" s="80" t="s">
        <v>168</v>
      </c>
      <c r="N32" s="57"/>
    </row>
    <row r="33" spans="3:14">
      <c r="C33" s="156"/>
      <c r="D33" s="157"/>
      <c r="E33" s="157"/>
      <c r="F33" s="157"/>
      <c r="G33" s="157"/>
      <c r="H33" s="157"/>
      <c r="I33" s="157"/>
      <c r="J33" s="158"/>
      <c r="K33" s="159"/>
      <c r="L33" s="160"/>
      <c r="M33" s="161"/>
      <c r="N33" s="158"/>
    </row>
    <row r="34" spans="3:14">
      <c r="C34" s="54" t="str">
        <f>Quarter_CY_Q1</f>
        <v>2025 Q1</v>
      </c>
      <c r="D34" s="55">
        <v>20</v>
      </c>
      <c r="E34" s="55">
        <v>17</v>
      </c>
      <c r="F34" s="55">
        <v>0</v>
      </c>
      <c r="G34" s="55">
        <v>0</v>
      </c>
      <c r="H34" s="55">
        <v>0</v>
      </c>
      <c r="I34" s="55">
        <v>1</v>
      </c>
      <c r="J34" s="55">
        <v>38</v>
      </c>
      <c r="K34" s="58">
        <v>0.63900000000000001</v>
      </c>
      <c r="L34" s="77">
        <v>5.33E-2</v>
      </c>
      <c r="M34" s="239" t="s">
        <v>168</v>
      </c>
      <c r="N34" s="55"/>
    </row>
    <row r="35" spans="3:14">
      <c r="C35" s="50" t="str">
        <f>Quarter_CY_Q2</f>
        <v>2025 Q2</v>
      </c>
      <c r="D35" s="47">
        <v>2</v>
      </c>
      <c r="E35" s="47">
        <v>35</v>
      </c>
      <c r="F35" s="47">
        <v>0</v>
      </c>
      <c r="G35" s="47">
        <v>0</v>
      </c>
      <c r="H35" s="47">
        <v>0</v>
      </c>
      <c r="I35" s="47">
        <v>1</v>
      </c>
      <c r="J35" s="47">
        <v>38</v>
      </c>
      <c r="K35" s="51">
        <v>0.64200000000000002</v>
      </c>
      <c r="L35" s="74">
        <v>3.8899999999999997E-2</v>
      </c>
      <c r="M35" s="162" t="s">
        <v>168</v>
      </c>
      <c r="N35" s="47"/>
    </row>
    <row r="36" spans="3:14">
      <c r="C36" s="50" t="str">
        <f>Quarter_CY_Q3</f>
        <v>2025 Q3</v>
      </c>
      <c r="D36" s="47">
        <v>4</v>
      </c>
      <c r="E36" s="47">
        <v>33</v>
      </c>
      <c r="F36" s="47">
        <v>0</v>
      </c>
      <c r="G36" s="47">
        <v>0</v>
      </c>
      <c r="H36" s="47">
        <v>0</v>
      </c>
      <c r="I36" s="47">
        <v>1</v>
      </c>
      <c r="J36" s="47">
        <v>38</v>
      </c>
      <c r="K36" s="51">
        <v>0.64862610851106439</v>
      </c>
      <c r="L36" s="74">
        <v>4.0129866402707326E-2</v>
      </c>
      <c r="M36" s="162" t="s">
        <v>168</v>
      </c>
      <c r="N36" s="47"/>
    </row>
    <row r="37" spans="3:14">
      <c r="C37" s="56" t="str">
        <f>Quarter_CY_Q4</f>
        <v>2025 Q4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241" t="s">
        <v>168</v>
      </c>
      <c r="L37" s="240" t="s">
        <v>168</v>
      </c>
      <c r="M37" s="240" t="s">
        <v>168</v>
      </c>
      <c r="N37" s="57"/>
    </row>
    <row r="38" spans="3:14">
      <c r="C38" s="56" t="str">
        <f>Date_Current_Year</f>
        <v>2025</v>
      </c>
      <c r="D38" s="78"/>
      <c r="E38" s="78"/>
      <c r="F38" s="78"/>
      <c r="G38" s="78"/>
      <c r="H38" s="78"/>
      <c r="I38" s="78"/>
      <c r="J38" s="78"/>
      <c r="K38" s="79"/>
      <c r="L38" s="80">
        <f>IF(SUM(D$34,D$35,D$36,D$37)=0,"-",(IF(D$37=0,0,L$37*D37)+IF(D$36=0,0,L$36*D36)+IF(D$35=0,0,L$35*D35)+IF(D$34=0,0,L$34*D34))/SUM(D$37,D$36,D$35,D$34))</f>
        <v>5.0166133292724208E-2</v>
      </c>
      <c r="M38" s="80" t="str">
        <f>IF(SUM(F$34,F$35,F$36,F$37)=0,"-",(IF(F$37=0,0,M$37*F37)+IF(F$36=0,0,M$36*F36)+IF(F$35=0,0,M$35*F35)+IF(F$34=0,0,M$34*F34))/SUM(F$37,F$36,F$35,F$34))</f>
        <v>-</v>
      </c>
      <c r="N38" s="57"/>
    </row>
    <row r="40" spans="3:14">
      <c r="C40" s="6" t="s">
        <v>214</v>
      </c>
      <c r="D40" s="5"/>
      <c r="E40" s="5"/>
      <c r="F40" s="5"/>
      <c r="G40" s="5"/>
      <c r="H40" s="5"/>
      <c r="I40" s="5"/>
      <c r="J40" s="5"/>
      <c r="K40" s="5"/>
      <c r="L40" s="4"/>
      <c r="M40" s="4"/>
      <c r="N40" s="4"/>
    </row>
    <row r="41" spans="3:14">
      <c r="C41" s="4" t="str">
        <f>Date_Current_Year&amp;" current year figures reflect dividend changes (raised, lowered, etc.) through "&amp;TEXT(Date_EOP_Current,"m/dd/yyyy" )&amp;" and earnings and dividends through "&amp;TEXT(Date_Payout_Ratio,"m/dd/yyyy")&amp;" (payout ratio)."</f>
        <v>2025 current year figures reflect dividend changes (raised, lowered, etc.) through 9/30/2025 and earnings and dividends through 6/30/2025 (payout ratio).</v>
      </c>
      <c r="D41" s="5"/>
      <c r="E41" s="5"/>
      <c r="F41" s="5"/>
      <c r="G41" s="5"/>
      <c r="H41" s="5"/>
      <c r="I41" s="5"/>
      <c r="J41" s="5"/>
      <c r="K41" s="5"/>
    </row>
    <row r="42" spans="3:14">
      <c r="C42" s="4" t="s">
        <v>256</v>
      </c>
      <c r="D42" s="5"/>
      <c r="E42" s="5"/>
      <c r="F42" s="5"/>
      <c r="G42" s="5"/>
      <c r="H42" s="5"/>
      <c r="I42" s="5"/>
      <c r="J42" s="5"/>
      <c r="K42" s="5"/>
      <c r="L42" s="4"/>
      <c r="M42" s="4"/>
      <c r="N42" s="4"/>
    </row>
    <row r="43" spans="3:14">
      <c r="C43" s="4"/>
      <c r="D43" s="5"/>
      <c r="E43" s="5"/>
      <c r="F43" s="5"/>
      <c r="G43" s="5"/>
      <c r="H43" s="5"/>
      <c r="I43" s="5"/>
      <c r="J43" s="5"/>
      <c r="K43" s="5"/>
      <c r="L43" s="4"/>
      <c r="M43" s="4"/>
      <c r="N43" s="4"/>
    </row>
    <row r="44" spans="3:14">
      <c r="C44" s="4" t="s">
        <v>166</v>
      </c>
      <c r="D44" s="8"/>
      <c r="E44" s="9"/>
      <c r="F44" s="5"/>
      <c r="G44" s="5"/>
      <c r="H44" s="5"/>
      <c r="I44" s="5"/>
      <c r="J44" s="5"/>
      <c r="K44" s="5"/>
    </row>
    <row r="45" spans="3:14">
      <c r="D45" s="5"/>
    </row>
    <row r="46" spans="3:14">
      <c r="L46" s="200"/>
    </row>
  </sheetData>
  <mergeCells count="12">
    <mergeCell ref="L5:M5"/>
    <mergeCell ref="N5:N6"/>
    <mergeCell ref="F5:F6"/>
    <mergeCell ref="G5:G6"/>
    <mergeCell ref="H5:H6"/>
    <mergeCell ref="I5:I6"/>
    <mergeCell ref="J5:J6"/>
    <mergeCell ref="A1:C1"/>
    <mergeCell ref="C5:C6"/>
    <mergeCell ref="D5:D6"/>
    <mergeCell ref="E5:E6"/>
    <mergeCell ref="K5:K6"/>
  </mergeCells>
  <phoneticPr fontId="4" type="noConversion"/>
  <hyperlinks>
    <hyperlink ref="A1" location="Index!A1" display="Return to Index" xr:uid="{00000000-0004-0000-0400-000000000000}"/>
    <hyperlink ref="A1:B1" location="Contents!A1" display="Go to Contents" xr:uid="{00000000-0004-0000-0400-000001000000}"/>
  </hyperlinks>
  <pageMargins left="0.17" right="0.75" top="1" bottom="1" header="0.5" footer="0.5"/>
  <pageSetup scale="9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_Report_04"/>
  <dimension ref="A1:Y17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20.7109375" style="1" customWidth="1"/>
    <col min="4" max="25" width="8.7109375" style="1" customWidth="1"/>
    <col min="26" max="16384" width="9.28515625" style="1"/>
  </cols>
  <sheetData>
    <row r="1" spans="1:25">
      <c r="A1" s="255" t="s">
        <v>135</v>
      </c>
      <c r="B1" s="258"/>
      <c r="C1" s="259"/>
    </row>
    <row r="2" spans="1:25" ht="18.75">
      <c r="B2" s="52" t="s">
        <v>260</v>
      </c>
    </row>
    <row r="3" spans="1:25">
      <c r="C3" s="10" t="s">
        <v>169</v>
      </c>
    </row>
    <row r="5" spans="1:25">
      <c r="B5" s="11"/>
      <c r="C5" s="12"/>
      <c r="D5" s="11"/>
      <c r="E5" s="11"/>
      <c r="F5" s="11"/>
      <c r="G5" s="11"/>
    </row>
    <row r="6" spans="1:25" ht="15.75">
      <c r="B6" s="11"/>
      <c r="C6" s="267" t="s">
        <v>97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</row>
    <row r="7" spans="1:25">
      <c r="C7" s="81" t="s">
        <v>4</v>
      </c>
      <c r="D7" s="43">
        <v>2004</v>
      </c>
      <c r="E7" s="43">
        <v>2005</v>
      </c>
      <c r="F7" s="43">
        <v>2006</v>
      </c>
      <c r="G7" s="43">
        <v>2007</v>
      </c>
      <c r="H7" s="43">
        <v>2008</v>
      </c>
      <c r="I7" s="43">
        <v>2009</v>
      </c>
      <c r="J7" s="43">
        <v>2010</v>
      </c>
      <c r="K7" s="43">
        <v>2011</v>
      </c>
      <c r="L7" s="43">
        <v>2012</v>
      </c>
      <c r="M7" s="43">
        <v>2013</v>
      </c>
      <c r="N7" s="43">
        <v>2014</v>
      </c>
      <c r="O7" s="43">
        <v>2015</v>
      </c>
      <c r="P7" s="43">
        <v>2016</v>
      </c>
      <c r="Q7" s="43">
        <v>2017</v>
      </c>
      <c r="R7" s="43">
        <v>2018</v>
      </c>
      <c r="S7" s="43">
        <v>2019</v>
      </c>
      <c r="T7" s="43">
        <v>2020</v>
      </c>
      <c r="U7" s="43">
        <v>2021</v>
      </c>
      <c r="V7" s="43">
        <v>2022</v>
      </c>
      <c r="W7" s="43">
        <v>2023</v>
      </c>
      <c r="X7" s="43">
        <v>2024</v>
      </c>
      <c r="Y7" s="43" t="str">
        <f>Date_Current_Year&amp;"*"</f>
        <v>2025*</v>
      </c>
    </row>
    <row r="8" spans="1:25">
      <c r="C8" s="82" t="s">
        <v>66</v>
      </c>
      <c r="D8" s="75">
        <v>67.900000000000006</v>
      </c>
      <c r="E8" s="76">
        <v>66.47</v>
      </c>
      <c r="F8" s="75">
        <v>63.3</v>
      </c>
      <c r="G8" s="75">
        <v>62.1</v>
      </c>
      <c r="H8" s="75">
        <v>66.761280752433265</v>
      </c>
      <c r="I8" s="75">
        <v>69.597757354279992</v>
      </c>
      <c r="J8" s="75">
        <v>61.9705922740822</v>
      </c>
      <c r="K8" s="75">
        <v>62.836092216614773</v>
      </c>
      <c r="L8" s="75">
        <v>64.161881026115708</v>
      </c>
      <c r="M8" s="75">
        <v>61.5</v>
      </c>
      <c r="N8" s="75">
        <v>60.362408551680645</v>
      </c>
      <c r="O8" s="75">
        <v>67.034268427968442</v>
      </c>
      <c r="P8" s="75">
        <v>62.941931908529533</v>
      </c>
      <c r="Q8" s="75">
        <v>64.049596438166347</v>
      </c>
      <c r="R8" s="75">
        <v>63.946001505405782</v>
      </c>
      <c r="S8" s="75">
        <v>62.56455656366299</v>
      </c>
      <c r="T8" s="75">
        <v>65.274518260671371</v>
      </c>
      <c r="U8" s="75">
        <v>62.7</v>
      </c>
      <c r="V8" s="75">
        <v>70.768107611161</v>
      </c>
      <c r="W8" s="75">
        <v>68.52103569406006</v>
      </c>
      <c r="X8" s="75">
        <v>64</v>
      </c>
      <c r="Y8" s="75">
        <f>'Dividend Summary'!$F$46 * 100</f>
        <v>64.862610851106439</v>
      </c>
    </row>
    <row r="9" spans="1:25">
      <c r="B9" s="11"/>
      <c r="C9" s="13"/>
      <c r="D9" s="11"/>
      <c r="E9" s="11"/>
      <c r="F9" s="16"/>
      <c r="G9" s="15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>
      <c r="B10" s="11"/>
      <c r="C10" s="11" t="str">
        <f>"* "&amp;Date_Current_Year&amp;" figures reflect earnings and dividends through "&amp;TEXT(Date_Payout_Ratio,"m/dd/yyyy")&amp;"."</f>
        <v>* 2025 figures reflect earnings and dividends through 6/30/2025.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B12" s="11"/>
      <c r="C12" s="13" t="s">
        <v>167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B14" s="11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B15" s="11"/>
      <c r="C15" s="1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7" spans="3:3">
      <c r="C17" s="17"/>
    </row>
  </sheetData>
  <mergeCells count="2">
    <mergeCell ref="A1:C1"/>
    <mergeCell ref="C6:Y6"/>
  </mergeCells>
  <phoneticPr fontId="4" type="noConversion"/>
  <hyperlinks>
    <hyperlink ref="A1" location="Index!A1" display="Return to Index" xr:uid="{00000000-0004-0000-0500-000000000000}"/>
    <hyperlink ref="A1:B1" location="Contents!A1" display="Go to Contents" xr:uid="{00000000-0004-0000-0500-000001000000}"/>
  </hyperlinks>
  <printOptions gridLines="1"/>
  <pageMargins left="0.25" right="0.18" top="0.73" bottom="1" header="0.18" footer="0.5"/>
  <pageSetup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_Report_05"/>
  <dimension ref="A1:H1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35.7109375" style="1" customWidth="1"/>
    <col min="4" max="4" width="21.7109375" style="1" customWidth="1"/>
    <col min="5" max="16384" width="9.28515625" style="1"/>
  </cols>
  <sheetData>
    <row r="1" spans="1:8">
      <c r="A1" s="255" t="s">
        <v>135</v>
      </c>
      <c r="B1" s="258"/>
      <c r="C1" s="259"/>
    </row>
    <row r="2" spans="1:8" ht="18.75">
      <c r="B2" s="52" t="s">
        <v>259</v>
      </c>
    </row>
    <row r="3" spans="1:8">
      <c r="C3" s="10" t="s">
        <v>169</v>
      </c>
    </row>
    <row r="4" spans="1:8">
      <c r="C4" s="19" t="str">
        <f>"as of "&amp;TEXT(Date_EOP_Current,"m/dd/yyyy")</f>
        <v>as of 9/30/2025</v>
      </c>
    </row>
    <row r="5" spans="1:8">
      <c r="B5" s="11"/>
      <c r="C5" s="268"/>
      <c r="D5" s="268"/>
      <c r="E5" s="11"/>
      <c r="F5" s="11"/>
    </row>
    <row r="6" spans="1:8">
      <c r="B6" s="11"/>
      <c r="C6" s="20"/>
      <c r="D6" s="20"/>
      <c r="E6" s="11"/>
      <c r="F6" s="11"/>
    </row>
    <row r="7" spans="1:8">
      <c r="C7" s="81" t="s">
        <v>4</v>
      </c>
      <c r="D7" s="53" t="s">
        <v>60</v>
      </c>
      <c r="G7" s="21"/>
      <c r="H7" s="22"/>
    </row>
    <row r="8" spans="1:8">
      <c r="C8" s="82" t="s">
        <v>66</v>
      </c>
      <c r="D8" s="205">
        <f>'Dividend Summary'!$G$46</f>
        <v>3.3662230740372848E-2</v>
      </c>
      <c r="F8" s="23"/>
    </row>
    <row r="9" spans="1:8">
      <c r="B9" s="11"/>
      <c r="C9" s="13"/>
      <c r="D9" s="25"/>
      <c r="E9" s="11"/>
      <c r="F9" s="24"/>
    </row>
    <row r="10" spans="1:8">
      <c r="B10" s="11"/>
      <c r="C10" s="13" t="s">
        <v>215</v>
      </c>
      <c r="D10" s="11"/>
      <c r="E10" s="11"/>
      <c r="F10" s="11"/>
    </row>
    <row r="11" spans="1:8">
      <c r="B11" s="11"/>
      <c r="C11" s="11"/>
      <c r="D11" s="11"/>
      <c r="E11" s="11"/>
      <c r="F11" s="11"/>
    </row>
    <row r="12" spans="1:8">
      <c r="B12" s="11"/>
      <c r="C12" s="11"/>
      <c r="D12" s="11"/>
      <c r="E12" s="11"/>
      <c r="F12" s="11"/>
    </row>
    <row r="13" spans="1:8">
      <c r="B13" s="11"/>
      <c r="C13" s="11"/>
      <c r="D13" s="11"/>
      <c r="E13" s="11"/>
      <c r="F13" s="11"/>
    </row>
    <row r="14" spans="1:8">
      <c r="B14" s="11"/>
      <c r="C14" s="11"/>
      <c r="D14" s="11"/>
      <c r="E14" s="11"/>
      <c r="F14" s="11"/>
    </row>
  </sheetData>
  <mergeCells count="2">
    <mergeCell ref="C5:D5"/>
    <mergeCell ref="A1:C1"/>
  </mergeCells>
  <phoneticPr fontId="4" type="noConversion"/>
  <hyperlinks>
    <hyperlink ref="A1" location="Index!A1" display="Return to Index" xr:uid="{00000000-0004-0000-0600-000000000000}"/>
    <hyperlink ref="A1:B1" location="Contents!A1" display="Go to Contents" xr:uid="{00000000-0004-0000-0600-000001000000}"/>
  </hyperlinks>
  <printOptions gridLines="1"/>
  <pageMargins left="0.75" right="0.75" top="1" bottom="1" header="0.5" footer="0.5"/>
  <pageSetup scale="12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_Report_06">
    <pageSetUpPr autoPageBreaks="0"/>
  </sheetPr>
  <dimension ref="A1:BC114"/>
  <sheetViews>
    <sheetView showGridLines="0" zoomScaleNormal="100" zoomScaleSheetLayoutView="80" workbookViewId="0">
      <selection sqref="A1:C1"/>
    </sheetView>
  </sheetViews>
  <sheetFormatPr defaultColWidth="9.28515625" defaultRowHeight="11.1" customHeight="1" outlineLevelCol="1"/>
  <cols>
    <col min="1" max="2" width="4.7109375" style="26" customWidth="1"/>
    <col min="3" max="3" width="36.7109375" style="26" customWidth="1"/>
    <col min="4" max="4" width="14.7109375" style="26" customWidth="1"/>
    <col min="5" max="6" width="10.7109375" style="26" customWidth="1"/>
    <col min="7" max="7" width="10.7109375" style="29" customWidth="1"/>
    <col min="8" max="8" width="10.7109375" style="26" customWidth="1"/>
    <col min="9" max="10" width="9.7109375" style="26" customWidth="1"/>
    <col min="11" max="11" width="12.7109375" style="26" customWidth="1"/>
    <col min="12" max="12" width="4.7109375" style="27" customWidth="1"/>
    <col min="13" max="14" width="8.7109375" style="27" hidden="1" customWidth="1" outlineLevel="1"/>
    <col min="15" max="15" width="10.140625" style="27" hidden="1" customWidth="1" outlineLevel="1"/>
    <col min="16" max="18" width="8.7109375" style="27" hidden="1" customWidth="1" outlineLevel="1"/>
    <col min="19" max="19" width="9.85546875" style="27" hidden="1" customWidth="1" outlineLevel="1"/>
    <col min="20" max="20" width="10.28515625" style="142" hidden="1" customWidth="1" outlineLevel="1"/>
    <col min="21" max="21" width="1.7109375" style="26" hidden="1" customWidth="1" outlineLevel="1"/>
    <col min="22" max="24" width="6.7109375" style="26" hidden="1" customWidth="1" outlineLevel="1"/>
    <col min="25" max="25" width="1.7109375" style="26" hidden="1" customWidth="1" outlineLevel="1"/>
    <col min="26" max="28" width="6.7109375" style="26" hidden="1" customWidth="1" outlineLevel="1"/>
    <col min="29" max="29" width="1.7109375" style="26" hidden="1" customWidth="1" outlineLevel="1"/>
    <col min="30" max="32" width="6.7109375" style="26" hidden="1" customWidth="1" outlineLevel="1"/>
    <col min="33" max="33" width="1.7109375" style="26" hidden="1" customWidth="1" outlineLevel="1"/>
    <col min="34" max="36" width="6.7109375" style="26" hidden="1" customWidth="1" outlineLevel="1"/>
    <col min="37" max="37" width="1.7109375" style="26" hidden="1" customWidth="1" outlineLevel="1"/>
    <col min="38" max="38" width="6.7109375" style="27" hidden="1" customWidth="1" outlineLevel="1"/>
    <col min="39" max="39" width="7.7109375" style="27" hidden="1" customWidth="1" outlineLevel="1"/>
    <col min="40" max="40" width="7.7109375" style="142" hidden="1" customWidth="1" outlineLevel="1"/>
    <col min="41" max="41" width="1.7109375" style="26" hidden="1" customWidth="1" outlineLevel="1"/>
    <col min="42" max="42" width="6.7109375" style="27" hidden="1" customWidth="1" outlineLevel="1"/>
    <col min="43" max="43" width="9.7109375" style="142" hidden="1" customWidth="1" outlineLevel="1"/>
    <col min="44" max="45" width="11.7109375" style="142" hidden="1" customWidth="1" outlineLevel="1"/>
    <col min="46" max="46" width="1.7109375" style="26" hidden="1" customWidth="1" outlineLevel="1"/>
    <col min="47" max="47" width="6.7109375" style="27" hidden="1" customWidth="1" outlineLevel="1"/>
    <col min="48" max="48" width="9.7109375" style="142" hidden="1" customWidth="1" outlineLevel="1"/>
    <col min="49" max="49" width="1.7109375" style="26" hidden="1" customWidth="1" outlineLevel="1"/>
    <col min="50" max="50" width="6.7109375" style="27" hidden="1" customWidth="1" outlineLevel="1"/>
    <col min="51" max="51" width="7.7109375" style="27" hidden="1" customWidth="1" outlineLevel="1"/>
    <col min="52" max="52" width="8.7109375" style="27" hidden="1" customWidth="1" outlineLevel="1"/>
    <col min="53" max="53" width="10.7109375" style="27" hidden="1" customWidth="1" outlineLevel="1"/>
    <col min="54" max="54" width="1.7109375" style="26" hidden="1" customWidth="1" outlineLevel="1" collapsed="1"/>
    <col min="55" max="55" width="9.28515625" style="26" collapsed="1"/>
    <col min="56" max="16384" width="9.28515625" style="26"/>
  </cols>
  <sheetData>
    <row r="1" spans="1:55" ht="11.1" customHeight="1">
      <c r="A1" s="255" t="s">
        <v>135</v>
      </c>
      <c r="B1" s="258"/>
      <c r="C1" s="259"/>
      <c r="G1" s="26"/>
      <c r="M1" s="127"/>
      <c r="N1" s="127"/>
      <c r="O1" s="127"/>
      <c r="P1" s="127"/>
      <c r="Q1" s="127"/>
      <c r="R1" s="127"/>
      <c r="S1" s="127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127"/>
      <c r="AM1" s="91"/>
      <c r="AN1" s="128"/>
      <c r="AO1" s="92"/>
      <c r="AP1" s="127"/>
      <c r="AQ1" s="91"/>
      <c r="AR1" s="91"/>
      <c r="AS1" s="91"/>
      <c r="AT1" s="92"/>
      <c r="AU1" s="127"/>
      <c r="AV1" s="91"/>
      <c r="AW1" s="92"/>
      <c r="AX1" s="127"/>
      <c r="AY1" s="91"/>
      <c r="AZ1" s="91"/>
      <c r="BA1" s="128"/>
      <c r="BB1" s="92"/>
    </row>
    <row r="2" spans="1:55" ht="18.75" customHeight="1">
      <c r="B2" s="52" t="s">
        <v>67</v>
      </c>
      <c r="G2" s="26"/>
      <c r="M2" s="129"/>
      <c r="N2" s="129"/>
      <c r="O2" s="129"/>
      <c r="P2" s="129"/>
      <c r="Q2" s="129"/>
      <c r="R2" s="129"/>
      <c r="S2" s="129"/>
      <c r="T2" s="130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129"/>
      <c r="AM2" s="131"/>
      <c r="AN2" s="132"/>
      <c r="AO2" s="92"/>
      <c r="AP2" s="129"/>
      <c r="AQ2" s="133"/>
      <c r="AR2" s="133"/>
      <c r="AS2" s="133"/>
      <c r="AT2" s="92"/>
      <c r="AU2" s="129"/>
      <c r="AV2" s="133"/>
      <c r="AW2" s="92"/>
      <c r="AX2" s="129"/>
      <c r="AY2" s="91"/>
      <c r="AZ2" s="91"/>
      <c r="BA2" s="132"/>
      <c r="BB2" s="92"/>
    </row>
    <row r="3" spans="1:55" ht="11.1" customHeight="1">
      <c r="C3" s="10" t="s">
        <v>169</v>
      </c>
      <c r="E3" s="28"/>
      <c r="M3" s="134"/>
      <c r="N3" s="134"/>
      <c r="O3" s="134"/>
      <c r="P3" s="134"/>
      <c r="Q3" s="134"/>
      <c r="R3" s="134"/>
      <c r="S3" s="134"/>
      <c r="T3" s="130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134"/>
      <c r="AM3" s="130"/>
      <c r="AN3" s="135"/>
      <c r="AO3" s="136"/>
      <c r="AP3" s="134"/>
      <c r="AQ3" s="130"/>
      <c r="AR3" s="130"/>
      <c r="AS3" s="130"/>
      <c r="AT3" s="136"/>
      <c r="AU3" s="134"/>
      <c r="AV3" s="130"/>
      <c r="AW3" s="136"/>
      <c r="AX3" s="134"/>
      <c r="AY3" s="91"/>
      <c r="AZ3" s="91"/>
      <c r="BA3" s="135"/>
      <c r="BB3" s="136"/>
    </row>
    <row r="4" spans="1:55" ht="11.1" customHeight="1">
      <c r="H4" s="30"/>
      <c r="M4" s="91"/>
      <c r="N4" s="91"/>
      <c r="O4" s="91"/>
      <c r="P4" s="91"/>
      <c r="Q4" s="91"/>
      <c r="R4" s="91"/>
      <c r="S4" s="91"/>
      <c r="T4" s="128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1"/>
      <c r="AM4" s="91"/>
      <c r="AN4" s="128"/>
      <c r="AO4" s="92"/>
      <c r="AP4" s="91"/>
      <c r="AQ4" s="128"/>
      <c r="AR4" s="128"/>
      <c r="AS4" s="128"/>
      <c r="AT4" s="92"/>
      <c r="AU4" s="91"/>
      <c r="AV4" s="128"/>
      <c r="AW4" s="92"/>
      <c r="AX4" s="91"/>
      <c r="AY4" s="91"/>
      <c r="AZ4" s="91"/>
      <c r="BA4" s="91"/>
      <c r="BB4" s="92"/>
    </row>
    <row r="5" spans="1:55" ht="11.1" customHeight="1">
      <c r="C5" s="275" t="s">
        <v>5</v>
      </c>
      <c r="D5" s="269" t="s">
        <v>6</v>
      </c>
      <c r="E5" s="269" t="s">
        <v>262</v>
      </c>
      <c r="F5" s="269" t="s">
        <v>230</v>
      </c>
      <c r="G5" s="271" t="s">
        <v>96</v>
      </c>
      <c r="H5" s="272" t="s">
        <v>57</v>
      </c>
      <c r="I5" s="273"/>
      <c r="J5" s="273"/>
      <c r="K5" s="274"/>
      <c r="M5" s="183" t="s">
        <v>138</v>
      </c>
      <c r="N5" s="184"/>
      <c r="O5" s="184"/>
      <c r="P5" s="184"/>
      <c r="Q5" s="184"/>
      <c r="R5" s="184"/>
      <c r="S5" s="184"/>
      <c r="T5" s="184"/>
      <c r="V5" s="183" t="s">
        <v>225</v>
      </c>
      <c r="W5" s="184"/>
      <c r="X5" s="184"/>
      <c r="Z5" s="183" t="s">
        <v>226</v>
      </c>
      <c r="AA5" s="184"/>
      <c r="AB5" s="184"/>
      <c r="AD5" s="183" t="s">
        <v>227</v>
      </c>
      <c r="AE5" s="184"/>
      <c r="AF5" s="184"/>
      <c r="AH5" s="183" t="s">
        <v>228</v>
      </c>
      <c r="AI5" s="184"/>
      <c r="AJ5" s="184"/>
      <c r="AL5" s="183" t="s">
        <v>100</v>
      </c>
      <c r="AM5" s="183"/>
      <c r="AN5" s="183"/>
      <c r="AP5" s="183" t="s">
        <v>0</v>
      </c>
      <c r="AQ5" s="184"/>
      <c r="AR5" s="184"/>
      <c r="AS5" s="184"/>
      <c r="AU5" s="183" t="s">
        <v>104</v>
      </c>
      <c r="AV5" s="183"/>
      <c r="AX5" s="183" t="s">
        <v>229</v>
      </c>
      <c r="AY5" s="183"/>
      <c r="AZ5" s="183"/>
      <c r="BA5" s="183"/>
    </row>
    <row r="6" spans="1:55" ht="18.75" customHeight="1">
      <c r="C6" s="276"/>
      <c r="D6" s="270"/>
      <c r="E6" s="270"/>
      <c r="F6" s="270"/>
      <c r="G6" s="270"/>
      <c r="H6" s="153" t="s">
        <v>105</v>
      </c>
      <c r="I6" s="154" t="s">
        <v>7</v>
      </c>
      <c r="J6" s="154" t="s">
        <v>8</v>
      </c>
      <c r="K6" s="155" t="s">
        <v>107</v>
      </c>
      <c r="M6" s="192" t="s">
        <v>217</v>
      </c>
      <c r="N6" s="192" t="s">
        <v>15</v>
      </c>
      <c r="O6" s="192" t="s">
        <v>286</v>
      </c>
      <c r="P6" s="192" t="s">
        <v>287</v>
      </c>
      <c r="Q6" s="192" t="s">
        <v>288</v>
      </c>
      <c r="R6" s="192" t="s">
        <v>289</v>
      </c>
      <c r="S6" s="192" t="s">
        <v>290</v>
      </c>
      <c r="T6" s="192" t="s">
        <v>139</v>
      </c>
      <c r="U6" s="40"/>
      <c r="V6" s="192" t="s">
        <v>222</v>
      </c>
      <c r="W6" s="192" t="s">
        <v>223</v>
      </c>
      <c r="X6" s="192" t="s">
        <v>224</v>
      </c>
      <c r="Y6" s="40"/>
      <c r="Z6" s="192" t="s">
        <v>222</v>
      </c>
      <c r="AA6" s="192" t="s">
        <v>223</v>
      </c>
      <c r="AB6" s="192" t="s">
        <v>224</v>
      </c>
      <c r="AC6" s="40"/>
      <c r="AD6" s="192" t="s">
        <v>222</v>
      </c>
      <c r="AE6" s="192" t="s">
        <v>223</v>
      </c>
      <c r="AF6" s="192" t="s">
        <v>224</v>
      </c>
      <c r="AG6" s="40"/>
      <c r="AH6" s="192" t="s">
        <v>222</v>
      </c>
      <c r="AI6" s="192" t="s">
        <v>223</v>
      </c>
      <c r="AJ6" s="192" t="s">
        <v>224</v>
      </c>
      <c r="AK6" s="40"/>
      <c r="AL6" s="192" t="s">
        <v>291</v>
      </c>
      <c r="AM6" s="192" t="s">
        <v>106</v>
      </c>
      <c r="AN6" s="192" t="s">
        <v>220</v>
      </c>
      <c r="AO6" s="185"/>
      <c r="AP6" s="192" t="s">
        <v>291</v>
      </c>
      <c r="AQ6" s="192" t="s">
        <v>221</v>
      </c>
      <c r="AR6" s="192" t="s">
        <v>120</v>
      </c>
      <c r="AS6" s="192" t="s">
        <v>144</v>
      </c>
      <c r="AT6" s="185"/>
      <c r="AU6" s="192" t="s">
        <v>291</v>
      </c>
      <c r="AV6" s="192" t="s">
        <v>235</v>
      </c>
      <c r="AW6" s="185"/>
      <c r="AX6" s="192" t="s">
        <v>291</v>
      </c>
      <c r="AY6" s="192" t="s">
        <v>7</v>
      </c>
      <c r="AZ6" s="192" t="s">
        <v>8</v>
      </c>
      <c r="BA6" s="192" t="s">
        <v>107</v>
      </c>
      <c r="BB6" s="185"/>
    </row>
    <row r="7" spans="1:55" ht="11.1" customHeight="1">
      <c r="B7" s="69">
        <f t="shared" ref="B7" ca="1" si="0">OFFSET( B7, -1, 0 ) + 1</f>
        <v>1</v>
      </c>
      <c r="C7" s="31" t="s">
        <v>11</v>
      </c>
      <c r="D7" s="32" t="s">
        <v>12</v>
      </c>
      <c r="E7" s="206">
        <f>AN7</f>
        <v>2.92</v>
      </c>
      <c r="F7" s="33">
        <f t="shared" ref="F7:F44" si="1">AQ7</f>
        <v>1.5625587958607714</v>
      </c>
      <c r="G7" s="33">
        <f t="shared" ref="G7:G44" si="2">E7 / AV7</f>
        <v>4.3975903614457829E-2</v>
      </c>
      <c r="H7" s="34" t="str">
        <f>IF( AND( ISNUMBER( $I7 ), ISNUMBER( $J7 ) ), IF( $I7 = $J7, "", IF( $I7 &gt; $J7, "é", "ê" ) ), "" )</f>
        <v>é</v>
      </c>
      <c r="I7" s="214">
        <f t="shared" ref="I7:I44" si="3" xml:space="preserve"> IF( E7 = AY7, AY7, E7 )</f>
        <v>2.92</v>
      </c>
      <c r="J7" s="214">
        <f t="shared" ref="J7:J44" si="4" xml:space="preserve"> IF( E7 = AY7, AZ7, AY7 )</f>
        <v>2.82</v>
      </c>
      <c r="K7" s="210" t="str">
        <f t="shared" ref="K7:K44" si="5" xml:space="preserve"> IF( E7 = AY7, BA7, AM7 )</f>
        <v>2025 Q1</v>
      </c>
      <c r="M7" s="186" t="b">
        <v>0</v>
      </c>
      <c r="N7" s="186" t="s">
        <v>145</v>
      </c>
      <c r="O7" s="186" t="s">
        <v>286</v>
      </c>
      <c r="P7" s="186" t="s">
        <v>145</v>
      </c>
      <c r="Q7" s="186" t="s">
        <v>145</v>
      </c>
      <c r="R7" s="186" t="s">
        <v>145</v>
      </c>
      <c r="S7" s="186" t="s">
        <v>145</v>
      </c>
      <c r="T7" s="187" t="s">
        <v>218</v>
      </c>
      <c r="U7" s="92"/>
      <c r="V7" s="186" t="b">
        <v>0</v>
      </c>
      <c r="W7" s="191" t="s">
        <v>145</v>
      </c>
      <c r="X7" s="191" t="s">
        <v>145</v>
      </c>
      <c r="Y7" s="92"/>
      <c r="Z7" s="186" t="b">
        <v>0</v>
      </c>
      <c r="AA7" s="191" t="s">
        <v>145</v>
      </c>
      <c r="AB7" s="191" t="s">
        <v>145</v>
      </c>
      <c r="AC7" s="92"/>
      <c r="AD7" s="186" t="b">
        <v>0</v>
      </c>
      <c r="AE7" s="191" t="s">
        <v>145</v>
      </c>
      <c r="AF7" s="191" t="s">
        <v>145</v>
      </c>
      <c r="AG7" s="92"/>
      <c r="AH7" s="186" t="b">
        <v>1</v>
      </c>
      <c r="AI7" s="191">
        <v>3.5460992907801359E-2</v>
      </c>
      <c r="AJ7" s="191" t="s">
        <v>145</v>
      </c>
      <c r="AK7" s="92"/>
      <c r="AL7" s="186">
        <v>16</v>
      </c>
      <c r="AM7" s="188" t="s">
        <v>292</v>
      </c>
      <c r="AN7" s="193">
        <v>2.92</v>
      </c>
      <c r="AO7" s="92"/>
      <c r="AP7" s="186">
        <v>16</v>
      </c>
      <c r="AQ7" s="189">
        <v>1.5625587958607714</v>
      </c>
      <c r="AR7" s="194">
        <v>-166100</v>
      </c>
      <c r="AS7" s="194">
        <v>106300</v>
      </c>
      <c r="AT7" s="92"/>
      <c r="AU7" s="186">
        <v>16</v>
      </c>
      <c r="AV7" s="190">
        <v>66.400000000000006</v>
      </c>
      <c r="AW7" s="92"/>
      <c r="AX7" s="186">
        <v>16</v>
      </c>
      <c r="AY7" s="193">
        <v>2.92</v>
      </c>
      <c r="AZ7" s="193">
        <v>2.82</v>
      </c>
      <c r="BA7" s="188" t="s">
        <v>293</v>
      </c>
      <c r="BB7" s="92"/>
      <c r="BC7" s="92"/>
    </row>
    <row r="8" spans="1:55" ht="11.1" customHeight="1">
      <c r="B8" s="69">
        <f ca="1">OFFSET( B8, -1, 0 ) + 1</f>
        <v>2</v>
      </c>
      <c r="C8" s="35" t="s">
        <v>13</v>
      </c>
      <c r="D8" s="36" t="s">
        <v>14</v>
      </c>
      <c r="E8" s="207">
        <f t="shared" ref="E8:E44" si="6">AN8</f>
        <v>2.0299999999999998</v>
      </c>
      <c r="F8" s="37">
        <f t="shared" si="1"/>
        <v>0.59022118742724095</v>
      </c>
      <c r="G8" s="37">
        <f t="shared" si="2"/>
        <v>3.0114226375908618E-2</v>
      </c>
      <c r="H8" s="38" t="str">
        <f t="shared" ref="H8:H44" si="7">IF( AND( ISNUMBER( $I8 ), ISNUMBER( $J8 ) ), IF( $I8 = $J8, "", IF( $I8 &gt; $J8, "é", "ê" ) ), "" )</f>
        <v>é</v>
      </c>
      <c r="I8" s="215">
        <f t="shared" si="3"/>
        <v>2.0299999999999998</v>
      </c>
      <c r="J8" s="215">
        <f t="shared" si="4"/>
        <v>1.92</v>
      </c>
      <c r="K8" s="211" t="str">
        <f t="shared" si="5"/>
        <v>2025 Q1</v>
      </c>
      <c r="M8" s="186" t="b">
        <v>0</v>
      </c>
      <c r="N8" s="186" t="s">
        <v>145</v>
      </c>
      <c r="O8" s="186" t="s">
        <v>286</v>
      </c>
      <c r="P8" s="186" t="s">
        <v>145</v>
      </c>
      <c r="Q8" s="186" t="s">
        <v>145</v>
      </c>
      <c r="R8" s="186" t="s">
        <v>145</v>
      </c>
      <c r="S8" s="186" t="s">
        <v>145</v>
      </c>
      <c r="T8" s="187" t="s">
        <v>218</v>
      </c>
      <c r="U8" s="92"/>
      <c r="V8" s="186" t="b">
        <v>0</v>
      </c>
      <c r="W8" s="191" t="s">
        <v>145</v>
      </c>
      <c r="X8" s="191" t="s">
        <v>145</v>
      </c>
      <c r="Y8" s="92"/>
      <c r="Z8" s="186" t="b">
        <v>0</v>
      </c>
      <c r="AA8" s="191" t="s">
        <v>145</v>
      </c>
      <c r="AB8" s="191" t="s">
        <v>145</v>
      </c>
      <c r="AC8" s="92"/>
      <c r="AD8" s="186" t="b">
        <v>0</v>
      </c>
      <c r="AE8" s="191" t="s">
        <v>145</v>
      </c>
      <c r="AF8" s="191" t="s">
        <v>145</v>
      </c>
      <c r="AG8" s="92"/>
      <c r="AH8" s="186" t="b">
        <v>1</v>
      </c>
      <c r="AI8" s="191">
        <v>5.7291666666666519E-2</v>
      </c>
      <c r="AJ8" s="191" t="s">
        <v>145</v>
      </c>
      <c r="AK8" s="92"/>
      <c r="AL8" s="186">
        <v>17</v>
      </c>
      <c r="AM8" s="188" t="s">
        <v>292</v>
      </c>
      <c r="AN8" s="193">
        <v>2.0299999999999998</v>
      </c>
      <c r="AO8" s="92"/>
      <c r="AP8" s="186">
        <v>17</v>
      </c>
      <c r="AQ8" s="189">
        <v>0.59022118742724095</v>
      </c>
      <c r="AR8" s="194">
        <v>-507000</v>
      </c>
      <c r="AS8" s="194">
        <v>859000</v>
      </c>
      <c r="AT8" s="92"/>
      <c r="AU8" s="186">
        <v>17</v>
      </c>
      <c r="AV8" s="190">
        <v>67.41</v>
      </c>
      <c r="AW8" s="92"/>
      <c r="AX8" s="186">
        <v>17</v>
      </c>
      <c r="AY8" s="193">
        <v>2.0299999999999998</v>
      </c>
      <c r="AZ8" s="193">
        <v>1.92</v>
      </c>
      <c r="BA8" s="188" t="s">
        <v>293</v>
      </c>
      <c r="BB8" s="92"/>
      <c r="BC8" s="92"/>
    </row>
    <row r="9" spans="1:55" ht="11.1" customHeight="1">
      <c r="B9" s="69">
        <f t="shared" ref="B9:B44" ca="1" si="8">OFFSET( B9, -1, 0 ) + 1</f>
        <v>3</v>
      </c>
      <c r="C9" s="35" t="s">
        <v>56</v>
      </c>
      <c r="D9" s="36" t="s">
        <v>16</v>
      </c>
      <c r="E9" s="207">
        <f t="shared" si="6"/>
        <v>2.84</v>
      </c>
      <c r="F9" s="37">
        <f t="shared" si="1"/>
        <v>0.61423841059602646</v>
      </c>
      <c r="G9" s="37">
        <f t="shared" si="2"/>
        <v>2.7208277447786932E-2</v>
      </c>
      <c r="H9" s="38" t="str">
        <f t="shared" si="7"/>
        <v>é</v>
      </c>
      <c r="I9" s="215">
        <f t="shared" si="3"/>
        <v>2.84</v>
      </c>
      <c r="J9" s="215">
        <f t="shared" si="4"/>
        <v>2.68</v>
      </c>
      <c r="K9" s="211" t="str">
        <f t="shared" si="5"/>
        <v>2025 Q1</v>
      </c>
      <c r="M9" s="186" t="b">
        <v>0</v>
      </c>
      <c r="N9" s="186" t="s">
        <v>145</v>
      </c>
      <c r="O9" s="186" t="s">
        <v>286</v>
      </c>
      <c r="P9" s="186" t="s">
        <v>145</v>
      </c>
      <c r="Q9" s="186" t="s">
        <v>145</v>
      </c>
      <c r="R9" s="186" t="s">
        <v>145</v>
      </c>
      <c r="S9" s="186" t="s">
        <v>145</v>
      </c>
      <c r="T9" s="187" t="s">
        <v>218</v>
      </c>
      <c r="U9" s="92"/>
      <c r="V9" s="186" t="b">
        <v>0</v>
      </c>
      <c r="W9" s="191" t="s">
        <v>145</v>
      </c>
      <c r="X9" s="191" t="s">
        <v>145</v>
      </c>
      <c r="Y9" s="92"/>
      <c r="Z9" s="186" t="b">
        <v>0</v>
      </c>
      <c r="AA9" s="191" t="s">
        <v>145</v>
      </c>
      <c r="AB9" s="191" t="s">
        <v>145</v>
      </c>
      <c r="AC9" s="92"/>
      <c r="AD9" s="186" t="b">
        <v>0</v>
      </c>
      <c r="AE9" s="191" t="s">
        <v>145</v>
      </c>
      <c r="AF9" s="191" t="s">
        <v>145</v>
      </c>
      <c r="AG9" s="92"/>
      <c r="AH9" s="186" t="b">
        <v>1</v>
      </c>
      <c r="AI9" s="191">
        <v>5.9701492537313383E-2</v>
      </c>
      <c r="AJ9" s="191" t="s">
        <v>145</v>
      </c>
      <c r="AK9" s="92"/>
      <c r="AL9" s="186">
        <v>18</v>
      </c>
      <c r="AM9" s="188" t="s">
        <v>292</v>
      </c>
      <c r="AN9" s="193">
        <v>2.84</v>
      </c>
      <c r="AO9" s="92"/>
      <c r="AP9" s="186">
        <v>18</v>
      </c>
      <c r="AQ9" s="189">
        <v>0.61423841059602646</v>
      </c>
      <c r="AR9" s="194">
        <v>-742000</v>
      </c>
      <c r="AS9" s="194">
        <v>1208000</v>
      </c>
      <c r="AT9" s="92"/>
      <c r="AU9" s="186">
        <v>18</v>
      </c>
      <c r="AV9" s="190">
        <v>104.38</v>
      </c>
      <c r="AW9" s="92"/>
      <c r="AX9" s="186">
        <v>18</v>
      </c>
      <c r="AY9" s="193">
        <v>2.84</v>
      </c>
      <c r="AZ9" s="193">
        <v>2.68</v>
      </c>
      <c r="BA9" s="188" t="s">
        <v>293</v>
      </c>
      <c r="BB9" s="92"/>
      <c r="BC9" s="92"/>
    </row>
    <row r="10" spans="1:55" ht="11.1" customHeight="1">
      <c r="B10" s="69">
        <f t="shared" ca="1" si="8"/>
        <v>4</v>
      </c>
      <c r="C10" s="35" t="s">
        <v>17</v>
      </c>
      <c r="D10" s="36" t="s">
        <v>18</v>
      </c>
      <c r="E10" s="207">
        <f t="shared" si="6"/>
        <v>3.72</v>
      </c>
      <c r="F10" s="37">
        <f t="shared" si="1"/>
        <v>0.52941018262015549</v>
      </c>
      <c r="G10" s="37">
        <f t="shared" si="2"/>
        <v>3.3066666666666668E-2</v>
      </c>
      <c r="H10" s="38" t="str">
        <f t="shared" si="7"/>
        <v>é</v>
      </c>
      <c r="I10" s="215">
        <f t="shared" si="3"/>
        <v>3.72</v>
      </c>
      <c r="J10" s="215">
        <f t="shared" si="4"/>
        <v>3.52</v>
      </c>
      <c r="K10" s="211" t="str">
        <f t="shared" si="5"/>
        <v>2024 Q4</v>
      </c>
      <c r="M10" s="186" t="b">
        <v>0</v>
      </c>
      <c r="N10" s="186" t="s">
        <v>145</v>
      </c>
      <c r="O10" s="186" t="s">
        <v>286</v>
      </c>
      <c r="P10" s="186" t="s">
        <v>145</v>
      </c>
      <c r="Q10" s="186" t="s">
        <v>145</v>
      </c>
      <c r="R10" s="186" t="s">
        <v>145</v>
      </c>
      <c r="S10" s="186" t="s">
        <v>145</v>
      </c>
      <c r="T10" s="187" t="s">
        <v>218</v>
      </c>
      <c r="U10" s="92"/>
      <c r="V10" s="186" t="b">
        <v>0</v>
      </c>
      <c r="W10" s="191" t="s">
        <v>145</v>
      </c>
      <c r="X10" s="191" t="s">
        <v>145</v>
      </c>
      <c r="Y10" s="92"/>
      <c r="Z10" s="186" t="b">
        <v>0</v>
      </c>
      <c r="AA10" s="191" t="s">
        <v>145</v>
      </c>
      <c r="AB10" s="191" t="s">
        <v>145</v>
      </c>
      <c r="AC10" s="92"/>
      <c r="AD10" s="186" t="b">
        <v>0</v>
      </c>
      <c r="AE10" s="191" t="s">
        <v>145</v>
      </c>
      <c r="AF10" s="191" t="s">
        <v>145</v>
      </c>
      <c r="AG10" s="92"/>
      <c r="AH10" s="186" t="b">
        <v>0</v>
      </c>
      <c r="AI10" s="191" t="s">
        <v>145</v>
      </c>
      <c r="AJ10" s="191" t="s">
        <v>145</v>
      </c>
      <c r="AK10" s="92"/>
      <c r="AL10" s="186">
        <v>19</v>
      </c>
      <c r="AM10" s="188" t="s">
        <v>292</v>
      </c>
      <c r="AN10" s="193">
        <v>3.72</v>
      </c>
      <c r="AO10" s="92"/>
      <c r="AP10" s="186">
        <v>19</v>
      </c>
      <c r="AQ10" s="189">
        <v>0.52941018262015549</v>
      </c>
      <c r="AR10" s="194">
        <v>-1968400</v>
      </c>
      <c r="AS10" s="194">
        <v>3718100</v>
      </c>
      <c r="AT10" s="92"/>
      <c r="AU10" s="186">
        <v>19</v>
      </c>
      <c r="AV10" s="190">
        <v>112.5</v>
      </c>
      <c r="AW10" s="92"/>
      <c r="AX10" s="186">
        <v>19</v>
      </c>
      <c r="AY10" s="193">
        <v>3.72</v>
      </c>
      <c r="AZ10" s="193">
        <v>3.52</v>
      </c>
      <c r="BA10" s="188" t="s">
        <v>255</v>
      </c>
      <c r="BB10" s="92"/>
      <c r="BC10" s="92"/>
    </row>
    <row r="11" spans="1:55" ht="11.1" customHeight="1">
      <c r="B11" s="69">
        <f t="shared" ca="1" si="8"/>
        <v>5</v>
      </c>
      <c r="C11" s="35" t="s">
        <v>19</v>
      </c>
      <c r="D11" s="36" t="s">
        <v>20</v>
      </c>
      <c r="E11" s="207">
        <f t="shared" si="6"/>
        <v>1.96</v>
      </c>
      <c r="F11" s="37">
        <f t="shared" si="1"/>
        <v>0.86153139991155747</v>
      </c>
      <c r="G11" s="37">
        <f t="shared" si="2"/>
        <v>5.1838138058714622E-2</v>
      </c>
      <c r="H11" s="38" t="str">
        <f t="shared" si="7"/>
        <v>é</v>
      </c>
      <c r="I11" s="215">
        <f t="shared" si="3"/>
        <v>1.96</v>
      </c>
      <c r="J11" s="215">
        <f t="shared" si="4"/>
        <v>1.9</v>
      </c>
      <c r="K11" s="211" t="str">
        <f t="shared" si="5"/>
        <v>2025 Q1</v>
      </c>
      <c r="M11" s="186" t="b">
        <v>0</v>
      </c>
      <c r="N11" s="186" t="s">
        <v>145</v>
      </c>
      <c r="O11" s="186" t="s">
        <v>286</v>
      </c>
      <c r="P11" s="186" t="s">
        <v>145</v>
      </c>
      <c r="Q11" s="186" t="s">
        <v>145</v>
      </c>
      <c r="R11" s="186" t="s">
        <v>145</v>
      </c>
      <c r="S11" s="186" t="s">
        <v>145</v>
      </c>
      <c r="T11" s="187" t="s">
        <v>218</v>
      </c>
      <c r="U11" s="92"/>
      <c r="V11" s="186" t="b">
        <v>0</v>
      </c>
      <c r="W11" s="191" t="s">
        <v>145</v>
      </c>
      <c r="X11" s="191" t="s">
        <v>145</v>
      </c>
      <c r="Y11" s="92"/>
      <c r="Z11" s="186" t="b">
        <v>0</v>
      </c>
      <c r="AA11" s="191" t="s">
        <v>145</v>
      </c>
      <c r="AB11" s="191" t="s">
        <v>145</v>
      </c>
      <c r="AC11" s="92"/>
      <c r="AD11" s="186" t="b">
        <v>0</v>
      </c>
      <c r="AE11" s="191" t="s">
        <v>145</v>
      </c>
      <c r="AF11" s="191" t="s">
        <v>145</v>
      </c>
      <c r="AG11" s="92"/>
      <c r="AH11" s="186" t="b">
        <v>1</v>
      </c>
      <c r="AI11" s="191">
        <v>3.1578947368421151E-2</v>
      </c>
      <c r="AJ11" s="191" t="s">
        <v>145</v>
      </c>
      <c r="AK11" s="92"/>
      <c r="AL11" s="186">
        <v>20</v>
      </c>
      <c r="AM11" s="188" t="s">
        <v>292</v>
      </c>
      <c r="AN11" s="193">
        <v>1.96</v>
      </c>
      <c r="AO11" s="92"/>
      <c r="AP11" s="186">
        <v>20</v>
      </c>
      <c r="AQ11" s="189">
        <v>0.86153139991155747</v>
      </c>
      <c r="AR11" s="194">
        <v>-153910</v>
      </c>
      <c r="AS11" s="194">
        <v>178647</v>
      </c>
      <c r="AT11" s="92"/>
      <c r="AU11" s="186">
        <v>20</v>
      </c>
      <c r="AV11" s="190">
        <v>37.81</v>
      </c>
      <c r="AW11" s="92"/>
      <c r="AX11" s="186">
        <v>20</v>
      </c>
      <c r="AY11" s="193">
        <v>1.96</v>
      </c>
      <c r="AZ11" s="193">
        <v>1.9</v>
      </c>
      <c r="BA11" s="188" t="s">
        <v>293</v>
      </c>
      <c r="BB11" s="92"/>
      <c r="BC11" s="92"/>
    </row>
    <row r="12" spans="1:55" ht="11.1" customHeight="1">
      <c r="B12" s="69">
        <f t="shared" ca="1" si="8"/>
        <v>6</v>
      </c>
      <c r="C12" s="35" t="s">
        <v>21</v>
      </c>
      <c r="D12" s="36" t="s">
        <v>22</v>
      </c>
      <c r="E12" s="207">
        <f t="shared" si="6"/>
        <v>2.7040000000000002</v>
      </c>
      <c r="F12" s="37">
        <f t="shared" si="1"/>
        <v>0.65140123034859876</v>
      </c>
      <c r="G12" s="37">
        <f t="shared" si="2"/>
        <v>4.3903231044000651E-2</v>
      </c>
      <c r="H12" s="38" t="str">
        <f t="shared" si="7"/>
        <v>é</v>
      </c>
      <c r="I12" s="215">
        <f t="shared" si="3"/>
        <v>2.7040000000000002</v>
      </c>
      <c r="J12" s="215">
        <f t="shared" si="4"/>
        <v>2.6</v>
      </c>
      <c r="K12" s="211" t="str">
        <f t="shared" si="5"/>
        <v>2025 Q1</v>
      </c>
      <c r="M12" s="186" t="b">
        <v>0</v>
      </c>
      <c r="N12" s="186" t="s">
        <v>145</v>
      </c>
      <c r="O12" s="186" t="s">
        <v>286</v>
      </c>
      <c r="P12" s="186" t="s">
        <v>145</v>
      </c>
      <c r="Q12" s="186" t="s">
        <v>145</v>
      </c>
      <c r="R12" s="186" t="s">
        <v>145</v>
      </c>
      <c r="S12" s="186" t="s">
        <v>145</v>
      </c>
      <c r="T12" s="187" t="s">
        <v>218</v>
      </c>
      <c r="U12" s="92"/>
      <c r="V12" s="186" t="b">
        <v>0</v>
      </c>
      <c r="W12" s="191" t="s">
        <v>145</v>
      </c>
      <c r="X12" s="191" t="s">
        <v>145</v>
      </c>
      <c r="Y12" s="92"/>
      <c r="Z12" s="186" t="b">
        <v>0</v>
      </c>
      <c r="AA12" s="191" t="s">
        <v>145</v>
      </c>
      <c r="AB12" s="191" t="s">
        <v>145</v>
      </c>
      <c r="AC12" s="92"/>
      <c r="AD12" s="186" t="b">
        <v>0</v>
      </c>
      <c r="AE12" s="191" t="s">
        <v>145</v>
      </c>
      <c r="AF12" s="191" t="s">
        <v>145</v>
      </c>
      <c r="AG12" s="92"/>
      <c r="AH12" s="186" t="b">
        <v>1</v>
      </c>
      <c r="AI12" s="191">
        <v>4.0000000000000036E-2</v>
      </c>
      <c r="AJ12" s="191" t="s">
        <v>145</v>
      </c>
      <c r="AK12" s="92"/>
      <c r="AL12" s="186">
        <v>21</v>
      </c>
      <c r="AM12" s="188" t="s">
        <v>292</v>
      </c>
      <c r="AN12" s="193">
        <v>2.7040000000000002</v>
      </c>
      <c r="AO12" s="92"/>
      <c r="AP12" s="186">
        <v>21</v>
      </c>
      <c r="AQ12" s="189">
        <v>0.65140123034859876</v>
      </c>
      <c r="AR12" s="194">
        <v>-190600</v>
      </c>
      <c r="AS12" s="194">
        <v>292600</v>
      </c>
      <c r="AT12" s="92"/>
      <c r="AU12" s="186">
        <v>21</v>
      </c>
      <c r="AV12" s="190">
        <v>61.59</v>
      </c>
      <c r="AW12" s="92"/>
      <c r="AX12" s="186">
        <v>21</v>
      </c>
      <c r="AY12" s="193">
        <v>2.7040000000000002</v>
      </c>
      <c r="AZ12" s="193">
        <v>2.6</v>
      </c>
      <c r="BA12" s="188" t="s">
        <v>293</v>
      </c>
      <c r="BB12" s="92"/>
      <c r="BC12" s="92"/>
    </row>
    <row r="13" spans="1:55" ht="11.1" customHeight="1">
      <c r="B13" s="69">
        <f t="shared" ca="1" si="8"/>
        <v>7</v>
      </c>
      <c r="C13" s="35" t="s">
        <v>23</v>
      </c>
      <c r="D13" s="36" t="s">
        <v>24</v>
      </c>
      <c r="E13" s="207">
        <f t="shared" si="6"/>
        <v>0.88</v>
      </c>
      <c r="F13" s="37">
        <f t="shared" si="1"/>
        <v>0.56690500510725228</v>
      </c>
      <c r="G13" s="37">
        <f t="shared" si="2"/>
        <v>2.2680412371134023E-2</v>
      </c>
      <c r="H13" s="38" t="str">
        <f t="shared" si="7"/>
        <v>é</v>
      </c>
      <c r="I13" s="215">
        <f t="shared" si="3"/>
        <v>0.88</v>
      </c>
      <c r="J13" s="215">
        <f t="shared" si="4"/>
        <v>0.84</v>
      </c>
      <c r="K13" s="211" t="str">
        <f t="shared" si="5"/>
        <v>2024 Q4</v>
      </c>
      <c r="M13" s="186" t="b">
        <v>0</v>
      </c>
      <c r="N13" s="186" t="s">
        <v>145</v>
      </c>
      <c r="O13" s="186" t="s">
        <v>286</v>
      </c>
      <c r="P13" s="186" t="s">
        <v>145</v>
      </c>
      <c r="Q13" s="186" t="s">
        <v>145</v>
      </c>
      <c r="R13" s="186" t="s">
        <v>145</v>
      </c>
      <c r="S13" s="186" t="s">
        <v>145</v>
      </c>
      <c r="T13" s="187" t="s">
        <v>218</v>
      </c>
      <c r="U13" s="92"/>
      <c r="V13" s="186" t="b">
        <v>0</v>
      </c>
      <c r="W13" s="191" t="s">
        <v>145</v>
      </c>
      <c r="X13" s="191" t="s">
        <v>145</v>
      </c>
      <c r="Y13" s="92"/>
      <c r="Z13" s="186" t="b">
        <v>0</v>
      </c>
      <c r="AA13" s="191" t="s">
        <v>145</v>
      </c>
      <c r="AB13" s="191" t="s">
        <v>145</v>
      </c>
      <c r="AC13" s="92"/>
      <c r="AD13" s="186" t="b">
        <v>0</v>
      </c>
      <c r="AE13" s="191" t="s">
        <v>145</v>
      </c>
      <c r="AF13" s="191" t="s">
        <v>145</v>
      </c>
      <c r="AG13" s="92"/>
      <c r="AH13" s="186" t="b">
        <v>0</v>
      </c>
      <c r="AI13" s="191" t="s">
        <v>145</v>
      </c>
      <c r="AJ13" s="191" t="s">
        <v>145</v>
      </c>
      <c r="AK13" s="92"/>
      <c r="AL13" s="186">
        <v>22</v>
      </c>
      <c r="AM13" s="188" t="s">
        <v>292</v>
      </c>
      <c r="AN13" s="193">
        <v>0.88</v>
      </c>
      <c r="AO13" s="92"/>
      <c r="AP13" s="186">
        <v>22</v>
      </c>
      <c r="AQ13" s="189">
        <v>0.56690500510725228</v>
      </c>
      <c r="AR13" s="194">
        <v>-555000</v>
      </c>
      <c r="AS13" s="194">
        <v>979000</v>
      </c>
      <c r="AT13" s="92"/>
      <c r="AU13" s="186">
        <v>22</v>
      </c>
      <c r="AV13" s="190">
        <v>38.799999999999997</v>
      </c>
      <c r="AW13" s="92"/>
      <c r="AX13" s="186">
        <v>22</v>
      </c>
      <c r="AY13" s="193">
        <v>0.88</v>
      </c>
      <c r="AZ13" s="193">
        <v>0.84</v>
      </c>
      <c r="BA13" s="188" t="s">
        <v>255</v>
      </c>
      <c r="BB13" s="92"/>
      <c r="BC13" s="92"/>
    </row>
    <row r="14" spans="1:55" ht="11.1" customHeight="1">
      <c r="B14" s="69">
        <f t="shared" ca="1" si="8"/>
        <v>8</v>
      </c>
      <c r="C14" s="35" t="s">
        <v>68</v>
      </c>
      <c r="D14" s="36" t="s">
        <v>25</v>
      </c>
      <c r="E14" s="207">
        <f t="shared" si="6"/>
        <v>2.17</v>
      </c>
      <c r="F14" s="37">
        <f t="shared" si="1"/>
        <v>0.71931818181818186</v>
      </c>
      <c r="G14" s="37">
        <f t="shared" si="2"/>
        <v>2.9620529620529617E-2</v>
      </c>
      <c r="H14" s="38" t="str">
        <f t="shared" si="7"/>
        <v>é</v>
      </c>
      <c r="I14" s="215">
        <f t="shared" si="3"/>
        <v>2.17</v>
      </c>
      <c r="J14" s="215">
        <f t="shared" si="4"/>
        <v>2.06</v>
      </c>
      <c r="K14" s="211" t="str">
        <f t="shared" si="5"/>
        <v>2025 Q1</v>
      </c>
      <c r="M14" s="186" t="b">
        <v>0</v>
      </c>
      <c r="N14" s="186" t="s">
        <v>145</v>
      </c>
      <c r="O14" s="186" t="s">
        <v>286</v>
      </c>
      <c r="P14" s="186" t="s">
        <v>145</v>
      </c>
      <c r="Q14" s="186" t="s">
        <v>145</v>
      </c>
      <c r="R14" s="186" t="s">
        <v>145</v>
      </c>
      <c r="S14" s="186" t="s">
        <v>145</v>
      </c>
      <c r="T14" s="187" t="s">
        <v>218</v>
      </c>
      <c r="U14" s="92"/>
      <c r="V14" s="186" t="b">
        <v>0</v>
      </c>
      <c r="W14" s="191" t="s">
        <v>145</v>
      </c>
      <c r="X14" s="191" t="s">
        <v>145</v>
      </c>
      <c r="Y14" s="92"/>
      <c r="Z14" s="186" t="b">
        <v>0</v>
      </c>
      <c r="AA14" s="191" t="s">
        <v>145</v>
      </c>
      <c r="AB14" s="191" t="s">
        <v>145</v>
      </c>
      <c r="AC14" s="92"/>
      <c r="AD14" s="186" t="b">
        <v>0</v>
      </c>
      <c r="AE14" s="191" t="s">
        <v>145</v>
      </c>
      <c r="AF14" s="191" t="s">
        <v>145</v>
      </c>
      <c r="AG14" s="92"/>
      <c r="AH14" s="186" t="b">
        <v>1</v>
      </c>
      <c r="AI14" s="191">
        <v>5.3398058252427161E-2</v>
      </c>
      <c r="AJ14" s="191" t="s">
        <v>145</v>
      </c>
      <c r="AK14" s="92"/>
      <c r="AL14" s="186">
        <v>23</v>
      </c>
      <c r="AM14" s="188" t="s">
        <v>292</v>
      </c>
      <c r="AN14" s="193">
        <v>2.17</v>
      </c>
      <c r="AO14" s="92"/>
      <c r="AP14" s="186">
        <v>23</v>
      </c>
      <c r="AQ14" s="189">
        <v>0.71931818181818186</v>
      </c>
      <c r="AR14" s="194">
        <v>-633000</v>
      </c>
      <c r="AS14" s="194">
        <v>880000</v>
      </c>
      <c r="AT14" s="92"/>
      <c r="AU14" s="186">
        <v>23</v>
      </c>
      <c r="AV14" s="190">
        <v>73.260000000000005</v>
      </c>
      <c r="AW14" s="92"/>
      <c r="AX14" s="186">
        <v>23</v>
      </c>
      <c r="AY14" s="193">
        <v>2.17</v>
      </c>
      <c r="AZ14" s="193">
        <v>2.06</v>
      </c>
      <c r="BA14" s="188" t="s">
        <v>293</v>
      </c>
      <c r="BB14" s="92"/>
      <c r="BC14" s="92"/>
    </row>
    <row r="15" spans="1:55" ht="11.1" customHeight="1">
      <c r="B15" s="69">
        <f t="shared" ca="1" si="8"/>
        <v>9</v>
      </c>
      <c r="C15" s="85" t="s">
        <v>26</v>
      </c>
      <c r="D15" s="86" t="s">
        <v>27</v>
      </c>
      <c r="E15" s="208">
        <f t="shared" si="6"/>
        <v>3.4</v>
      </c>
      <c r="F15" s="87">
        <f t="shared" si="1"/>
        <v>0.57295373665480431</v>
      </c>
      <c r="G15" s="87">
        <f t="shared" si="2"/>
        <v>3.3824114604058896E-2</v>
      </c>
      <c r="H15" s="88" t="str">
        <f t="shared" si="7"/>
        <v>é</v>
      </c>
      <c r="I15" s="216">
        <f t="shared" si="3"/>
        <v>3.4</v>
      </c>
      <c r="J15" s="216">
        <f t="shared" si="4"/>
        <v>3.32</v>
      </c>
      <c r="K15" s="212" t="str">
        <f t="shared" si="5"/>
        <v>2025 Q1</v>
      </c>
      <c r="M15" s="186" t="b">
        <v>0</v>
      </c>
      <c r="N15" s="186" t="s">
        <v>145</v>
      </c>
      <c r="O15" s="186" t="s">
        <v>286</v>
      </c>
      <c r="P15" s="186" t="s">
        <v>145</v>
      </c>
      <c r="Q15" s="186" t="s">
        <v>145</v>
      </c>
      <c r="R15" s="186" t="s">
        <v>145</v>
      </c>
      <c r="S15" s="186" t="s">
        <v>145</v>
      </c>
      <c r="T15" s="187" t="s">
        <v>218</v>
      </c>
      <c r="U15" s="92"/>
      <c r="V15" s="186" t="b">
        <v>0</v>
      </c>
      <c r="W15" s="191" t="s">
        <v>145</v>
      </c>
      <c r="X15" s="191" t="s">
        <v>145</v>
      </c>
      <c r="Y15" s="92"/>
      <c r="Z15" s="186" t="b">
        <v>0</v>
      </c>
      <c r="AA15" s="191" t="s">
        <v>145</v>
      </c>
      <c r="AB15" s="191" t="s">
        <v>145</v>
      </c>
      <c r="AC15" s="92"/>
      <c r="AD15" s="186" t="b">
        <v>0</v>
      </c>
      <c r="AE15" s="191" t="s">
        <v>145</v>
      </c>
      <c r="AF15" s="191" t="s">
        <v>145</v>
      </c>
      <c r="AG15" s="92"/>
      <c r="AH15" s="186" t="b">
        <v>1</v>
      </c>
      <c r="AI15" s="191">
        <v>2.4096385542168752E-2</v>
      </c>
      <c r="AJ15" s="191" t="s">
        <v>145</v>
      </c>
      <c r="AK15" s="92"/>
      <c r="AL15" s="186">
        <v>24</v>
      </c>
      <c r="AM15" s="188" t="s">
        <v>292</v>
      </c>
      <c r="AN15" s="193">
        <v>3.4</v>
      </c>
      <c r="AO15" s="92"/>
      <c r="AP15" s="186">
        <v>24</v>
      </c>
      <c r="AQ15" s="189">
        <v>0.57295373665480431</v>
      </c>
      <c r="AR15" s="194">
        <v>-1127000</v>
      </c>
      <c r="AS15" s="194">
        <v>1967000</v>
      </c>
      <c r="AT15" s="92"/>
      <c r="AU15" s="186">
        <v>24</v>
      </c>
      <c r="AV15" s="190">
        <v>100.52</v>
      </c>
      <c r="AW15" s="92"/>
      <c r="AX15" s="186">
        <v>24</v>
      </c>
      <c r="AY15" s="193">
        <v>3.4</v>
      </c>
      <c r="AZ15" s="193">
        <v>3.32</v>
      </c>
      <c r="BA15" s="188" t="s">
        <v>293</v>
      </c>
      <c r="BB15" s="92"/>
      <c r="BC15" s="92"/>
    </row>
    <row r="16" spans="1:55" ht="11.1" customHeight="1">
      <c r="B16" s="69">
        <f t="shared" ca="1" si="8"/>
        <v>10</v>
      </c>
      <c r="C16" s="35" t="s">
        <v>171</v>
      </c>
      <c r="D16" s="36" t="s">
        <v>9</v>
      </c>
      <c r="E16" s="207">
        <f t="shared" si="6"/>
        <v>2.67</v>
      </c>
      <c r="F16" s="37">
        <f t="shared" si="1"/>
        <v>0.7127525252525253</v>
      </c>
      <c r="G16" s="37">
        <f t="shared" si="2"/>
        <v>4.364884747425208E-2</v>
      </c>
      <c r="H16" s="38" t="str">
        <f t="shared" si="7"/>
        <v>é</v>
      </c>
      <c r="I16" s="215">
        <f t="shared" si="3"/>
        <v>2.67</v>
      </c>
      <c r="J16" s="215">
        <f t="shared" si="4"/>
        <v>2.52</v>
      </c>
      <c r="K16" s="211" t="str">
        <f t="shared" si="5"/>
        <v>2022 Q1</v>
      </c>
      <c r="M16" s="186" t="b">
        <v>0</v>
      </c>
      <c r="N16" s="186" t="s">
        <v>145</v>
      </c>
      <c r="O16" s="186" t="s">
        <v>286</v>
      </c>
      <c r="P16" s="186" t="s">
        <v>145</v>
      </c>
      <c r="Q16" s="186" t="s">
        <v>145</v>
      </c>
      <c r="R16" s="186" t="s">
        <v>145</v>
      </c>
      <c r="S16" s="186" t="s">
        <v>145</v>
      </c>
      <c r="T16" s="187" t="s">
        <v>218</v>
      </c>
      <c r="U16" s="92"/>
      <c r="V16" s="186" t="b">
        <v>0</v>
      </c>
      <c r="W16" s="191" t="s">
        <v>145</v>
      </c>
      <c r="X16" s="191" t="s">
        <v>145</v>
      </c>
      <c r="Y16" s="92"/>
      <c r="Z16" s="186" t="b">
        <v>0</v>
      </c>
      <c r="AA16" s="191" t="s">
        <v>145</v>
      </c>
      <c r="AB16" s="191" t="s">
        <v>145</v>
      </c>
      <c r="AC16" s="92"/>
      <c r="AD16" s="186" t="b">
        <v>0</v>
      </c>
      <c r="AE16" s="191" t="s">
        <v>145</v>
      </c>
      <c r="AF16" s="191" t="s">
        <v>145</v>
      </c>
      <c r="AG16" s="92"/>
      <c r="AH16" s="186" t="b">
        <v>0</v>
      </c>
      <c r="AI16" s="191" t="s">
        <v>145</v>
      </c>
      <c r="AJ16" s="191" t="s">
        <v>145</v>
      </c>
      <c r="AK16" s="92"/>
      <c r="AL16" s="186">
        <v>25</v>
      </c>
      <c r="AM16" s="188" t="s">
        <v>292</v>
      </c>
      <c r="AN16" s="193">
        <v>2.67</v>
      </c>
      <c r="AO16" s="92"/>
      <c r="AP16" s="186">
        <v>25</v>
      </c>
      <c r="AQ16" s="189">
        <v>0.7127525252525253</v>
      </c>
      <c r="AR16" s="194">
        <v>-2258000</v>
      </c>
      <c r="AS16" s="194">
        <v>3168000</v>
      </c>
      <c r="AT16" s="92"/>
      <c r="AU16" s="186">
        <v>25</v>
      </c>
      <c r="AV16" s="190">
        <v>61.17</v>
      </c>
      <c r="AW16" s="92"/>
      <c r="AX16" s="186">
        <v>25</v>
      </c>
      <c r="AY16" s="193">
        <v>2.67</v>
      </c>
      <c r="AZ16" s="193">
        <v>2.52</v>
      </c>
      <c r="BA16" s="188" t="s">
        <v>250</v>
      </c>
      <c r="BB16" s="92"/>
      <c r="BC16" s="92"/>
    </row>
    <row r="17" spans="2:55" ht="11.1" customHeight="1">
      <c r="B17" s="69">
        <f t="shared" ca="1" si="8"/>
        <v>11</v>
      </c>
      <c r="C17" s="35" t="s">
        <v>28</v>
      </c>
      <c r="D17" s="36" t="s">
        <v>29</v>
      </c>
      <c r="E17" s="207">
        <f t="shared" si="6"/>
        <v>4.3600000000000003</v>
      </c>
      <c r="F17" s="37">
        <f t="shared" si="1"/>
        <v>0.57210884353741498</v>
      </c>
      <c r="G17" s="37">
        <f t="shared" si="2"/>
        <v>3.0827971434631975E-2</v>
      </c>
      <c r="H17" s="38" t="str">
        <f t="shared" si="7"/>
        <v>é</v>
      </c>
      <c r="I17" s="215">
        <f t="shared" si="3"/>
        <v>4.3600000000000003</v>
      </c>
      <c r="J17" s="215">
        <f t="shared" si="4"/>
        <v>4.08</v>
      </c>
      <c r="K17" s="211" t="str">
        <f t="shared" si="5"/>
        <v>2024 Q4</v>
      </c>
      <c r="M17" s="186" t="b">
        <v>0</v>
      </c>
      <c r="N17" s="186" t="s">
        <v>145</v>
      </c>
      <c r="O17" s="186" t="s">
        <v>286</v>
      </c>
      <c r="P17" s="186" t="s">
        <v>145</v>
      </c>
      <c r="Q17" s="186" t="s">
        <v>145</v>
      </c>
      <c r="R17" s="186" t="s">
        <v>145</v>
      </c>
      <c r="S17" s="186" t="s">
        <v>145</v>
      </c>
      <c r="T17" s="187" t="s">
        <v>218</v>
      </c>
      <c r="U17" s="92"/>
      <c r="V17" s="186" t="b">
        <v>0</v>
      </c>
      <c r="W17" s="191" t="s">
        <v>145</v>
      </c>
      <c r="X17" s="191" t="s">
        <v>145</v>
      </c>
      <c r="Y17" s="92"/>
      <c r="Z17" s="186" t="b">
        <v>0</v>
      </c>
      <c r="AA17" s="191" t="s">
        <v>145</v>
      </c>
      <c r="AB17" s="191" t="s">
        <v>145</v>
      </c>
      <c r="AC17" s="92"/>
      <c r="AD17" s="186" t="b">
        <v>0</v>
      </c>
      <c r="AE17" s="191" t="s">
        <v>145</v>
      </c>
      <c r="AF17" s="191" t="s">
        <v>145</v>
      </c>
      <c r="AG17" s="92"/>
      <c r="AH17" s="186" t="b">
        <v>0</v>
      </c>
      <c r="AI17" s="191" t="s">
        <v>145</v>
      </c>
      <c r="AJ17" s="191" t="s">
        <v>145</v>
      </c>
      <c r="AK17" s="92"/>
      <c r="AL17" s="186">
        <v>26</v>
      </c>
      <c r="AM17" s="188" t="s">
        <v>292</v>
      </c>
      <c r="AN17" s="193">
        <v>4.3600000000000003</v>
      </c>
      <c r="AO17" s="92"/>
      <c r="AP17" s="186">
        <v>26</v>
      </c>
      <c r="AQ17" s="189">
        <v>0.57210884353741498</v>
      </c>
      <c r="AR17" s="194">
        <v>-841000</v>
      </c>
      <c r="AS17" s="194">
        <v>1470000</v>
      </c>
      <c r="AT17" s="92"/>
      <c r="AU17" s="186">
        <v>26</v>
      </c>
      <c r="AV17" s="190">
        <v>141.43</v>
      </c>
      <c r="AW17" s="92"/>
      <c r="AX17" s="186">
        <v>26</v>
      </c>
      <c r="AY17" s="193">
        <v>4.3600000000000003</v>
      </c>
      <c r="AZ17" s="193">
        <v>4.08</v>
      </c>
      <c r="BA17" s="188" t="s">
        <v>255</v>
      </c>
      <c r="BB17" s="92"/>
      <c r="BC17" s="92"/>
    </row>
    <row r="18" spans="2:55" ht="11.1" customHeight="1">
      <c r="B18" s="69">
        <f t="shared" ca="1" si="8"/>
        <v>12</v>
      </c>
      <c r="C18" s="35" t="s">
        <v>69</v>
      </c>
      <c r="D18" s="36" t="s">
        <v>30</v>
      </c>
      <c r="E18" s="207">
        <f t="shared" si="6"/>
        <v>4.26</v>
      </c>
      <c r="F18" s="37">
        <f t="shared" si="1"/>
        <v>0.65604707792207795</v>
      </c>
      <c r="G18" s="37">
        <f t="shared" si="2"/>
        <v>3.442424242424242E-2</v>
      </c>
      <c r="H18" s="38" t="str">
        <f t="shared" si="7"/>
        <v>é</v>
      </c>
      <c r="I18" s="215">
        <f t="shared" si="3"/>
        <v>4.26</v>
      </c>
      <c r="J18" s="215">
        <f t="shared" si="4"/>
        <v>4.18</v>
      </c>
      <c r="K18" s="211" t="str">
        <f t="shared" si="5"/>
        <v>2025 Q3</v>
      </c>
      <c r="M18" s="186" t="b">
        <v>1</v>
      </c>
      <c r="N18" s="186" t="s">
        <v>15</v>
      </c>
      <c r="O18" s="186" t="s">
        <v>145</v>
      </c>
      <c r="P18" s="186" t="s">
        <v>145</v>
      </c>
      <c r="Q18" s="186" t="s">
        <v>145</v>
      </c>
      <c r="R18" s="186" t="s">
        <v>145</v>
      </c>
      <c r="S18" s="186" t="s">
        <v>145</v>
      </c>
      <c r="T18" s="187" t="s">
        <v>53</v>
      </c>
      <c r="U18" s="92"/>
      <c r="V18" s="186" t="b">
        <v>0</v>
      </c>
      <c r="W18" s="191" t="s">
        <v>145</v>
      </c>
      <c r="X18" s="191" t="s">
        <v>145</v>
      </c>
      <c r="Y18" s="92"/>
      <c r="Z18" s="186" t="b">
        <v>1</v>
      </c>
      <c r="AA18" s="191">
        <v>1.9138755980861344E-2</v>
      </c>
      <c r="AB18" s="191" t="s">
        <v>145</v>
      </c>
      <c r="AC18" s="92"/>
      <c r="AD18" s="186" t="b">
        <v>0</v>
      </c>
      <c r="AE18" s="191" t="s">
        <v>145</v>
      </c>
      <c r="AF18" s="191" t="s">
        <v>145</v>
      </c>
      <c r="AG18" s="92"/>
      <c r="AH18" s="186" t="b">
        <v>0</v>
      </c>
      <c r="AI18" s="191" t="s">
        <v>145</v>
      </c>
      <c r="AJ18" s="191" t="s">
        <v>145</v>
      </c>
      <c r="AK18" s="92"/>
      <c r="AL18" s="186">
        <v>27</v>
      </c>
      <c r="AM18" s="188" t="s">
        <v>292</v>
      </c>
      <c r="AN18" s="193">
        <v>4.26</v>
      </c>
      <c r="AO18" s="92"/>
      <c r="AP18" s="186">
        <v>27</v>
      </c>
      <c r="AQ18" s="189">
        <v>0.65604707792207795</v>
      </c>
      <c r="AR18" s="194">
        <v>-3233000</v>
      </c>
      <c r="AS18" s="194">
        <v>4928000</v>
      </c>
      <c r="AT18" s="92"/>
      <c r="AU18" s="186">
        <v>27</v>
      </c>
      <c r="AV18" s="190">
        <v>123.75</v>
      </c>
      <c r="AW18" s="92"/>
      <c r="AX18" s="186">
        <v>27</v>
      </c>
      <c r="AY18" s="193">
        <v>4.18</v>
      </c>
      <c r="AZ18" s="193">
        <v>4.0999999999999996</v>
      </c>
      <c r="BA18" s="188" t="s">
        <v>252</v>
      </c>
      <c r="BB18" s="92"/>
      <c r="BC18" s="92"/>
    </row>
    <row r="19" spans="2:55" ht="11.1" customHeight="1">
      <c r="B19" s="69">
        <f t="shared" ca="1" si="8"/>
        <v>13</v>
      </c>
      <c r="C19" s="35" t="s">
        <v>70</v>
      </c>
      <c r="D19" s="36" t="s">
        <v>31</v>
      </c>
      <c r="E19" s="207">
        <f t="shared" si="6"/>
        <v>3.31</v>
      </c>
      <c r="F19" s="37">
        <f t="shared" si="1"/>
        <v>0.70534698521046646</v>
      </c>
      <c r="G19" s="37">
        <f t="shared" si="2"/>
        <v>5.9876989869753983E-2</v>
      </c>
      <c r="H19" s="38" t="str">
        <f t="shared" si="7"/>
        <v>é</v>
      </c>
      <c r="I19" s="215">
        <f t="shared" si="3"/>
        <v>3.31</v>
      </c>
      <c r="J19" s="215">
        <f t="shared" si="4"/>
        <v>3.12</v>
      </c>
      <c r="K19" s="211" t="str">
        <f t="shared" si="5"/>
        <v>2024 Q4</v>
      </c>
      <c r="M19" s="186" t="b">
        <v>0</v>
      </c>
      <c r="N19" s="186" t="s">
        <v>145</v>
      </c>
      <c r="O19" s="186" t="s">
        <v>286</v>
      </c>
      <c r="P19" s="186" t="s">
        <v>145</v>
      </c>
      <c r="Q19" s="186" t="s">
        <v>145</v>
      </c>
      <c r="R19" s="186" t="s">
        <v>145</v>
      </c>
      <c r="S19" s="186" t="s">
        <v>145</v>
      </c>
      <c r="T19" s="187" t="s">
        <v>218</v>
      </c>
      <c r="U19" s="92"/>
      <c r="V19" s="186" t="b">
        <v>0</v>
      </c>
      <c r="W19" s="191" t="s">
        <v>145</v>
      </c>
      <c r="X19" s="191" t="s">
        <v>145</v>
      </c>
      <c r="Y19" s="92"/>
      <c r="Z19" s="186" t="b">
        <v>0</v>
      </c>
      <c r="AA19" s="191" t="s">
        <v>145</v>
      </c>
      <c r="AB19" s="191" t="s">
        <v>145</v>
      </c>
      <c r="AC19" s="92"/>
      <c r="AD19" s="186" t="b">
        <v>0</v>
      </c>
      <c r="AE19" s="191" t="s">
        <v>145</v>
      </c>
      <c r="AF19" s="191" t="s">
        <v>145</v>
      </c>
      <c r="AG19" s="92"/>
      <c r="AH19" s="186" t="b">
        <v>0</v>
      </c>
      <c r="AI19" s="191" t="s">
        <v>145</v>
      </c>
      <c r="AJ19" s="191" t="s">
        <v>145</v>
      </c>
      <c r="AK19" s="92"/>
      <c r="AL19" s="186">
        <v>28</v>
      </c>
      <c r="AM19" s="188" t="s">
        <v>292</v>
      </c>
      <c r="AN19" s="193">
        <v>3.31</v>
      </c>
      <c r="AO19" s="92"/>
      <c r="AP19" s="186">
        <v>28</v>
      </c>
      <c r="AQ19" s="189">
        <v>0.70534698521046646</v>
      </c>
      <c r="AR19" s="194">
        <v>-1240000</v>
      </c>
      <c r="AS19" s="194">
        <v>1758000</v>
      </c>
      <c r="AT19" s="92"/>
      <c r="AU19" s="186">
        <v>28</v>
      </c>
      <c r="AV19" s="190">
        <v>55.28</v>
      </c>
      <c r="AW19" s="92"/>
      <c r="AX19" s="186">
        <v>28</v>
      </c>
      <c r="AY19" s="193">
        <v>3.31</v>
      </c>
      <c r="AZ19" s="193">
        <v>3.12</v>
      </c>
      <c r="BA19" s="188" t="s">
        <v>255</v>
      </c>
      <c r="BB19" s="92"/>
      <c r="BC19" s="92"/>
    </row>
    <row r="20" spans="2:55" ht="11.1" customHeight="1">
      <c r="B20" s="69">
        <f t="shared" ca="1" si="8"/>
        <v>14</v>
      </c>
      <c r="C20" s="35" t="s">
        <v>71</v>
      </c>
      <c r="D20" s="36" t="s">
        <v>32</v>
      </c>
      <c r="E20" s="207">
        <f>AN20</f>
        <v>2.4</v>
      </c>
      <c r="F20" s="37">
        <f t="shared" si="1"/>
        <v>0.5830883044922337</v>
      </c>
      <c r="G20" s="37">
        <f t="shared" si="2"/>
        <v>2.5753836248524519E-2</v>
      </c>
      <c r="H20" s="38" t="str">
        <f t="shared" si="7"/>
        <v>é</v>
      </c>
      <c r="I20" s="215">
        <f t="shared" si="3"/>
        <v>2.4</v>
      </c>
      <c r="J20" s="215">
        <f t="shared" si="4"/>
        <v>2.2599999999999998</v>
      </c>
      <c r="K20" s="211" t="str">
        <f t="shared" si="5"/>
        <v>2024 Q4</v>
      </c>
      <c r="M20" s="186" t="b">
        <v>0</v>
      </c>
      <c r="N20" s="186" t="s">
        <v>145</v>
      </c>
      <c r="O20" s="186" t="s">
        <v>286</v>
      </c>
      <c r="P20" s="186" t="s">
        <v>145</v>
      </c>
      <c r="Q20" s="186" t="s">
        <v>145</v>
      </c>
      <c r="R20" s="186" t="s">
        <v>145</v>
      </c>
      <c r="S20" s="186" t="s">
        <v>145</v>
      </c>
      <c r="T20" s="187" t="s">
        <v>218</v>
      </c>
      <c r="U20" s="92"/>
      <c r="V20" s="186" t="b">
        <v>0</v>
      </c>
      <c r="W20" s="191" t="s">
        <v>145</v>
      </c>
      <c r="X20" s="191" t="s">
        <v>145</v>
      </c>
      <c r="Y20" s="92"/>
      <c r="Z20" s="186" t="b">
        <v>0</v>
      </c>
      <c r="AA20" s="191" t="s">
        <v>145</v>
      </c>
      <c r="AB20" s="191" t="s">
        <v>145</v>
      </c>
      <c r="AC20" s="92"/>
      <c r="AD20" s="186" t="b">
        <v>0</v>
      </c>
      <c r="AE20" s="191" t="s">
        <v>145</v>
      </c>
      <c r="AF20" s="191" t="s">
        <v>145</v>
      </c>
      <c r="AG20" s="92"/>
      <c r="AH20" s="186" t="b">
        <v>0</v>
      </c>
      <c r="AI20" s="191" t="s">
        <v>145</v>
      </c>
      <c r="AJ20" s="191" t="s">
        <v>145</v>
      </c>
      <c r="AK20" s="92"/>
      <c r="AL20" s="186">
        <v>29</v>
      </c>
      <c r="AM20" s="188" t="s">
        <v>292</v>
      </c>
      <c r="AN20" s="193">
        <v>2.4</v>
      </c>
      <c r="AO20" s="92"/>
      <c r="AP20" s="186">
        <v>29</v>
      </c>
      <c r="AQ20" s="189">
        <v>0.5830883044922337</v>
      </c>
      <c r="AR20" s="194">
        <v>-1016120</v>
      </c>
      <c r="AS20" s="194">
        <v>1742652</v>
      </c>
      <c r="AT20" s="92"/>
      <c r="AU20" s="186">
        <v>29</v>
      </c>
      <c r="AV20" s="190">
        <v>93.19</v>
      </c>
      <c r="AW20" s="92"/>
      <c r="AX20" s="186">
        <v>29</v>
      </c>
      <c r="AY20" s="193">
        <v>2.4</v>
      </c>
      <c r="AZ20" s="193">
        <v>2.2599999999999998</v>
      </c>
      <c r="BA20" s="188" t="s">
        <v>255</v>
      </c>
      <c r="BB20" s="92"/>
      <c r="BC20" s="92"/>
    </row>
    <row r="21" spans="2:55" ht="11.1" customHeight="1">
      <c r="B21" s="69">
        <f ca="1">OFFSET( B21, -1, 0 ) + 1</f>
        <v>15</v>
      </c>
      <c r="C21" s="35" t="s">
        <v>172</v>
      </c>
      <c r="D21" s="36" t="s">
        <v>173</v>
      </c>
      <c r="E21" s="207">
        <f t="shared" si="6"/>
        <v>2.67</v>
      </c>
      <c r="F21" s="37">
        <f t="shared" si="1"/>
        <v>0.71081651806663537</v>
      </c>
      <c r="G21" s="37">
        <f t="shared" si="2"/>
        <v>3.5122336227308606E-2</v>
      </c>
      <c r="H21" s="38" t="str">
        <f t="shared" si="7"/>
        <v>é</v>
      </c>
      <c r="I21" s="215">
        <f t="shared" si="3"/>
        <v>2.67</v>
      </c>
      <c r="J21" s="215">
        <f t="shared" si="4"/>
        <v>2.57</v>
      </c>
      <c r="K21" s="211" t="str">
        <f t="shared" si="5"/>
        <v>2024 Q4</v>
      </c>
      <c r="M21" s="186" t="b">
        <v>0</v>
      </c>
      <c r="N21" s="186" t="s">
        <v>145</v>
      </c>
      <c r="O21" s="186" t="s">
        <v>286</v>
      </c>
      <c r="P21" s="186" t="s">
        <v>145</v>
      </c>
      <c r="Q21" s="186" t="s">
        <v>145</v>
      </c>
      <c r="R21" s="186" t="s">
        <v>145</v>
      </c>
      <c r="S21" s="186" t="s">
        <v>145</v>
      </c>
      <c r="T21" s="187" t="s">
        <v>218</v>
      </c>
      <c r="U21" s="92"/>
      <c r="V21" s="186" t="b">
        <v>0</v>
      </c>
      <c r="W21" s="191" t="s">
        <v>145</v>
      </c>
      <c r="X21" s="191" t="s">
        <v>145</v>
      </c>
      <c r="Y21" s="92"/>
      <c r="Z21" s="186" t="b">
        <v>0</v>
      </c>
      <c r="AA21" s="191" t="s">
        <v>145</v>
      </c>
      <c r="AB21" s="191" t="s">
        <v>145</v>
      </c>
      <c r="AC21" s="92"/>
      <c r="AD21" s="186" t="b">
        <v>0</v>
      </c>
      <c r="AE21" s="191" t="s">
        <v>145</v>
      </c>
      <c r="AF21" s="191" t="s">
        <v>145</v>
      </c>
      <c r="AG21" s="92"/>
      <c r="AH21" s="186" t="b">
        <v>0</v>
      </c>
      <c r="AI21" s="191" t="s">
        <v>145</v>
      </c>
      <c r="AJ21" s="191" t="s">
        <v>145</v>
      </c>
      <c r="AK21" s="92"/>
      <c r="AL21" s="186">
        <v>30</v>
      </c>
      <c r="AM21" s="188" t="s">
        <v>292</v>
      </c>
      <c r="AN21" s="193">
        <v>2.67</v>
      </c>
      <c r="AO21" s="92"/>
      <c r="AP21" s="186">
        <v>30</v>
      </c>
      <c r="AQ21" s="189">
        <v>0.71081651806663537</v>
      </c>
      <c r="AR21" s="194">
        <v>-605900</v>
      </c>
      <c r="AS21" s="194">
        <v>852400</v>
      </c>
      <c r="AT21" s="92"/>
      <c r="AU21" s="186">
        <v>30</v>
      </c>
      <c r="AV21" s="190">
        <v>76.02</v>
      </c>
      <c r="AW21" s="92"/>
      <c r="AX21" s="186">
        <v>30</v>
      </c>
      <c r="AY21" s="193">
        <v>2.67</v>
      </c>
      <c r="AZ21" s="193">
        <v>2.57</v>
      </c>
      <c r="BA21" s="188" t="s">
        <v>255</v>
      </c>
      <c r="BB21" s="92"/>
      <c r="BC21" s="92"/>
    </row>
    <row r="22" spans="2:55" ht="11.1" customHeight="1">
      <c r="B22" s="69">
        <f ca="1">OFFSET( B22, -1, 0 ) + 1</f>
        <v>16</v>
      </c>
      <c r="C22" s="35" t="s">
        <v>161</v>
      </c>
      <c r="D22" s="36" t="s">
        <v>162</v>
      </c>
      <c r="E22" s="207">
        <f>AN22</f>
        <v>3.01</v>
      </c>
      <c r="F22" s="37">
        <f>AQ22</f>
        <v>0.64643428477274767</v>
      </c>
      <c r="G22" s="37">
        <f t="shared" si="2"/>
        <v>4.231093618217599E-2</v>
      </c>
      <c r="H22" s="38" t="str">
        <f>IF( AND( ISNUMBER( $I22 ), ISNUMBER( $J22 ) ), IF( $I22 = $J22, "", IF( $I22 &gt; $J22, "é", "ê" ) ), "" )</f>
        <v>é</v>
      </c>
      <c r="I22" s="215">
        <f t="shared" si="3"/>
        <v>3.01</v>
      </c>
      <c r="J22" s="215">
        <f t="shared" si="4"/>
        <v>2.86</v>
      </c>
      <c r="K22" s="211" t="str">
        <f t="shared" si="5"/>
        <v>2025 Q1</v>
      </c>
      <c r="M22" s="186" t="b">
        <v>0</v>
      </c>
      <c r="N22" s="186" t="s">
        <v>145</v>
      </c>
      <c r="O22" s="186" t="s">
        <v>286</v>
      </c>
      <c r="P22" s="186" t="s">
        <v>145</v>
      </c>
      <c r="Q22" s="186" t="s">
        <v>145</v>
      </c>
      <c r="R22" s="186" t="s">
        <v>145</v>
      </c>
      <c r="S22" s="186" t="s">
        <v>145</v>
      </c>
      <c r="T22" s="187" t="s">
        <v>218</v>
      </c>
      <c r="U22" s="92"/>
      <c r="V22" s="186" t="b">
        <v>0</v>
      </c>
      <c r="W22" s="191" t="s">
        <v>145</v>
      </c>
      <c r="X22" s="191" t="s">
        <v>145</v>
      </c>
      <c r="Y22" s="92"/>
      <c r="Z22" s="186" t="b">
        <v>0</v>
      </c>
      <c r="AA22" s="191" t="s">
        <v>145</v>
      </c>
      <c r="AB22" s="191" t="s">
        <v>145</v>
      </c>
      <c r="AC22" s="92"/>
      <c r="AD22" s="186" t="b">
        <v>0</v>
      </c>
      <c r="AE22" s="191" t="s">
        <v>145</v>
      </c>
      <c r="AF22" s="191" t="s">
        <v>145</v>
      </c>
      <c r="AG22" s="92"/>
      <c r="AH22" s="186" t="b">
        <v>1</v>
      </c>
      <c r="AI22" s="191">
        <v>5.2447552447552503E-2</v>
      </c>
      <c r="AJ22" s="191" t="s">
        <v>145</v>
      </c>
      <c r="AK22" s="92"/>
      <c r="AL22" s="186">
        <v>31</v>
      </c>
      <c r="AM22" s="188" t="s">
        <v>292</v>
      </c>
      <c r="AN22" s="193">
        <v>3.01</v>
      </c>
      <c r="AO22" s="92"/>
      <c r="AP22" s="186">
        <v>31</v>
      </c>
      <c r="AQ22" s="189">
        <v>0.64643428477274767</v>
      </c>
      <c r="AR22" s="194">
        <v>-1051437</v>
      </c>
      <c r="AS22" s="194">
        <v>1626518</v>
      </c>
      <c r="AT22" s="92"/>
      <c r="AU22" s="186">
        <v>31</v>
      </c>
      <c r="AV22" s="190">
        <v>71.14</v>
      </c>
      <c r="AW22" s="92"/>
      <c r="AX22" s="186">
        <v>31</v>
      </c>
      <c r="AY22" s="193">
        <v>3.01</v>
      </c>
      <c r="AZ22" s="193">
        <v>2.86</v>
      </c>
      <c r="BA22" s="188" t="s">
        <v>293</v>
      </c>
      <c r="BB22" s="92"/>
      <c r="BC22" s="92"/>
    </row>
    <row r="23" spans="2:55" ht="11.1" customHeight="1">
      <c r="B23" s="69">
        <f t="shared" ca="1" si="8"/>
        <v>17</v>
      </c>
      <c r="C23" s="35" t="s">
        <v>33</v>
      </c>
      <c r="D23" s="36" t="s">
        <v>34</v>
      </c>
      <c r="E23" s="207">
        <f>AN23</f>
        <v>1.6</v>
      </c>
      <c r="F23" s="37">
        <f>AQ23</f>
        <v>0.59620493358633775</v>
      </c>
      <c r="G23" s="37">
        <f t="shared" si="2"/>
        <v>3.5547656076427465E-2</v>
      </c>
      <c r="H23" s="38" t="s">
        <v>176</v>
      </c>
      <c r="I23" s="215">
        <f t="shared" si="3"/>
        <v>1.6</v>
      </c>
      <c r="J23" s="215">
        <f t="shared" si="4"/>
        <v>1.52</v>
      </c>
      <c r="K23" s="211" t="str">
        <f t="shared" si="5"/>
        <v>2025 Q1</v>
      </c>
      <c r="M23" s="186" t="b">
        <v>0</v>
      </c>
      <c r="N23" s="186" t="s">
        <v>145</v>
      </c>
      <c r="O23" s="186" t="s">
        <v>286</v>
      </c>
      <c r="P23" s="186" t="s">
        <v>145</v>
      </c>
      <c r="Q23" s="186" t="s">
        <v>145</v>
      </c>
      <c r="R23" s="186" t="s">
        <v>145</v>
      </c>
      <c r="S23" s="186" t="s">
        <v>145</v>
      </c>
      <c r="T23" s="187" t="s">
        <v>218</v>
      </c>
      <c r="U23" s="92"/>
      <c r="V23" s="186" t="b">
        <v>0</v>
      </c>
      <c r="W23" s="191" t="s">
        <v>145</v>
      </c>
      <c r="X23" s="191" t="s">
        <v>145</v>
      </c>
      <c r="Y23" s="92"/>
      <c r="Z23" s="186" t="b">
        <v>0</v>
      </c>
      <c r="AA23" s="191" t="s">
        <v>145</v>
      </c>
      <c r="AB23" s="191" t="s">
        <v>145</v>
      </c>
      <c r="AC23" s="92"/>
      <c r="AD23" s="186" t="b">
        <v>0</v>
      </c>
      <c r="AE23" s="191" t="s">
        <v>145</v>
      </c>
      <c r="AF23" s="191" t="s">
        <v>145</v>
      </c>
      <c r="AG23" s="92"/>
      <c r="AH23" s="186" t="b">
        <v>1</v>
      </c>
      <c r="AI23" s="191">
        <v>5.2631578947368363E-2</v>
      </c>
      <c r="AJ23" s="191" t="s">
        <v>145</v>
      </c>
      <c r="AK23" s="92"/>
      <c r="AL23" s="186">
        <v>32</v>
      </c>
      <c r="AM23" s="188" t="s">
        <v>292</v>
      </c>
      <c r="AN23" s="193">
        <v>1.6</v>
      </c>
      <c r="AO23" s="92"/>
      <c r="AP23" s="186">
        <v>32</v>
      </c>
      <c r="AQ23" s="189">
        <v>0.59620493358633775</v>
      </c>
      <c r="AR23" s="194">
        <v>-1571000</v>
      </c>
      <c r="AS23" s="194">
        <v>2635000</v>
      </c>
      <c r="AT23" s="92"/>
      <c r="AU23" s="186">
        <v>32</v>
      </c>
      <c r="AV23" s="190">
        <v>45.01</v>
      </c>
      <c r="AW23" s="92"/>
      <c r="AX23" s="186">
        <v>32</v>
      </c>
      <c r="AY23" s="193">
        <v>1.6</v>
      </c>
      <c r="AZ23" s="193">
        <v>1.52</v>
      </c>
      <c r="BA23" s="188" t="s">
        <v>293</v>
      </c>
      <c r="BB23" s="92"/>
      <c r="BC23" s="92"/>
    </row>
    <row r="24" spans="2:55" ht="11.1" customHeight="1">
      <c r="B24" s="69">
        <f t="shared" ca="1" si="8"/>
        <v>18</v>
      </c>
      <c r="C24" s="85" t="s">
        <v>72</v>
      </c>
      <c r="D24" s="86" t="s">
        <v>35</v>
      </c>
      <c r="E24" s="207">
        <f t="shared" si="6"/>
        <v>1.78</v>
      </c>
      <c r="F24" s="37">
        <f t="shared" si="1"/>
        <v>0.65349143610013172</v>
      </c>
      <c r="G24" s="37">
        <f t="shared" si="2"/>
        <v>3.8847664775207333E-2</v>
      </c>
      <c r="H24" s="38" t="str">
        <f t="shared" si="7"/>
        <v>é</v>
      </c>
      <c r="I24" s="215">
        <f t="shared" si="3"/>
        <v>1.78</v>
      </c>
      <c r="J24" s="215">
        <f t="shared" si="4"/>
        <v>1.7</v>
      </c>
      <c r="K24" s="211" t="str">
        <f t="shared" si="5"/>
        <v>2025 Q1</v>
      </c>
      <c r="M24" s="186" t="b">
        <v>0</v>
      </c>
      <c r="N24" s="186" t="s">
        <v>145</v>
      </c>
      <c r="O24" s="186" t="s">
        <v>286</v>
      </c>
      <c r="P24" s="186" t="s">
        <v>145</v>
      </c>
      <c r="Q24" s="186" t="s">
        <v>145</v>
      </c>
      <c r="R24" s="186" t="s">
        <v>145</v>
      </c>
      <c r="S24" s="186" t="s">
        <v>145</v>
      </c>
      <c r="T24" s="187" t="s">
        <v>218</v>
      </c>
      <c r="U24" s="92"/>
      <c r="V24" s="186" t="b">
        <v>0</v>
      </c>
      <c r="W24" s="191" t="s">
        <v>145</v>
      </c>
      <c r="X24" s="191" t="s">
        <v>145</v>
      </c>
      <c r="Y24" s="92"/>
      <c r="Z24" s="186" t="b">
        <v>0</v>
      </c>
      <c r="AA24" s="191" t="s">
        <v>145</v>
      </c>
      <c r="AB24" s="191" t="s">
        <v>145</v>
      </c>
      <c r="AC24" s="92"/>
      <c r="AD24" s="186" t="b">
        <v>0</v>
      </c>
      <c r="AE24" s="191" t="s">
        <v>145</v>
      </c>
      <c r="AF24" s="191" t="s">
        <v>145</v>
      </c>
      <c r="AG24" s="92"/>
      <c r="AH24" s="186" t="b">
        <v>1</v>
      </c>
      <c r="AI24" s="191">
        <v>4.705882352941182E-2</v>
      </c>
      <c r="AJ24" s="191" t="s">
        <v>145</v>
      </c>
      <c r="AK24" s="92"/>
      <c r="AL24" s="186">
        <v>33</v>
      </c>
      <c r="AM24" s="188" t="s">
        <v>292</v>
      </c>
      <c r="AN24" s="193">
        <v>1.78</v>
      </c>
      <c r="AO24" s="92"/>
      <c r="AP24" s="186">
        <v>33</v>
      </c>
      <c r="AQ24" s="189">
        <v>0.65349143610013172</v>
      </c>
      <c r="AR24" s="194">
        <v>-992000</v>
      </c>
      <c r="AS24" s="194">
        <v>1518000</v>
      </c>
      <c r="AT24" s="92"/>
      <c r="AU24" s="186">
        <v>33</v>
      </c>
      <c r="AV24" s="190">
        <v>45.82</v>
      </c>
      <c r="AW24" s="92"/>
      <c r="AX24" s="186">
        <v>33</v>
      </c>
      <c r="AY24" s="193">
        <v>1.78</v>
      </c>
      <c r="AZ24" s="193">
        <v>1.7</v>
      </c>
      <c r="BA24" s="188" t="s">
        <v>293</v>
      </c>
      <c r="BB24" s="92"/>
      <c r="BC24" s="92"/>
    </row>
    <row r="25" spans="2:55" ht="11.1" customHeight="1">
      <c r="B25" s="69">
        <f t="shared" ca="1" si="8"/>
        <v>19</v>
      </c>
      <c r="C25" s="35" t="s">
        <v>73</v>
      </c>
      <c r="D25" s="36" t="s">
        <v>36</v>
      </c>
      <c r="E25" s="207">
        <f>AN25</f>
        <v>0</v>
      </c>
      <c r="F25" s="37">
        <f>AQ25</f>
        <v>0</v>
      </c>
      <c r="G25" s="37">
        <f t="shared" si="2"/>
        <v>0</v>
      </c>
      <c r="H25" s="38" t="str">
        <f>IF( AND( ISNUMBER( $I25 ), ISNUMBER( $J25 ) ), IF( $I25 = $J25, "", IF( $I25 &gt; $J25, "é", "ê" ) ), "" )</f>
        <v>ê</v>
      </c>
      <c r="I25" s="215">
        <f t="shared" si="3"/>
        <v>0</v>
      </c>
      <c r="J25" s="215">
        <f t="shared" si="4"/>
        <v>1.44</v>
      </c>
      <c r="K25" s="211" t="str">
        <f t="shared" si="5"/>
        <v>2023 Q4</v>
      </c>
      <c r="M25" s="186" t="b">
        <v>0</v>
      </c>
      <c r="N25" s="186" t="s">
        <v>145</v>
      </c>
      <c r="O25" s="186" t="s">
        <v>145</v>
      </c>
      <c r="P25" s="186" t="s">
        <v>145</v>
      </c>
      <c r="Q25" s="186" t="s">
        <v>145</v>
      </c>
      <c r="R25" s="186" t="s">
        <v>145</v>
      </c>
      <c r="S25" s="186" t="s">
        <v>290</v>
      </c>
      <c r="T25" s="187" t="s">
        <v>219</v>
      </c>
      <c r="U25" s="92"/>
      <c r="V25" s="186" t="b">
        <v>0</v>
      </c>
      <c r="W25" s="191" t="s">
        <v>145</v>
      </c>
      <c r="X25" s="191" t="s">
        <v>145</v>
      </c>
      <c r="Y25" s="92"/>
      <c r="Z25" s="186" t="b">
        <v>0</v>
      </c>
      <c r="AA25" s="191" t="s">
        <v>145</v>
      </c>
      <c r="AB25" s="191" t="s">
        <v>145</v>
      </c>
      <c r="AC25" s="92"/>
      <c r="AD25" s="186" t="b">
        <v>0</v>
      </c>
      <c r="AE25" s="191" t="s">
        <v>145</v>
      </c>
      <c r="AF25" s="191" t="s">
        <v>145</v>
      </c>
      <c r="AG25" s="92"/>
      <c r="AH25" s="186" t="b">
        <v>0</v>
      </c>
      <c r="AI25" s="191" t="s">
        <v>145</v>
      </c>
      <c r="AJ25" s="191" t="s">
        <v>145</v>
      </c>
      <c r="AK25" s="92"/>
      <c r="AL25" s="186">
        <v>34</v>
      </c>
      <c r="AM25" s="188" t="s">
        <v>249</v>
      </c>
      <c r="AN25" s="193">
        <v>0</v>
      </c>
      <c r="AO25" s="92"/>
      <c r="AP25" s="186">
        <v>34</v>
      </c>
      <c r="AQ25" s="189">
        <v>0</v>
      </c>
      <c r="AR25" s="194">
        <v>0</v>
      </c>
      <c r="AS25" s="194">
        <v>289141</v>
      </c>
      <c r="AT25" s="92"/>
      <c r="AU25" s="186">
        <v>34</v>
      </c>
      <c r="AV25" s="190">
        <v>11.04</v>
      </c>
      <c r="AW25" s="92"/>
      <c r="AX25" s="186">
        <v>34</v>
      </c>
      <c r="AY25" s="193">
        <v>0</v>
      </c>
      <c r="AZ25" s="193">
        <v>1.44</v>
      </c>
      <c r="BA25" s="188" t="s">
        <v>249</v>
      </c>
      <c r="BB25" s="92"/>
      <c r="BC25" s="92"/>
    </row>
    <row r="26" spans="2:55" ht="11.1" customHeight="1">
      <c r="B26" s="69">
        <f t="shared" ca="1" si="8"/>
        <v>20</v>
      </c>
      <c r="C26" s="35" t="s">
        <v>74</v>
      </c>
      <c r="D26" s="36" t="s">
        <v>37</v>
      </c>
      <c r="E26" s="207">
        <f t="shared" si="6"/>
        <v>3.44</v>
      </c>
      <c r="F26" s="37">
        <f t="shared" si="1"/>
        <v>0.60183469537685375</v>
      </c>
      <c r="G26" s="37">
        <f t="shared" si="2"/>
        <v>2.6031025349981082E-2</v>
      </c>
      <c r="H26" s="38" t="str">
        <f t="shared" si="7"/>
        <v>é</v>
      </c>
      <c r="I26" s="215">
        <f t="shared" si="3"/>
        <v>3.44</v>
      </c>
      <c r="J26" s="215">
        <f t="shared" si="4"/>
        <v>3.32</v>
      </c>
      <c r="K26" s="211" t="str">
        <f t="shared" si="5"/>
        <v>2024 Q4</v>
      </c>
      <c r="M26" s="186" t="b">
        <v>0</v>
      </c>
      <c r="N26" s="186" t="s">
        <v>145</v>
      </c>
      <c r="O26" s="186" t="s">
        <v>286</v>
      </c>
      <c r="P26" s="186" t="s">
        <v>145</v>
      </c>
      <c r="Q26" s="186" t="s">
        <v>145</v>
      </c>
      <c r="R26" s="186" t="s">
        <v>145</v>
      </c>
      <c r="S26" s="186" t="s">
        <v>145</v>
      </c>
      <c r="T26" s="187" t="s">
        <v>218</v>
      </c>
      <c r="U26" s="92"/>
      <c r="V26" s="186" t="b">
        <v>0</v>
      </c>
      <c r="W26" s="191" t="s">
        <v>145</v>
      </c>
      <c r="X26" s="191" t="s">
        <v>145</v>
      </c>
      <c r="Y26" s="92"/>
      <c r="Z26" s="186" t="b">
        <v>0</v>
      </c>
      <c r="AA26" s="191" t="s">
        <v>145</v>
      </c>
      <c r="AB26" s="191" t="s">
        <v>145</v>
      </c>
      <c r="AC26" s="92"/>
      <c r="AD26" s="186" t="b">
        <v>0</v>
      </c>
      <c r="AE26" s="191" t="s">
        <v>145</v>
      </c>
      <c r="AF26" s="191" t="s">
        <v>145</v>
      </c>
      <c r="AG26" s="92"/>
      <c r="AH26" s="186" t="b">
        <v>0</v>
      </c>
      <c r="AI26" s="191" t="s">
        <v>145</v>
      </c>
      <c r="AJ26" s="191" t="s">
        <v>145</v>
      </c>
      <c r="AK26" s="92"/>
      <c r="AL26" s="186">
        <v>35</v>
      </c>
      <c r="AM26" s="188" t="s">
        <v>292</v>
      </c>
      <c r="AN26" s="193">
        <v>3.44</v>
      </c>
      <c r="AO26" s="92"/>
      <c r="AP26" s="186">
        <v>35</v>
      </c>
      <c r="AQ26" s="189">
        <v>0.60183469537685375</v>
      </c>
      <c r="AR26" s="194">
        <v>-185140</v>
      </c>
      <c r="AS26" s="194">
        <v>307626</v>
      </c>
      <c r="AT26" s="92"/>
      <c r="AU26" s="186">
        <v>35</v>
      </c>
      <c r="AV26" s="190">
        <v>132.15</v>
      </c>
      <c r="AW26" s="92"/>
      <c r="AX26" s="186">
        <v>35</v>
      </c>
      <c r="AY26" s="193">
        <v>3.44</v>
      </c>
      <c r="AZ26" s="193">
        <v>3.32</v>
      </c>
      <c r="BA26" s="188" t="s">
        <v>255</v>
      </c>
      <c r="BB26" s="92"/>
      <c r="BC26" s="92"/>
    </row>
    <row r="27" spans="2:55" ht="11.1" customHeight="1">
      <c r="B27" s="69">
        <f t="shared" ca="1" si="8"/>
        <v>21</v>
      </c>
      <c r="C27" s="35" t="s">
        <v>75</v>
      </c>
      <c r="D27" s="36" t="s">
        <v>38</v>
      </c>
      <c r="E27" s="207">
        <f t="shared" si="6"/>
        <v>0.56000000000000005</v>
      </c>
      <c r="F27" s="37">
        <f t="shared" si="1"/>
        <v>0.65873440678072837</v>
      </c>
      <c r="G27" s="37">
        <f t="shared" si="2"/>
        <v>3.1443009545199331E-2</v>
      </c>
      <c r="H27" s="38" t="str">
        <f t="shared" si="7"/>
        <v>é</v>
      </c>
      <c r="I27" s="215">
        <f t="shared" si="3"/>
        <v>0.56000000000000005</v>
      </c>
      <c r="J27" s="215">
        <f t="shared" si="4"/>
        <v>0.52</v>
      </c>
      <c r="K27" s="211" t="str">
        <f t="shared" si="5"/>
        <v>2025 Q3</v>
      </c>
      <c r="M27" s="186" t="b">
        <v>1</v>
      </c>
      <c r="N27" s="186" t="s">
        <v>15</v>
      </c>
      <c r="O27" s="186" t="s">
        <v>145</v>
      </c>
      <c r="P27" s="186" t="s">
        <v>145</v>
      </c>
      <c r="Q27" s="186" t="s">
        <v>145</v>
      </c>
      <c r="R27" s="186" t="s">
        <v>145</v>
      </c>
      <c r="S27" s="186" t="s">
        <v>145</v>
      </c>
      <c r="T27" s="187" t="s">
        <v>53</v>
      </c>
      <c r="U27" s="92"/>
      <c r="V27" s="186" t="b">
        <v>0</v>
      </c>
      <c r="W27" s="191" t="s">
        <v>145</v>
      </c>
      <c r="X27" s="191" t="s">
        <v>145</v>
      </c>
      <c r="Y27" s="92"/>
      <c r="Z27" s="186" t="b">
        <v>1</v>
      </c>
      <c r="AA27" s="191">
        <v>7.6923076923077094E-2</v>
      </c>
      <c r="AB27" s="191" t="s">
        <v>145</v>
      </c>
      <c r="AC27" s="92"/>
      <c r="AD27" s="186" t="b">
        <v>0</v>
      </c>
      <c r="AE27" s="191" t="s">
        <v>145</v>
      </c>
      <c r="AF27" s="191" t="s">
        <v>145</v>
      </c>
      <c r="AG27" s="92"/>
      <c r="AH27" s="186" t="b">
        <v>0</v>
      </c>
      <c r="AI27" s="191" t="s">
        <v>145</v>
      </c>
      <c r="AJ27" s="191" t="s">
        <v>145</v>
      </c>
      <c r="AK27" s="92"/>
      <c r="AL27" s="186">
        <v>36</v>
      </c>
      <c r="AM27" s="188" t="s">
        <v>292</v>
      </c>
      <c r="AN27" s="193">
        <v>0.56000000000000005</v>
      </c>
      <c r="AO27" s="92"/>
      <c r="AP27" s="186">
        <v>36</v>
      </c>
      <c r="AQ27" s="189">
        <v>0.65873440678072837</v>
      </c>
      <c r="AR27" s="194">
        <v>-104609</v>
      </c>
      <c r="AS27" s="194">
        <v>158803</v>
      </c>
      <c r="AT27" s="92"/>
      <c r="AU27" s="186">
        <v>36</v>
      </c>
      <c r="AV27" s="190">
        <v>17.809999999999999</v>
      </c>
      <c r="AW27" s="92"/>
      <c r="AX27" s="186">
        <v>36</v>
      </c>
      <c r="AY27" s="193">
        <v>0.52</v>
      </c>
      <c r="AZ27" s="193">
        <v>0.5</v>
      </c>
      <c r="BA27" s="188" t="s">
        <v>252</v>
      </c>
      <c r="BB27" s="92"/>
      <c r="BC27" s="92"/>
    </row>
    <row r="28" spans="2:55" ht="11.1" customHeight="1">
      <c r="B28" s="69">
        <f t="shared" ca="1" si="8"/>
        <v>22</v>
      </c>
      <c r="C28" s="35" t="s">
        <v>76</v>
      </c>
      <c r="D28" s="36" t="s">
        <v>39</v>
      </c>
      <c r="E28" s="207">
        <f t="shared" si="6"/>
        <v>1.9</v>
      </c>
      <c r="F28" s="37">
        <f t="shared" si="1"/>
        <v>0.5000953827136001</v>
      </c>
      <c r="G28" s="37">
        <f t="shared" si="2"/>
        <v>2.2570681872178661E-2</v>
      </c>
      <c r="H28" s="38" t="str">
        <f t="shared" si="7"/>
        <v>é</v>
      </c>
      <c r="I28" s="215">
        <f t="shared" si="3"/>
        <v>1.9</v>
      </c>
      <c r="J28" s="215">
        <f t="shared" si="4"/>
        <v>1.8</v>
      </c>
      <c r="K28" s="211" t="str">
        <f t="shared" si="5"/>
        <v>2025 Q3</v>
      </c>
      <c r="M28" s="186" t="b">
        <v>1</v>
      </c>
      <c r="N28" s="186" t="s">
        <v>15</v>
      </c>
      <c r="O28" s="186" t="s">
        <v>145</v>
      </c>
      <c r="P28" s="186" t="s">
        <v>145</v>
      </c>
      <c r="Q28" s="186" t="s">
        <v>145</v>
      </c>
      <c r="R28" s="186" t="s">
        <v>145</v>
      </c>
      <c r="S28" s="186" t="s">
        <v>145</v>
      </c>
      <c r="T28" s="187" t="s">
        <v>53</v>
      </c>
      <c r="U28" s="92"/>
      <c r="V28" s="186" t="b">
        <v>0</v>
      </c>
      <c r="W28" s="191" t="s">
        <v>145</v>
      </c>
      <c r="X28" s="191" t="s">
        <v>145</v>
      </c>
      <c r="Y28" s="92"/>
      <c r="Z28" s="186" t="b">
        <v>1</v>
      </c>
      <c r="AA28" s="191">
        <v>5.555555555555558E-2</v>
      </c>
      <c r="AB28" s="191" t="s">
        <v>145</v>
      </c>
      <c r="AC28" s="92"/>
      <c r="AD28" s="186" t="b">
        <v>0</v>
      </c>
      <c r="AE28" s="191" t="s">
        <v>145</v>
      </c>
      <c r="AF28" s="191" t="s">
        <v>145</v>
      </c>
      <c r="AG28" s="92"/>
      <c r="AH28" s="186" t="b">
        <v>0</v>
      </c>
      <c r="AI28" s="191" t="s">
        <v>145</v>
      </c>
      <c r="AJ28" s="191" t="s">
        <v>145</v>
      </c>
      <c r="AK28" s="92"/>
      <c r="AL28" s="186">
        <v>37</v>
      </c>
      <c r="AM28" s="188" t="s">
        <v>292</v>
      </c>
      <c r="AN28" s="193">
        <v>1.9</v>
      </c>
      <c r="AO28" s="92"/>
      <c r="AP28" s="186">
        <v>37</v>
      </c>
      <c r="AQ28" s="189">
        <v>0.5000953827136001</v>
      </c>
      <c r="AR28" s="194">
        <v>-65538</v>
      </c>
      <c r="AS28" s="194">
        <v>131051</v>
      </c>
      <c r="AT28" s="92"/>
      <c r="AU28" s="186">
        <v>37</v>
      </c>
      <c r="AV28" s="190">
        <v>84.18</v>
      </c>
      <c r="AW28" s="92"/>
      <c r="AX28" s="186">
        <v>37</v>
      </c>
      <c r="AY28" s="193">
        <v>1.8</v>
      </c>
      <c r="AZ28" s="193">
        <v>1.71</v>
      </c>
      <c r="BA28" s="188" t="s">
        <v>252</v>
      </c>
      <c r="BB28" s="92"/>
      <c r="BC28" s="92"/>
    </row>
    <row r="29" spans="2:55" ht="11.1" customHeight="1">
      <c r="B29" s="69">
        <f t="shared" ca="1" si="8"/>
        <v>23</v>
      </c>
      <c r="C29" s="35" t="s">
        <v>101</v>
      </c>
      <c r="D29" s="36" t="s">
        <v>102</v>
      </c>
      <c r="E29" s="207">
        <f t="shared" si="6"/>
        <v>2.266</v>
      </c>
      <c r="F29" s="37">
        <f t="shared" si="1"/>
        <v>1.0818955042527338</v>
      </c>
      <c r="G29" s="37">
        <f t="shared" si="2"/>
        <v>3.0017220823950194E-2</v>
      </c>
      <c r="H29" s="38" t="str">
        <f t="shared" si="7"/>
        <v>é</v>
      </c>
      <c r="I29" s="215">
        <f t="shared" si="3"/>
        <v>2.266</v>
      </c>
      <c r="J29" s="215">
        <f t="shared" si="4"/>
        <v>2.06</v>
      </c>
      <c r="K29" s="211" t="str">
        <f t="shared" si="5"/>
        <v>2025 Q1</v>
      </c>
      <c r="M29" s="186" t="b">
        <v>0</v>
      </c>
      <c r="N29" s="186" t="s">
        <v>145</v>
      </c>
      <c r="O29" s="186" t="s">
        <v>286</v>
      </c>
      <c r="P29" s="186" t="s">
        <v>145</v>
      </c>
      <c r="Q29" s="186" t="s">
        <v>145</v>
      </c>
      <c r="R29" s="186" t="s">
        <v>145</v>
      </c>
      <c r="S29" s="186" t="s">
        <v>145</v>
      </c>
      <c r="T29" s="187" t="s">
        <v>218</v>
      </c>
      <c r="U29" s="92"/>
      <c r="V29" s="186" t="b">
        <v>0</v>
      </c>
      <c r="W29" s="191" t="s">
        <v>145</v>
      </c>
      <c r="X29" s="191" t="s">
        <v>145</v>
      </c>
      <c r="Y29" s="92"/>
      <c r="Z29" s="186" t="b">
        <v>0</v>
      </c>
      <c r="AA29" s="191" t="s">
        <v>145</v>
      </c>
      <c r="AB29" s="191" t="s">
        <v>145</v>
      </c>
      <c r="AC29" s="92"/>
      <c r="AD29" s="186" t="b">
        <v>0</v>
      </c>
      <c r="AE29" s="191" t="s">
        <v>145</v>
      </c>
      <c r="AF29" s="191" t="s">
        <v>145</v>
      </c>
      <c r="AG29" s="92"/>
      <c r="AH29" s="186" t="b">
        <v>1</v>
      </c>
      <c r="AI29" s="191">
        <v>0.10000000000000009</v>
      </c>
      <c r="AJ29" s="191" t="s">
        <v>145</v>
      </c>
      <c r="AK29" s="92"/>
      <c r="AL29" s="186">
        <v>38</v>
      </c>
      <c r="AM29" s="188" t="s">
        <v>292</v>
      </c>
      <c r="AN29" s="193">
        <v>2.266</v>
      </c>
      <c r="AO29" s="92"/>
      <c r="AP29" s="186">
        <v>38</v>
      </c>
      <c r="AQ29" s="189">
        <v>1.0818955042527338</v>
      </c>
      <c r="AR29" s="194">
        <v>-4452000</v>
      </c>
      <c r="AS29" s="194">
        <v>4115000</v>
      </c>
      <c r="AT29" s="92"/>
      <c r="AU29" s="186">
        <v>38</v>
      </c>
      <c r="AV29" s="190">
        <v>75.489999999999995</v>
      </c>
      <c r="AW29" s="92"/>
      <c r="AX29" s="186">
        <v>38</v>
      </c>
      <c r="AY29" s="193">
        <v>2.266</v>
      </c>
      <c r="AZ29" s="193">
        <v>2.06</v>
      </c>
      <c r="BA29" s="188" t="s">
        <v>293</v>
      </c>
      <c r="BB29" s="92"/>
      <c r="BC29" s="92"/>
    </row>
    <row r="30" spans="2:55" ht="11.1" customHeight="1">
      <c r="B30" s="69">
        <f t="shared" ca="1" si="8"/>
        <v>24</v>
      </c>
      <c r="C30" s="35" t="s">
        <v>77</v>
      </c>
      <c r="D30" s="36" t="s">
        <v>40</v>
      </c>
      <c r="E30" s="207">
        <f t="shared" si="6"/>
        <v>1.1200000000000001</v>
      </c>
      <c r="F30" s="37">
        <f t="shared" si="1"/>
        <v>0.52057465366854794</v>
      </c>
      <c r="G30" s="37">
        <f t="shared" si="2"/>
        <v>2.5866050808314091E-2</v>
      </c>
      <c r="H30" s="38" t="str">
        <f t="shared" si="7"/>
        <v>é</v>
      </c>
      <c r="I30" s="215">
        <f t="shared" si="3"/>
        <v>1.1200000000000001</v>
      </c>
      <c r="J30" s="215">
        <f t="shared" si="4"/>
        <v>1.06</v>
      </c>
      <c r="K30" s="211" t="str">
        <f t="shared" si="5"/>
        <v>2025 Q1</v>
      </c>
      <c r="M30" s="186" t="b">
        <v>0</v>
      </c>
      <c r="N30" s="186" t="s">
        <v>145</v>
      </c>
      <c r="O30" s="186" t="s">
        <v>286</v>
      </c>
      <c r="P30" s="186" t="s">
        <v>145</v>
      </c>
      <c r="Q30" s="186" t="s">
        <v>145</v>
      </c>
      <c r="R30" s="186" t="s">
        <v>145</v>
      </c>
      <c r="S30" s="186" t="s">
        <v>145</v>
      </c>
      <c r="T30" s="187" t="s">
        <v>218</v>
      </c>
      <c r="U30" s="92"/>
      <c r="V30" s="186" t="b">
        <v>0</v>
      </c>
      <c r="W30" s="191" t="s">
        <v>145</v>
      </c>
      <c r="X30" s="191" t="s">
        <v>145</v>
      </c>
      <c r="Y30" s="92"/>
      <c r="Z30" s="186" t="b">
        <v>0</v>
      </c>
      <c r="AA30" s="191" t="s">
        <v>145</v>
      </c>
      <c r="AB30" s="191" t="s">
        <v>145</v>
      </c>
      <c r="AC30" s="92"/>
      <c r="AD30" s="186" t="b">
        <v>0</v>
      </c>
      <c r="AE30" s="191" t="s">
        <v>145</v>
      </c>
      <c r="AF30" s="191" t="s">
        <v>145</v>
      </c>
      <c r="AG30" s="92"/>
      <c r="AH30" s="186" t="b">
        <v>1</v>
      </c>
      <c r="AI30" s="191">
        <v>5.6603773584905648E-2</v>
      </c>
      <c r="AJ30" s="191" t="s">
        <v>145</v>
      </c>
      <c r="AK30" s="92"/>
      <c r="AL30" s="186">
        <v>39</v>
      </c>
      <c r="AM30" s="188" t="s">
        <v>292</v>
      </c>
      <c r="AN30" s="193">
        <v>1.1200000000000001</v>
      </c>
      <c r="AO30" s="92"/>
      <c r="AP30" s="186">
        <v>39</v>
      </c>
      <c r="AQ30" s="189">
        <v>0.52057465366854794</v>
      </c>
      <c r="AR30" s="194">
        <v>-507300</v>
      </c>
      <c r="AS30" s="194">
        <v>974500</v>
      </c>
      <c r="AT30" s="92"/>
      <c r="AU30" s="186">
        <v>39</v>
      </c>
      <c r="AV30" s="190">
        <v>43.3</v>
      </c>
      <c r="AW30" s="92"/>
      <c r="AX30" s="186">
        <v>39</v>
      </c>
      <c r="AY30" s="193">
        <v>1.1200000000000001</v>
      </c>
      <c r="AZ30" s="193">
        <v>1.06</v>
      </c>
      <c r="BA30" s="188" t="s">
        <v>293</v>
      </c>
      <c r="BB30" s="92"/>
      <c r="BC30" s="92"/>
    </row>
    <row r="31" spans="2:55" ht="11.1" customHeight="1">
      <c r="B31" s="69">
        <f t="shared" ca="1" si="8"/>
        <v>25</v>
      </c>
      <c r="C31" s="35" t="s">
        <v>295</v>
      </c>
      <c r="D31" s="36" t="s">
        <v>78</v>
      </c>
      <c r="E31" s="207">
        <f t="shared" si="6"/>
        <v>2.64</v>
      </c>
      <c r="F31" s="37">
        <f t="shared" si="1"/>
        <v>0.70926979369421694</v>
      </c>
      <c r="G31" s="37">
        <f t="shared" si="2"/>
        <v>4.5043507933799694E-2</v>
      </c>
      <c r="H31" s="38" t="str">
        <f t="shared" si="7"/>
        <v>é</v>
      </c>
      <c r="I31" s="215">
        <f t="shared" si="3"/>
        <v>2.64</v>
      </c>
      <c r="J31" s="215">
        <f t="shared" si="4"/>
        <v>2.6</v>
      </c>
      <c r="K31" s="211" t="str">
        <f t="shared" si="5"/>
        <v>2025 Q1</v>
      </c>
      <c r="M31" s="186" t="b">
        <v>0</v>
      </c>
      <c r="N31" s="186" t="s">
        <v>145</v>
      </c>
      <c r="O31" s="186" t="s">
        <v>286</v>
      </c>
      <c r="P31" s="186" t="s">
        <v>145</v>
      </c>
      <c r="Q31" s="186" t="s">
        <v>145</v>
      </c>
      <c r="R31" s="186" t="s">
        <v>145</v>
      </c>
      <c r="S31" s="186" t="s">
        <v>145</v>
      </c>
      <c r="T31" s="187" t="s">
        <v>218</v>
      </c>
      <c r="U31" s="92"/>
      <c r="V31" s="186" t="b">
        <v>0</v>
      </c>
      <c r="W31" s="191" t="s">
        <v>145</v>
      </c>
      <c r="X31" s="191" t="s">
        <v>145</v>
      </c>
      <c r="Y31" s="92"/>
      <c r="Z31" s="186" t="b">
        <v>0</v>
      </c>
      <c r="AA31" s="191" t="s">
        <v>145</v>
      </c>
      <c r="AB31" s="191" t="s">
        <v>145</v>
      </c>
      <c r="AC31" s="92"/>
      <c r="AD31" s="186" t="b">
        <v>0</v>
      </c>
      <c r="AE31" s="191" t="s">
        <v>145</v>
      </c>
      <c r="AF31" s="191" t="s">
        <v>145</v>
      </c>
      <c r="AG31" s="92"/>
      <c r="AH31" s="186" t="b">
        <v>1</v>
      </c>
      <c r="AI31" s="191">
        <v>1.538461538461533E-2</v>
      </c>
      <c r="AJ31" s="191" t="s">
        <v>145</v>
      </c>
      <c r="AK31" s="92"/>
      <c r="AL31" s="186">
        <v>40</v>
      </c>
      <c r="AM31" s="188" t="s">
        <v>292</v>
      </c>
      <c r="AN31" s="193">
        <v>2.64</v>
      </c>
      <c r="AO31" s="92"/>
      <c r="AP31" s="186">
        <v>40</v>
      </c>
      <c r="AQ31" s="189">
        <v>0.70926979369421694</v>
      </c>
      <c r="AR31" s="194">
        <v>-159968</v>
      </c>
      <c r="AS31" s="194">
        <v>225539</v>
      </c>
      <c r="AT31" s="92"/>
      <c r="AU31" s="186">
        <v>40</v>
      </c>
      <c r="AV31" s="190">
        <v>58.61</v>
      </c>
      <c r="AW31" s="92"/>
      <c r="AX31" s="186">
        <v>40</v>
      </c>
      <c r="AY31" s="193">
        <v>2.64</v>
      </c>
      <c r="AZ31" s="193">
        <v>2.6</v>
      </c>
      <c r="BA31" s="188" t="s">
        <v>293</v>
      </c>
      <c r="BB31" s="92"/>
      <c r="BC31" s="92"/>
    </row>
    <row r="32" spans="2:55" ht="11.1" customHeight="1">
      <c r="B32" s="69">
        <f t="shared" ca="1" si="8"/>
        <v>26</v>
      </c>
      <c r="C32" s="35" t="s">
        <v>41</v>
      </c>
      <c r="D32" s="36" t="s">
        <v>42</v>
      </c>
      <c r="E32" s="207">
        <f t="shared" si="6"/>
        <v>1.7</v>
      </c>
      <c r="F32" s="37">
        <f t="shared" si="1"/>
        <v>0.69295028524857372</v>
      </c>
      <c r="G32" s="37">
        <f t="shared" si="2"/>
        <v>3.6740868813486059E-2</v>
      </c>
      <c r="H32" s="38" t="str">
        <f t="shared" si="7"/>
        <v>é</v>
      </c>
      <c r="I32" s="215">
        <f t="shared" si="3"/>
        <v>1.7</v>
      </c>
      <c r="J32" s="215">
        <f t="shared" si="4"/>
        <v>1.6850000000000001</v>
      </c>
      <c r="K32" s="211" t="str">
        <f t="shared" si="5"/>
        <v>2025 Q3</v>
      </c>
      <c r="M32" s="186" t="b">
        <v>1</v>
      </c>
      <c r="N32" s="186" t="s">
        <v>15</v>
      </c>
      <c r="O32" s="186" t="s">
        <v>145</v>
      </c>
      <c r="P32" s="186" t="s">
        <v>145</v>
      </c>
      <c r="Q32" s="186" t="s">
        <v>145</v>
      </c>
      <c r="R32" s="186" t="s">
        <v>145</v>
      </c>
      <c r="S32" s="186" t="s">
        <v>145</v>
      </c>
      <c r="T32" s="187" t="s">
        <v>53</v>
      </c>
      <c r="U32" s="92"/>
      <c r="V32" s="186" t="b">
        <v>0</v>
      </c>
      <c r="W32" s="191" t="s">
        <v>145</v>
      </c>
      <c r="X32" s="191" t="s">
        <v>145</v>
      </c>
      <c r="Y32" s="92"/>
      <c r="Z32" s="186" t="b">
        <v>1</v>
      </c>
      <c r="AA32" s="191">
        <v>8.9020771513352859E-3</v>
      </c>
      <c r="AB32" s="191" t="s">
        <v>145</v>
      </c>
      <c r="AC32" s="92"/>
      <c r="AD32" s="186" t="b">
        <v>0</v>
      </c>
      <c r="AE32" s="191" t="s">
        <v>145</v>
      </c>
      <c r="AF32" s="191" t="s">
        <v>145</v>
      </c>
      <c r="AG32" s="92"/>
      <c r="AH32" s="186" t="b">
        <v>0</v>
      </c>
      <c r="AI32" s="191" t="s">
        <v>145</v>
      </c>
      <c r="AJ32" s="191" t="s">
        <v>145</v>
      </c>
      <c r="AK32" s="92"/>
      <c r="AL32" s="186">
        <v>41</v>
      </c>
      <c r="AM32" s="188" t="s">
        <v>292</v>
      </c>
      <c r="AN32" s="193">
        <v>1.7</v>
      </c>
      <c r="AO32" s="92"/>
      <c r="AP32" s="186">
        <v>41</v>
      </c>
      <c r="AQ32" s="189">
        <v>0.69295028524857372</v>
      </c>
      <c r="AR32" s="194">
        <v>-340100</v>
      </c>
      <c r="AS32" s="194">
        <v>490800</v>
      </c>
      <c r="AT32" s="92"/>
      <c r="AU32" s="186">
        <v>41</v>
      </c>
      <c r="AV32" s="190">
        <v>46.27</v>
      </c>
      <c r="AW32" s="92"/>
      <c r="AX32" s="186">
        <v>41</v>
      </c>
      <c r="AY32" s="193">
        <v>1.6850000000000001</v>
      </c>
      <c r="AZ32" s="193">
        <v>1.6728000000000001</v>
      </c>
      <c r="BA32" s="188" t="s">
        <v>252</v>
      </c>
      <c r="BB32" s="92"/>
      <c r="BC32" s="92"/>
    </row>
    <row r="33" spans="2:55" ht="11.1" customHeight="1">
      <c r="B33" s="69">
        <f t="shared" ca="1" si="8"/>
        <v>27</v>
      </c>
      <c r="C33" s="85" t="s">
        <v>79</v>
      </c>
      <c r="D33" s="86" t="s">
        <v>43</v>
      </c>
      <c r="E33" s="207">
        <f t="shared" si="6"/>
        <v>2.1</v>
      </c>
      <c r="F33" s="37">
        <f t="shared" si="1"/>
        <v>0.29063517801478911</v>
      </c>
      <c r="G33" s="37">
        <f t="shared" si="2"/>
        <v>2.5619128949615714E-2</v>
      </c>
      <c r="H33" s="38" t="str">
        <f t="shared" si="7"/>
        <v>é</v>
      </c>
      <c r="I33" s="215">
        <f t="shared" si="3"/>
        <v>2.1</v>
      </c>
      <c r="J33" s="215">
        <f t="shared" si="4"/>
        <v>1.87</v>
      </c>
      <c r="K33" s="211" t="str">
        <f t="shared" si="5"/>
        <v>2025 Q1</v>
      </c>
      <c r="M33" s="186" t="b">
        <v>0</v>
      </c>
      <c r="N33" s="186" t="s">
        <v>145</v>
      </c>
      <c r="O33" s="186" t="s">
        <v>286</v>
      </c>
      <c r="P33" s="186" t="s">
        <v>145</v>
      </c>
      <c r="Q33" s="186" t="s">
        <v>145</v>
      </c>
      <c r="R33" s="186" t="s">
        <v>145</v>
      </c>
      <c r="S33" s="186" t="s">
        <v>145</v>
      </c>
      <c r="T33" s="187" t="s">
        <v>218</v>
      </c>
      <c r="U33" s="92"/>
      <c r="V33" s="186" t="b">
        <v>0</v>
      </c>
      <c r="W33" s="191" t="s">
        <v>145</v>
      </c>
      <c r="X33" s="191" t="s">
        <v>145</v>
      </c>
      <c r="Y33" s="92"/>
      <c r="Z33" s="186" t="b">
        <v>0</v>
      </c>
      <c r="AA33" s="191" t="s">
        <v>145</v>
      </c>
      <c r="AB33" s="191" t="s">
        <v>145</v>
      </c>
      <c r="AC33" s="92"/>
      <c r="AD33" s="186" t="b">
        <v>0</v>
      </c>
      <c r="AE33" s="191" t="s">
        <v>145</v>
      </c>
      <c r="AF33" s="191" t="s">
        <v>145</v>
      </c>
      <c r="AG33" s="92"/>
      <c r="AH33" s="186" t="b">
        <v>1</v>
      </c>
      <c r="AI33" s="191">
        <v>0.12299465240641716</v>
      </c>
      <c r="AJ33" s="191" t="s">
        <v>145</v>
      </c>
      <c r="AK33" s="92"/>
      <c r="AL33" s="186">
        <v>42</v>
      </c>
      <c r="AM33" s="188" t="s">
        <v>292</v>
      </c>
      <c r="AN33" s="193">
        <v>2.1</v>
      </c>
      <c r="AO33" s="92"/>
      <c r="AP33" s="186">
        <v>42</v>
      </c>
      <c r="AQ33" s="189">
        <v>0.29063517801478911</v>
      </c>
      <c r="AR33" s="194">
        <v>-83167</v>
      </c>
      <c r="AS33" s="194">
        <v>286156</v>
      </c>
      <c r="AT33" s="92"/>
      <c r="AU33" s="186">
        <v>42</v>
      </c>
      <c r="AV33" s="190">
        <v>81.97</v>
      </c>
      <c r="AW33" s="92"/>
      <c r="AX33" s="186">
        <v>42</v>
      </c>
      <c r="AY33" s="193">
        <v>2.1</v>
      </c>
      <c r="AZ33" s="193">
        <v>1.87</v>
      </c>
      <c r="BA33" s="188" t="s">
        <v>293</v>
      </c>
      <c r="BB33" s="92"/>
      <c r="BC33" s="92"/>
    </row>
    <row r="34" spans="2:55" ht="11.1" customHeight="1">
      <c r="B34" s="69">
        <f t="shared" ca="1" si="8"/>
        <v>28</v>
      </c>
      <c r="C34" s="35" t="s">
        <v>80</v>
      </c>
      <c r="D34" s="36" t="s">
        <v>98</v>
      </c>
      <c r="E34" s="207">
        <f>AN34</f>
        <v>0.1</v>
      </c>
      <c r="F34" s="37">
        <f>AQ34</f>
        <v>5.027932960893855E-2</v>
      </c>
      <c r="G34" s="37">
        <f t="shared" si="2"/>
        <v>6.6312997347480109E-3</v>
      </c>
      <c r="H34" s="38" t="str">
        <f>IF( AND( ISNUMBER( $I34 ), ISNUMBER( $J34 ) ), IF( $I34 = $J34, "", IF( $I34 &gt; $J34, "é", "ê" ) ), "" )</f>
        <v>é</v>
      </c>
      <c r="I34" s="215">
        <f t="shared" si="3"/>
        <v>0.1</v>
      </c>
      <c r="J34" s="215">
        <f t="shared" si="4"/>
        <v>0.04</v>
      </c>
      <c r="K34" s="211" t="str">
        <f t="shared" si="5"/>
        <v>2024 Q4</v>
      </c>
      <c r="M34" s="186" t="b">
        <v>0</v>
      </c>
      <c r="N34" s="186" t="s">
        <v>145</v>
      </c>
      <c r="O34" s="186" t="s">
        <v>286</v>
      </c>
      <c r="P34" s="186" t="s">
        <v>145</v>
      </c>
      <c r="Q34" s="186" t="s">
        <v>145</v>
      </c>
      <c r="R34" s="186" t="s">
        <v>145</v>
      </c>
      <c r="S34" s="186" t="s">
        <v>145</v>
      </c>
      <c r="T34" s="187" t="s">
        <v>218</v>
      </c>
      <c r="U34" s="92"/>
      <c r="V34" s="186" t="b">
        <v>0</v>
      </c>
      <c r="W34" s="191" t="s">
        <v>145</v>
      </c>
      <c r="X34" s="191" t="s">
        <v>145</v>
      </c>
      <c r="Y34" s="92"/>
      <c r="Z34" s="186" t="b">
        <v>0</v>
      </c>
      <c r="AA34" s="191" t="s">
        <v>145</v>
      </c>
      <c r="AB34" s="191" t="s">
        <v>145</v>
      </c>
      <c r="AC34" s="92"/>
      <c r="AD34" s="186" t="b">
        <v>0</v>
      </c>
      <c r="AE34" s="191" t="s">
        <v>145</v>
      </c>
      <c r="AF34" s="191" t="s">
        <v>145</v>
      </c>
      <c r="AG34" s="92"/>
      <c r="AH34" s="186" t="b">
        <v>0</v>
      </c>
      <c r="AI34" s="191" t="s">
        <v>145</v>
      </c>
      <c r="AJ34" s="191" t="s">
        <v>145</v>
      </c>
      <c r="AK34" s="92"/>
      <c r="AL34" s="186">
        <v>43</v>
      </c>
      <c r="AM34" s="188" t="s">
        <v>292</v>
      </c>
      <c r="AN34" s="193">
        <v>0.1</v>
      </c>
      <c r="AO34" s="92"/>
      <c r="AP34" s="186">
        <v>43</v>
      </c>
      <c r="AQ34" s="189">
        <v>5.027932960893855E-2</v>
      </c>
      <c r="AR34" s="194">
        <v>-153000</v>
      </c>
      <c r="AS34" s="194">
        <v>3043000</v>
      </c>
      <c r="AT34" s="92"/>
      <c r="AU34" s="186">
        <v>43</v>
      </c>
      <c r="AV34" s="190">
        <v>15.08</v>
      </c>
      <c r="AW34" s="92"/>
      <c r="AX34" s="186">
        <v>43</v>
      </c>
      <c r="AY34" s="193">
        <v>0.1</v>
      </c>
      <c r="AZ34" s="193">
        <v>0.04</v>
      </c>
      <c r="BA34" s="188" t="s">
        <v>255</v>
      </c>
      <c r="BB34" s="92"/>
      <c r="BC34" s="92"/>
    </row>
    <row r="35" spans="2:55" ht="11.1" customHeight="1">
      <c r="B35" s="69">
        <f t="shared" ca="1" si="8"/>
        <v>29</v>
      </c>
      <c r="C35" s="35" t="s">
        <v>81</v>
      </c>
      <c r="D35" s="36" t="s">
        <v>44</v>
      </c>
      <c r="E35" s="207">
        <f t="shared" si="6"/>
        <v>3.58</v>
      </c>
      <c r="F35" s="37">
        <f t="shared" si="1"/>
        <v>0.70948340989414638</v>
      </c>
      <c r="G35" s="37">
        <f t="shared" si="2"/>
        <v>3.9928619228195406E-2</v>
      </c>
      <c r="H35" s="38" t="str">
        <f t="shared" si="7"/>
        <v>é</v>
      </c>
      <c r="I35" s="215">
        <f t="shared" si="3"/>
        <v>3.58</v>
      </c>
      <c r="J35" s="215">
        <f t="shared" si="4"/>
        <v>3.52</v>
      </c>
      <c r="K35" s="211" t="str">
        <f t="shared" si="5"/>
        <v>2024 Q4</v>
      </c>
      <c r="M35" s="186" t="b">
        <v>0</v>
      </c>
      <c r="N35" s="186" t="s">
        <v>145</v>
      </c>
      <c r="O35" s="186" t="s">
        <v>286</v>
      </c>
      <c r="P35" s="186" t="s">
        <v>145</v>
      </c>
      <c r="Q35" s="186" t="s">
        <v>145</v>
      </c>
      <c r="R35" s="186" t="s">
        <v>145</v>
      </c>
      <c r="S35" s="186" t="s">
        <v>145</v>
      </c>
      <c r="T35" s="187" t="s">
        <v>218</v>
      </c>
      <c r="U35" s="92"/>
      <c r="V35" s="186" t="b">
        <v>0</v>
      </c>
      <c r="W35" s="191" t="s">
        <v>145</v>
      </c>
      <c r="X35" s="191" t="s">
        <v>145</v>
      </c>
      <c r="Y35" s="92"/>
      <c r="Z35" s="186" t="b">
        <v>0</v>
      </c>
      <c r="AA35" s="191" t="s">
        <v>145</v>
      </c>
      <c r="AB35" s="191" t="s">
        <v>145</v>
      </c>
      <c r="AC35" s="92"/>
      <c r="AD35" s="186" t="b">
        <v>0</v>
      </c>
      <c r="AE35" s="191" t="s">
        <v>145</v>
      </c>
      <c r="AF35" s="191" t="s">
        <v>145</v>
      </c>
      <c r="AG35" s="92"/>
      <c r="AH35" s="186" t="b">
        <v>0</v>
      </c>
      <c r="AI35" s="191" t="s">
        <v>145</v>
      </c>
      <c r="AJ35" s="191" t="s">
        <v>145</v>
      </c>
      <c r="AK35" s="92"/>
      <c r="AL35" s="186">
        <v>44</v>
      </c>
      <c r="AM35" s="188" t="s">
        <v>292</v>
      </c>
      <c r="AN35" s="193">
        <v>3.58</v>
      </c>
      <c r="AO35" s="92"/>
      <c r="AP35" s="186">
        <v>44</v>
      </c>
      <c r="AQ35" s="189">
        <v>0.70948340989414638</v>
      </c>
      <c r="AR35" s="194">
        <v>-408517</v>
      </c>
      <c r="AS35" s="194">
        <v>575795</v>
      </c>
      <c r="AT35" s="92"/>
      <c r="AU35" s="186">
        <v>44</v>
      </c>
      <c r="AV35" s="190">
        <v>89.66</v>
      </c>
      <c r="AW35" s="92"/>
      <c r="AX35" s="186">
        <v>44</v>
      </c>
      <c r="AY35" s="193">
        <v>3.58</v>
      </c>
      <c r="AZ35" s="193">
        <v>3.52</v>
      </c>
      <c r="BA35" s="188" t="s">
        <v>255</v>
      </c>
      <c r="BB35" s="92"/>
      <c r="BC35" s="92"/>
    </row>
    <row r="36" spans="2:55" ht="11.1" customHeight="1">
      <c r="B36" s="69">
        <f t="shared" ca="1" si="8"/>
        <v>30</v>
      </c>
      <c r="C36" s="35" t="s">
        <v>58</v>
      </c>
      <c r="D36" s="36" t="s">
        <v>59</v>
      </c>
      <c r="E36" s="207">
        <f t="shared" si="6"/>
        <v>2.1</v>
      </c>
      <c r="F36" s="37">
        <f t="shared" si="1"/>
        <v>0.72448979591836737</v>
      </c>
      <c r="G36" s="37">
        <f t="shared" si="2"/>
        <v>4.7727272727272729E-2</v>
      </c>
      <c r="H36" s="38" t="str">
        <f t="shared" si="7"/>
        <v>é</v>
      </c>
      <c r="I36" s="215">
        <f t="shared" si="3"/>
        <v>2.1</v>
      </c>
      <c r="J36" s="215">
        <f t="shared" si="4"/>
        <v>2</v>
      </c>
      <c r="K36" s="211" t="str">
        <f t="shared" si="5"/>
        <v>2025 Q2</v>
      </c>
      <c r="M36" s="186" t="b">
        <v>0</v>
      </c>
      <c r="N36" s="186" t="s">
        <v>145</v>
      </c>
      <c r="O36" s="186" t="s">
        <v>286</v>
      </c>
      <c r="P36" s="186" t="s">
        <v>145</v>
      </c>
      <c r="Q36" s="186" t="s">
        <v>145</v>
      </c>
      <c r="R36" s="186" t="s">
        <v>145</v>
      </c>
      <c r="S36" s="186" t="s">
        <v>145</v>
      </c>
      <c r="T36" s="187" t="s">
        <v>218</v>
      </c>
      <c r="U36" s="92"/>
      <c r="V36" s="186" t="b">
        <v>0</v>
      </c>
      <c r="W36" s="191" t="s">
        <v>145</v>
      </c>
      <c r="X36" s="191" t="s">
        <v>145</v>
      </c>
      <c r="Y36" s="92"/>
      <c r="Z36" s="186" t="b">
        <v>0</v>
      </c>
      <c r="AA36" s="191" t="s">
        <v>145</v>
      </c>
      <c r="AB36" s="191" t="s">
        <v>145</v>
      </c>
      <c r="AC36" s="92"/>
      <c r="AD36" s="186" t="b">
        <v>1</v>
      </c>
      <c r="AE36" s="191">
        <v>5.0000000000000044E-2</v>
      </c>
      <c r="AF36" s="191" t="s">
        <v>145</v>
      </c>
      <c r="AG36" s="92"/>
      <c r="AH36" s="186" t="b">
        <v>0</v>
      </c>
      <c r="AI36" s="191" t="s">
        <v>145</v>
      </c>
      <c r="AJ36" s="191" t="s">
        <v>145</v>
      </c>
      <c r="AK36" s="92"/>
      <c r="AL36" s="186">
        <v>45</v>
      </c>
      <c r="AM36" s="188" t="s">
        <v>292</v>
      </c>
      <c r="AN36" s="193">
        <v>2.1</v>
      </c>
      <c r="AO36" s="92"/>
      <c r="AP36" s="186">
        <v>45</v>
      </c>
      <c r="AQ36" s="189">
        <v>0.72448979591836737</v>
      </c>
      <c r="AR36" s="194">
        <v>-213000</v>
      </c>
      <c r="AS36" s="194">
        <v>294000</v>
      </c>
      <c r="AT36" s="92"/>
      <c r="AU36" s="186">
        <v>45</v>
      </c>
      <c r="AV36" s="190">
        <v>44</v>
      </c>
      <c r="AW36" s="92"/>
      <c r="AX36" s="186">
        <v>45</v>
      </c>
      <c r="AY36" s="193">
        <v>2.1</v>
      </c>
      <c r="AZ36" s="193">
        <v>2</v>
      </c>
      <c r="BA36" s="188" t="s">
        <v>294</v>
      </c>
      <c r="BB36" s="92"/>
      <c r="BC36" s="92"/>
    </row>
    <row r="37" spans="2:55" ht="11.1" customHeight="1">
      <c r="B37" s="69">
        <f t="shared" ca="1" si="8"/>
        <v>31</v>
      </c>
      <c r="C37" s="35" t="s">
        <v>45</v>
      </c>
      <c r="D37" s="36" t="s">
        <v>82</v>
      </c>
      <c r="E37" s="207">
        <f t="shared" si="6"/>
        <v>1.0900000000000001</v>
      </c>
      <c r="F37" s="37">
        <f t="shared" si="1"/>
        <v>0.58220211161387636</v>
      </c>
      <c r="G37" s="37">
        <f t="shared" si="2"/>
        <v>2.9332615715823469E-2</v>
      </c>
      <c r="H37" s="38" t="str">
        <f t="shared" si="7"/>
        <v>é</v>
      </c>
      <c r="I37" s="215">
        <f t="shared" si="3"/>
        <v>1.0900000000000001</v>
      </c>
      <c r="J37" s="215">
        <f t="shared" si="4"/>
        <v>1.03</v>
      </c>
      <c r="K37" s="211" t="str">
        <f t="shared" si="5"/>
        <v>2025 Q1</v>
      </c>
      <c r="M37" s="186" t="b">
        <v>0</v>
      </c>
      <c r="N37" s="186" t="s">
        <v>145</v>
      </c>
      <c r="O37" s="186" t="s">
        <v>286</v>
      </c>
      <c r="P37" s="186" t="s">
        <v>145</v>
      </c>
      <c r="Q37" s="186" t="s">
        <v>145</v>
      </c>
      <c r="R37" s="186" t="s">
        <v>145</v>
      </c>
      <c r="S37" s="186" t="s">
        <v>145</v>
      </c>
      <c r="T37" s="187" t="s">
        <v>218</v>
      </c>
      <c r="U37" s="92"/>
      <c r="V37" s="186" t="b">
        <v>0</v>
      </c>
      <c r="W37" s="191" t="s">
        <v>145</v>
      </c>
      <c r="X37" s="191" t="s">
        <v>145</v>
      </c>
      <c r="Y37" s="92"/>
      <c r="Z37" s="186" t="b">
        <v>0</v>
      </c>
      <c r="AA37" s="191" t="s">
        <v>145</v>
      </c>
      <c r="AB37" s="191" t="s">
        <v>145</v>
      </c>
      <c r="AC37" s="92"/>
      <c r="AD37" s="186" t="b">
        <v>0</v>
      </c>
      <c r="AE37" s="191" t="s">
        <v>145</v>
      </c>
      <c r="AF37" s="191" t="s">
        <v>145</v>
      </c>
      <c r="AG37" s="92"/>
      <c r="AH37" s="186" t="b">
        <v>1</v>
      </c>
      <c r="AI37" s="191">
        <v>5.8252427184465994E-2</v>
      </c>
      <c r="AJ37" s="191" t="s">
        <v>145</v>
      </c>
      <c r="AK37" s="92"/>
      <c r="AL37" s="186">
        <v>46</v>
      </c>
      <c r="AM37" s="188" t="s">
        <v>292</v>
      </c>
      <c r="AN37" s="193">
        <v>1.0900000000000001</v>
      </c>
      <c r="AO37" s="92"/>
      <c r="AP37" s="186">
        <v>46</v>
      </c>
      <c r="AQ37" s="189">
        <v>0.58220211161387636</v>
      </c>
      <c r="AR37" s="194">
        <v>-772000</v>
      </c>
      <c r="AS37" s="194">
        <v>1326000</v>
      </c>
      <c r="AT37" s="92"/>
      <c r="AU37" s="186">
        <v>46</v>
      </c>
      <c r="AV37" s="190">
        <v>37.159999999999997</v>
      </c>
      <c r="AW37" s="92"/>
      <c r="AX37" s="186">
        <v>46</v>
      </c>
      <c r="AY37" s="193">
        <v>1.0900000000000001</v>
      </c>
      <c r="AZ37" s="193">
        <v>1.03</v>
      </c>
      <c r="BA37" s="188" t="s">
        <v>293</v>
      </c>
      <c r="BB37" s="92"/>
      <c r="BC37" s="92"/>
    </row>
    <row r="38" spans="2:55" ht="11.1" customHeight="1">
      <c r="B38" s="69">
        <f t="shared" ca="1" si="8"/>
        <v>32</v>
      </c>
      <c r="C38" s="35" t="s">
        <v>273</v>
      </c>
      <c r="D38" s="36" t="s">
        <v>46</v>
      </c>
      <c r="E38" s="207">
        <f t="shared" si="6"/>
        <v>2.52</v>
      </c>
      <c r="F38" s="37">
        <f t="shared" si="1"/>
        <v>0.6178247734138973</v>
      </c>
      <c r="G38" s="37">
        <f t="shared" si="2"/>
        <v>3.0194104960460103E-2</v>
      </c>
      <c r="H38" s="38" t="str">
        <f t="shared" si="7"/>
        <v>é</v>
      </c>
      <c r="I38" s="215">
        <f t="shared" si="3"/>
        <v>2.52</v>
      </c>
      <c r="J38" s="215">
        <f t="shared" si="4"/>
        <v>2.4</v>
      </c>
      <c r="K38" s="211" t="str">
        <f t="shared" si="5"/>
        <v>2025 Q1</v>
      </c>
      <c r="M38" s="186" t="b">
        <v>0</v>
      </c>
      <c r="N38" s="186" t="s">
        <v>145</v>
      </c>
      <c r="O38" s="186" t="s">
        <v>286</v>
      </c>
      <c r="P38" s="186" t="s">
        <v>145</v>
      </c>
      <c r="Q38" s="186" t="s">
        <v>145</v>
      </c>
      <c r="R38" s="186" t="s">
        <v>145</v>
      </c>
      <c r="S38" s="186" t="s">
        <v>145</v>
      </c>
      <c r="T38" s="187" t="s">
        <v>218</v>
      </c>
      <c r="U38" s="92"/>
      <c r="V38" s="186" t="b">
        <v>0</v>
      </c>
      <c r="W38" s="191" t="s">
        <v>145</v>
      </c>
      <c r="X38" s="191" t="s">
        <v>145</v>
      </c>
      <c r="Y38" s="92"/>
      <c r="Z38" s="186" t="b">
        <v>0</v>
      </c>
      <c r="AA38" s="191" t="s">
        <v>145</v>
      </c>
      <c r="AB38" s="191" t="s">
        <v>145</v>
      </c>
      <c r="AC38" s="92"/>
      <c r="AD38" s="186" t="b">
        <v>0</v>
      </c>
      <c r="AE38" s="191" t="s">
        <v>145</v>
      </c>
      <c r="AF38" s="191" t="s">
        <v>145</v>
      </c>
      <c r="AG38" s="92"/>
      <c r="AH38" s="186" t="b">
        <v>1</v>
      </c>
      <c r="AI38" s="191">
        <v>5.0000000000000044E-2</v>
      </c>
      <c r="AJ38" s="191" t="s">
        <v>145</v>
      </c>
      <c r="AK38" s="92"/>
      <c r="AL38" s="186">
        <v>47</v>
      </c>
      <c r="AM38" s="188" t="s">
        <v>292</v>
      </c>
      <c r="AN38" s="193">
        <v>2.52</v>
      </c>
      <c r="AO38" s="92"/>
      <c r="AP38" s="186">
        <v>47</v>
      </c>
      <c r="AQ38" s="189">
        <v>0.6178247734138973</v>
      </c>
      <c r="AR38" s="194">
        <v>-1227000</v>
      </c>
      <c r="AS38" s="194">
        <v>1986000</v>
      </c>
      <c r="AT38" s="92"/>
      <c r="AU38" s="186">
        <v>47</v>
      </c>
      <c r="AV38" s="190">
        <v>83.46</v>
      </c>
      <c r="AW38" s="92"/>
      <c r="AX38" s="186">
        <v>47</v>
      </c>
      <c r="AY38" s="193">
        <v>2.52</v>
      </c>
      <c r="AZ38" s="193">
        <v>2.4</v>
      </c>
      <c r="BA38" s="188" t="s">
        <v>293</v>
      </c>
      <c r="BB38" s="92"/>
      <c r="BC38" s="92"/>
    </row>
    <row r="39" spans="2:55" ht="11.1" customHeight="1">
      <c r="B39" s="69">
        <f t="shared" ca="1" si="8"/>
        <v>33</v>
      </c>
      <c r="C39" s="35" t="s">
        <v>274</v>
      </c>
      <c r="D39" s="36" t="s">
        <v>47</v>
      </c>
      <c r="E39" s="207">
        <f t="shared" si="6"/>
        <v>2.58</v>
      </c>
      <c r="F39" s="37">
        <f t="shared" si="1"/>
        <v>0.48493408662900189</v>
      </c>
      <c r="G39" s="37">
        <f t="shared" si="2"/>
        <v>2.8673038452989554E-2</v>
      </c>
      <c r="H39" s="38" t="str">
        <f t="shared" si="7"/>
        <v>é</v>
      </c>
      <c r="I39" s="215">
        <f t="shared" si="3"/>
        <v>2.58</v>
      </c>
      <c r="J39" s="215">
        <f t="shared" si="4"/>
        <v>2.48</v>
      </c>
      <c r="K39" s="211" t="str">
        <f t="shared" si="5"/>
        <v>2025 Q1</v>
      </c>
      <c r="M39" s="186" t="b">
        <v>0</v>
      </c>
      <c r="N39" s="186" t="s">
        <v>145</v>
      </c>
      <c r="O39" s="186" t="s">
        <v>286</v>
      </c>
      <c r="P39" s="186" t="s">
        <v>145</v>
      </c>
      <c r="Q39" s="186" t="s">
        <v>145</v>
      </c>
      <c r="R39" s="186" t="s">
        <v>145</v>
      </c>
      <c r="S39" s="186" t="s">
        <v>145</v>
      </c>
      <c r="T39" s="187" t="s">
        <v>218</v>
      </c>
      <c r="U39" s="92"/>
      <c r="V39" s="186" t="b">
        <v>0</v>
      </c>
      <c r="W39" s="191" t="s">
        <v>145</v>
      </c>
      <c r="X39" s="191" t="s">
        <v>145</v>
      </c>
      <c r="Y39" s="92"/>
      <c r="Z39" s="186" t="b">
        <v>0</v>
      </c>
      <c r="AA39" s="191" t="s">
        <v>145</v>
      </c>
      <c r="AB39" s="191" t="s">
        <v>145</v>
      </c>
      <c r="AC39" s="92"/>
      <c r="AD39" s="186" t="b">
        <v>0</v>
      </c>
      <c r="AE39" s="191" t="s">
        <v>145</v>
      </c>
      <c r="AF39" s="191" t="s">
        <v>145</v>
      </c>
      <c r="AG39" s="92"/>
      <c r="AH39" s="186" t="b">
        <v>1</v>
      </c>
      <c r="AI39" s="191">
        <v>4.0322580645161255E-2</v>
      </c>
      <c r="AJ39" s="191" t="s">
        <v>145</v>
      </c>
      <c r="AK39" s="92"/>
      <c r="AL39" s="186">
        <v>48</v>
      </c>
      <c r="AM39" s="188" t="s">
        <v>292</v>
      </c>
      <c r="AN39" s="193">
        <v>2.58</v>
      </c>
      <c r="AO39" s="92"/>
      <c r="AP39" s="186">
        <v>48</v>
      </c>
      <c r="AQ39" s="189">
        <v>0.48493408662900189</v>
      </c>
      <c r="AR39" s="194">
        <v>-1545000</v>
      </c>
      <c r="AS39" s="194">
        <v>3186000</v>
      </c>
      <c r="AT39" s="92"/>
      <c r="AU39" s="186">
        <v>48</v>
      </c>
      <c r="AV39" s="190">
        <v>89.98</v>
      </c>
      <c r="AW39" s="92"/>
      <c r="AX39" s="186">
        <v>48</v>
      </c>
      <c r="AY39" s="193">
        <v>2.58</v>
      </c>
      <c r="AZ39" s="193">
        <v>2.48</v>
      </c>
      <c r="BA39" s="188" t="s">
        <v>293</v>
      </c>
      <c r="BB39" s="92"/>
      <c r="BC39" s="92"/>
    </row>
    <row r="40" spans="2:55" ht="11.1" customHeight="1">
      <c r="B40" s="69">
        <f t="shared" ca="1" si="8"/>
        <v>34</v>
      </c>
      <c r="C40" s="35" t="s">
        <v>83</v>
      </c>
      <c r="D40" s="36" t="s">
        <v>48</v>
      </c>
      <c r="E40" s="207">
        <f t="shared" si="6"/>
        <v>2.96</v>
      </c>
      <c r="F40" s="37">
        <f t="shared" si="1"/>
        <v>0.76196603190941847</v>
      </c>
      <c r="G40" s="37">
        <f t="shared" si="2"/>
        <v>3.1233512714994197E-2</v>
      </c>
      <c r="H40" s="38" t="str">
        <f t="shared" si="7"/>
        <v>é</v>
      </c>
      <c r="I40" s="215">
        <f t="shared" si="3"/>
        <v>2.96</v>
      </c>
      <c r="J40" s="215">
        <f t="shared" si="4"/>
        <v>2.88</v>
      </c>
      <c r="K40" s="211" t="str">
        <f t="shared" si="5"/>
        <v>2025 Q2</v>
      </c>
      <c r="M40" s="186" t="b">
        <v>0</v>
      </c>
      <c r="N40" s="186" t="s">
        <v>145</v>
      </c>
      <c r="O40" s="186" t="s">
        <v>286</v>
      </c>
      <c r="P40" s="186" t="s">
        <v>145</v>
      </c>
      <c r="Q40" s="186" t="s">
        <v>145</v>
      </c>
      <c r="R40" s="186" t="s">
        <v>145</v>
      </c>
      <c r="S40" s="186" t="s">
        <v>145</v>
      </c>
      <c r="T40" s="187" t="s">
        <v>218</v>
      </c>
      <c r="U40" s="92"/>
      <c r="V40" s="186" t="b">
        <v>0</v>
      </c>
      <c r="W40" s="191" t="s">
        <v>145</v>
      </c>
      <c r="X40" s="191" t="s">
        <v>145</v>
      </c>
      <c r="Y40" s="92"/>
      <c r="Z40" s="186" t="b">
        <v>0</v>
      </c>
      <c r="AA40" s="191" t="s">
        <v>145</v>
      </c>
      <c r="AB40" s="191" t="s">
        <v>145</v>
      </c>
      <c r="AC40" s="92"/>
      <c r="AD40" s="186" t="b">
        <v>1</v>
      </c>
      <c r="AE40" s="191">
        <v>2.7777777777777901E-2</v>
      </c>
      <c r="AF40" s="191" t="s">
        <v>145</v>
      </c>
      <c r="AG40" s="92"/>
      <c r="AH40" s="186" t="b">
        <v>0</v>
      </c>
      <c r="AI40" s="191" t="s">
        <v>145</v>
      </c>
      <c r="AJ40" s="191" t="s">
        <v>145</v>
      </c>
      <c r="AK40" s="92"/>
      <c r="AL40" s="186">
        <v>49</v>
      </c>
      <c r="AM40" s="188" t="s">
        <v>292</v>
      </c>
      <c r="AN40" s="193">
        <v>2.96</v>
      </c>
      <c r="AO40" s="92"/>
      <c r="AP40" s="186">
        <v>49</v>
      </c>
      <c r="AQ40" s="189">
        <v>0.76196603190941847</v>
      </c>
      <c r="AR40" s="194">
        <v>-2961000</v>
      </c>
      <c r="AS40" s="194">
        <v>3886000</v>
      </c>
      <c r="AT40" s="92"/>
      <c r="AU40" s="186">
        <v>49</v>
      </c>
      <c r="AV40" s="190">
        <v>94.77</v>
      </c>
      <c r="AW40" s="92"/>
      <c r="AX40" s="186">
        <v>49</v>
      </c>
      <c r="AY40" s="193">
        <v>2.96</v>
      </c>
      <c r="AZ40" s="193">
        <v>2.88</v>
      </c>
      <c r="BA40" s="188" t="s">
        <v>294</v>
      </c>
      <c r="BB40" s="92"/>
      <c r="BC40" s="92"/>
    </row>
    <row r="41" spans="2:55" ht="11.1" customHeight="1">
      <c r="B41" s="69">
        <f t="shared" ca="1" si="8"/>
        <v>35</v>
      </c>
      <c r="C41" s="35" t="s">
        <v>253</v>
      </c>
      <c r="D41" s="36" t="s">
        <v>254</v>
      </c>
      <c r="E41" s="207">
        <f t="shared" si="6"/>
        <v>1.63</v>
      </c>
      <c r="F41" s="37">
        <f t="shared" si="1"/>
        <v>0.65427166425965166</v>
      </c>
      <c r="G41" s="37">
        <f t="shared" si="2"/>
        <v>2.8824049513704687E-2</v>
      </c>
      <c r="H41" s="38" t="str">
        <f t="shared" si="7"/>
        <v>é</v>
      </c>
      <c r="I41" s="215">
        <f t="shared" si="3"/>
        <v>1.63</v>
      </c>
      <c r="J41" s="215">
        <f t="shared" si="4"/>
        <v>1.55</v>
      </c>
      <c r="K41" s="211" t="str">
        <f t="shared" si="5"/>
        <v>2024 Q4</v>
      </c>
      <c r="M41" s="186" t="b">
        <v>0</v>
      </c>
      <c r="N41" s="186" t="s">
        <v>145</v>
      </c>
      <c r="O41" s="186" t="s">
        <v>286</v>
      </c>
      <c r="P41" s="186" t="s">
        <v>145</v>
      </c>
      <c r="Q41" s="186" t="s">
        <v>145</v>
      </c>
      <c r="R41" s="186" t="s">
        <v>145</v>
      </c>
      <c r="S41" s="186" t="s">
        <v>145</v>
      </c>
      <c r="T41" s="187" t="s">
        <v>218</v>
      </c>
      <c r="U41" s="92"/>
      <c r="V41" s="186" t="b">
        <v>0</v>
      </c>
      <c r="W41" s="191" t="s">
        <v>145</v>
      </c>
      <c r="X41" s="191" t="s">
        <v>145</v>
      </c>
      <c r="Y41" s="92"/>
      <c r="Z41" s="186" t="b">
        <v>0</v>
      </c>
      <c r="AA41" s="191" t="s">
        <v>145</v>
      </c>
      <c r="AB41" s="191" t="s">
        <v>145</v>
      </c>
      <c r="AC41" s="92"/>
      <c r="AD41" s="186" t="b">
        <v>0</v>
      </c>
      <c r="AE41" s="191" t="s">
        <v>145</v>
      </c>
      <c r="AF41" s="191" t="s">
        <v>145</v>
      </c>
      <c r="AG41" s="92"/>
      <c r="AH41" s="186" t="b">
        <v>0</v>
      </c>
      <c r="AI41" s="191" t="s">
        <v>145</v>
      </c>
      <c r="AJ41" s="191" t="s">
        <v>145</v>
      </c>
      <c r="AK41" s="92"/>
      <c r="AL41" s="186">
        <v>50</v>
      </c>
      <c r="AM41" s="188" t="s">
        <v>292</v>
      </c>
      <c r="AN41" s="193">
        <v>1.63</v>
      </c>
      <c r="AO41" s="92"/>
      <c r="AP41" s="186">
        <v>50</v>
      </c>
      <c r="AQ41" s="189">
        <v>0.65427166425965166</v>
      </c>
      <c r="AR41" s="194">
        <v>-145423</v>
      </c>
      <c r="AS41" s="194">
        <v>222267</v>
      </c>
      <c r="AT41" s="92"/>
      <c r="AU41" s="186">
        <v>50</v>
      </c>
      <c r="AV41" s="190">
        <v>56.55</v>
      </c>
      <c r="AW41" s="92"/>
      <c r="AX41" s="186">
        <v>50</v>
      </c>
      <c r="AY41" s="193">
        <v>1.63</v>
      </c>
      <c r="AZ41" s="193">
        <v>1.55</v>
      </c>
      <c r="BA41" s="188" t="s">
        <v>255</v>
      </c>
      <c r="BB41" s="92"/>
      <c r="BC41" s="92"/>
    </row>
    <row r="42" spans="2:55" ht="11.1" customHeight="1">
      <c r="B42" s="69">
        <f t="shared" ca="1" si="8"/>
        <v>36</v>
      </c>
      <c r="C42" s="35" t="s">
        <v>84</v>
      </c>
      <c r="D42" s="36" t="s">
        <v>49</v>
      </c>
      <c r="E42" s="207">
        <f t="shared" si="6"/>
        <v>1.8</v>
      </c>
      <c r="F42" s="37">
        <f t="shared" si="1"/>
        <v>0.59414225941422594</v>
      </c>
      <c r="G42" s="37">
        <f t="shared" si="2"/>
        <v>3.7609694943585459E-2</v>
      </c>
      <c r="H42" s="38" t="str">
        <f t="shared" si="7"/>
        <v>é</v>
      </c>
      <c r="I42" s="215">
        <f t="shared" si="3"/>
        <v>1.8</v>
      </c>
      <c r="J42" s="215">
        <f t="shared" si="4"/>
        <v>1.7</v>
      </c>
      <c r="K42" s="211" t="str">
        <f t="shared" si="5"/>
        <v>2025 Q1</v>
      </c>
      <c r="M42" s="186" t="b">
        <v>0</v>
      </c>
      <c r="N42" s="186" t="s">
        <v>145</v>
      </c>
      <c r="O42" s="186" t="s">
        <v>286</v>
      </c>
      <c r="P42" s="186" t="s">
        <v>145</v>
      </c>
      <c r="Q42" s="186" t="s">
        <v>145</v>
      </c>
      <c r="R42" s="186" t="s">
        <v>145</v>
      </c>
      <c r="S42" s="186" t="s">
        <v>145</v>
      </c>
      <c r="T42" s="187" t="s">
        <v>218</v>
      </c>
      <c r="U42" s="92"/>
      <c r="V42" s="186" t="b">
        <v>0</v>
      </c>
      <c r="W42" s="191" t="s">
        <v>145</v>
      </c>
      <c r="X42" s="191" t="s">
        <v>145</v>
      </c>
      <c r="Y42" s="92"/>
      <c r="Z42" s="186" t="b">
        <v>0</v>
      </c>
      <c r="AA42" s="191" t="s">
        <v>145</v>
      </c>
      <c r="AB42" s="191" t="s">
        <v>145</v>
      </c>
      <c r="AC42" s="92"/>
      <c r="AD42" s="186" t="b">
        <v>0</v>
      </c>
      <c r="AE42" s="191" t="s">
        <v>145</v>
      </c>
      <c r="AF42" s="191" t="s">
        <v>145</v>
      </c>
      <c r="AG42" s="92"/>
      <c r="AH42" s="186" t="b">
        <v>1</v>
      </c>
      <c r="AI42" s="191">
        <v>5.8823529411764719E-2</v>
      </c>
      <c r="AJ42" s="191" t="s">
        <v>145</v>
      </c>
      <c r="AK42" s="92"/>
      <c r="AL42" s="186">
        <v>51</v>
      </c>
      <c r="AM42" s="188" t="s">
        <v>292</v>
      </c>
      <c r="AN42" s="193">
        <v>1.8</v>
      </c>
      <c r="AO42" s="92"/>
      <c r="AP42" s="186">
        <v>51</v>
      </c>
      <c r="AQ42" s="189">
        <v>0.59414225941422594</v>
      </c>
      <c r="AR42" s="194">
        <v>-28400</v>
      </c>
      <c r="AS42" s="194">
        <v>47800</v>
      </c>
      <c r="AT42" s="92"/>
      <c r="AU42" s="186">
        <v>51</v>
      </c>
      <c r="AV42" s="190">
        <v>47.86</v>
      </c>
      <c r="AW42" s="92"/>
      <c r="AX42" s="186">
        <v>51</v>
      </c>
      <c r="AY42" s="193">
        <v>1.8</v>
      </c>
      <c r="AZ42" s="193">
        <v>1.7</v>
      </c>
      <c r="BA42" s="188" t="s">
        <v>293</v>
      </c>
      <c r="BB42" s="92"/>
      <c r="BC42" s="92"/>
    </row>
    <row r="43" spans="2:55" ht="11.1" customHeight="1">
      <c r="B43" s="69">
        <f t="shared" ca="1" si="8"/>
        <v>37</v>
      </c>
      <c r="C43" s="35" t="s">
        <v>163</v>
      </c>
      <c r="D43" s="36" t="s">
        <v>50</v>
      </c>
      <c r="E43" s="207">
        <f t="shared" si="6"/>
        <v>3.57</v>
      </c>
      <c r="F43" s="37">
        <f t="shared" si="1"/>
        <v>0.66782259536411759</v>
      </c>
      <c r="G43" s="37">
        <f t="shared" si="2"/>
        <v>3.1154551007941355E-2</v>
      </c>
      <c r="H43" s="38" t="str">
        <f t="shared" si="7"/>
        <v>é</v>
      </c>
      <c r="I43" s="215">
        <f t="shared" si="3"/>
        <v>3.57</v>
      </c>
      <c r="J43" s="215">
        <f t="shared" si="4"/>
        <v>3.34</v>
      </c>
      <c r="K43" s="211" t="str">
        <f t="shared" si="5"/>
        <v>2025 Q1</v>
      </c>
      <c r="M43" s="186" t="b">
        <v>0</v>
      </c>
      <c r="N43" s="186" t="s">
        <v>145</v>
      </c>
      <c r="O43" s="186" t="s">
        <v>286</v>
      </c>
      <c r="P43" s="186" t="s">
        <v>145</v>
      </c>
      <c r="Q43" s="186" t="s">
        <v>145</v>
      </c>
      <c r="R43" s="186" t="s">
        <v>145</v>
      </c>
      <c r="S43" s="186" t="s">
        <v>145</v>
      </c>
      <c r="T43" s="187" t="s">
        <v>218</v>
      </c>
      <c r="U43" s="92"/>
      <c r="V43" s="186" t="b">
        <v>0</v>
      </c>
      <c r="W43" s="191" t="s">
        <v>145</v>
      </c>
      <c r="X43" s="191" t="s">
        <v>145</v>
      </c>
      <c r="Y43" s="92"/>
      <c r="Z43" s="186" t="b">
        <v>0</v>
      </c>
      <c r="AA43" s="191" t="s">
        <v>145</v>
      </c>
      <c r="AB43" s="191" t="s">
        <v>145</v>
      </c>
      <c r="AC43" s="92"/>
      <c r="AD43" s="186" t="b">
        <v>0</v>
      </c>
      <c r="AE43" s="191" t="s">
        <v>145</v>
      </c>
      <c r="AF43" s="191" t="s">
        <v>145</v>
      </c>
      <c r="AG43" s="92"/>
      <c r="AH43" s="186" t="b">
        <v>1</v>
      </c>
      <c r="AI43" s="191">
        <v>6.8862275449101729E-2</v>
      </c>
      <c r="AJ43" s="191" t="s">
        <v>145</v>
      </c>
      <c r="AK43" s="92"/>
      <c r="AL43" s="186">
        <v>52</v>
      </c>
      <c r="AM43" s="188" t="s">
        <v>292</v>
      </c>
      <c r="AN43" s="193">
        <v>3.57</v>
      </c>
      <c r="AO43" s="92"/>
      <c r="AP43" s="186">
        <v>52</v>
      </c>
      <c r="AQ43" s="189">
        <v>0.66782259536411759</v>
      </c>
      <c r="AR43" s="194">
        <v>-1097700</v>
      </c>
      <c r="AS43" s="194">
        <v>1643700</v>
      </c>
      <c r="AT43" s="92"/>
      <c r="AU43" s="186">
        <v>52</v>
      </c>
      <c r="AV43" s="190">
        <v>114.59</v>
      </c>
      <c r="AW43" s="92"/>
      <c r="AX43" s="186">
        <v>52</v>
      </c>
      <c r="AY43" s="193">
        <v>3.57</v>
      </c>
      <c r="AZ43" s="193">
        <v>3.34</v>
      </c>
      <c r="BA43" s="188" t="s">
        <v>293</v>
      </c>
      <c r="BB43" s="92"/>
      <c r="BC43" s="92"/>
    </row>
    <row r="44" spans="2:55" ht="11.1" customHeight="1">
      <c r="B44" s="69">
        <f t="shared" ca="1" si="8"/>
        <v>38</v>
      </c>
      <c r="C44" s="147" t="s">
        <v>94</v>
      </c>
      <c r="D44" s="148" t="s">
        <v>51</v>
      </c>
      <c r="E44" s="209">
        <f t="shared" si="6"/>
        <v>2.2799999999999998</v>
      </c>
      <c r="F44" s="149">
        <f t="shared" si="1"/>
        <v>0.59093101784852875</v>
      </c>
      <c r="G44" s="149">
        <f t="shared" si="2"/>
        <v>2.8270303781773091E-2</v>
      </c>
      <c r="H44" s="150" t="str">
        <f t="shared" si="7"/>
        <v>é</v>
      </c>
      <c r="I44" s="217">
        <f t="shared" si="3"/>
        <v>2.2799999999999998</v>
      </c>
      <c r="J44" s="217">
        <f t="shared" si="4"/>
        <v>2.19</v>
      </c>
      <c r="K44" s="213" t="str">
        <f t="shared" si="5"/>
        <v>2025 Q1</v>
      </c>
      <c r="M44" s="186" t="b">
        <v>0</v>
      </c>
      <c r="N44" s="186" t="s">
        <v>145</v>
      </c>
      <c r="O44" s="186" t="s">
        <v>286</v>
      </c>
      <c r="P44" s="186" t="s">
        <v>145</v>
      </c>
      <c r="Q44" s="186" t="s">
        <v>145</v>
      </c>
      <c r="R44" s="186" t="s">
        <v>145</v>
      </c>
      <c r="S44" s="186" t="s">
        <v>145</v>
      </c>
      <c r="T44" s="187" t="s">
        <v>218</v>
      </c>
      <c r="U44" s="92"/>
      <c r="V44" s="186" t="b">
        <v>0</v>
      </c>
      <c r="W44" s="191" t="s">
        <v>145</v>
      </c>
      <c r="X44" s="191" t="s">
        <v>145</v>
      </c>
      <c r="Y44" s="92"/>
      <c r="Z44" s="186" t="b">
        <v>0</v>
      </c>
      <c r="AA44" s="191" t="s">
        <v>145</v>
      </c>
      <c r="AB44" s="191" t="s">
        <v>145</v>
      </c>
      <c r="AC44" s="92"/>
      <c r="AD44" s="186" t="b">
        <v>0</v>
      </c>
      <c r="AE44" s="191" t="s">
        <v>145</v>
      </c>
      <c r="AF44" s="191" t="s">
        <v>145</v>
      </c>
      <c r="AG44" s="92"/>
      <c r="AH44" s="186" t="b">
        <v>1</v>
      </c>
      <c r="AI44" s="191">
        <v>4.1095890410958846E-2</v>
      </c>
      <c r="AJ44" s="191" t="s">
        <v>145</v>
      </c>
      <c r="AK44" s="92"/>
      <c r="AL44" s="186">
        <v>53</v>
      </c>
      <c r="AM44" s="188" t="s">
        <v>292</v>
      </c>
      <c r="AN44" s="193">
        <v>2.2799999999999998</v>
      </c>
      <c r="AO44" s="92"/>
      <c r="AP44" s="186">
        <v>53</v>
      </c>
      <c r="AQ44" s="189">
        <v>0.59093101784852875</v>
      </c>
      <c r="AR44" s="194">
        <v>-1225000</v>
      </c>
      <c r="AS44" s="194">
        <v>2073000</v>
      </c>
      <c r="AT44" s="92"/>
      <c r="AU44" s="186">
        <v>53</v>
      </c>
      <c r="AV44" s="190">
        <v>80.650000000000006</v>
      </c>
      <c r="AW44" s="92"/>
      <c r="AX44" s="186">
        <v>53</v>
      </c>
      <c r="AY44" s="193">
        <v>2.2799999999999998</v>
      </c>
      <c r="AZ44" s="193">
        <v>2.19</v>
      </c>
      <c r="BA44" s="188" t="s">
        <v>293</v>
      </c>
      <c r="BB44" s="92"/>
      <c r="BC44" s="92"/>
    </row>
    <row r="45" spans="2:55" ht="11.1" customHeight="1">
      <c r="B45" s="69"/>
      <c r="M45" s="143"/>
      <c r="N45" s="143"/>
      <c r="O45" s="143"/>
      <c r="P45" s="143"/>
      <c r="Q45" s="143"/>
      <c r="R45" s="143"/>
      <c r="S45" s="143"/>
      <c r="T45" s="144"/>
      <c r="U45" s="92"/>
      <c r="V45" s="91"/>
      <c r="W45" s="91"/>
      <c r="X45" s="91"/>
      <c r="Y45" s="92"/>
      <c r="Z45" s="91"/>
      <c r="AA45" s="91"/>
      <c r="AB45" s="91"/>
      <c r="AC45" s="92"/>
      <c r="AD45" s="91"/>
      <c r="AE45" s="91"/>
      <c r="AF45" s="91"/>
      <c r="AG45" s="92"/>
      <c r="AH45" s="91"/>
      <c r="AI45" s="91"/>
      <c r="AJ45" s="91"/>
      <c r="AK45" s="92"/>
      <c r="AL45" s="91"/>
      <c r="AM45" s="91"/>
      <c r="AN45" s="145"/>
      <c r="AO45" s="92"/>
      <c r="AP45" s="91"/>
      <c r="AQ45" s="146"/>
      <c r="AR45" s="146"/>
      <c r="AS45" s="146"/>
      <c r="AT45" s="92"/>
      <c r="AU45" s="91"/>
      <c r="AV45" s="146"/>
      <c r="AW45" s="92"/>
      <c r="AX45" s="91"/>
      <c r="AY45" s="91"/>
      <c r="AZ45" s="91"/>
      <c r="BA45" s="145"/>
      <c r="BB45" s="92"/>
      <c r="BC45" s="90"/>
    </row>
    <row r="46" spans="2:55" ht="11.1" customHeight="1">
      <c r="B46" s="69"/>
      <c r="C46" s="40" t="s">
        <v>52</v>
      </c>
      <c r="D46" s="28"/>
      <c r="E46" s="40"/>
      <c r="F46" s="151">
        <f>AVERAGEIF(F7:F44,"&lt;&gt;0")</f>
        <v>0.64862610851106439</v>
      </c>
      <c r="G46" s="151">
        <f>AVERAGEIF(G6:G44,"&lt;&gt;0")</f>
        <v>3.3662230740372848E-2</v>
      </c>
      <c r="H46" s="152"/>
      <c r="I46" s="40"/>
      <c r="J46" s="40"/>
      <c r="K46" s="40"/>
      <c r="L46" s="28"/>
      <c r="N46" s="28">
        <v>4</v>
      </c>
      <c r="O46" s="28">
        <v>33</v>
      </c>
      <c r="P46" s="28">
        <v>0</v>
      </c>
      <c r="Q46" s="28">
        <v>0</v>
      </c>
      <c r="R46" s="28">
        <v>0</v>
      </c>
      <c r="S46" s="28">
        <v>1</v>
      </c>
      <c r="T46" s="28">
        <v>38</v>
      </c>
      <c r="V46" s="201"/>
      <c r="W46" s="203" t="s">
        <v>145</v>
      </c>
      <c r="X46" s="198" t="s">
        <v>145</v>
      </c>
      <c r="Z46" s="199"/>
      <c r="AA46" s="198">
        <v>4.0129866402707326E-2</v>
      </c>
      <c r="AB46" s="198" t="s">
        <v>168</v>
      </c>
      <c r="AD46" s="199"/>
      <c r="AE46" s="198" t="s">
        <v>145</v>
      </c>
      <c r="AF46" s="198" t="s">
        <v>145</v>
      </c>
      <c r="AH46" s="199"/>
      <c r="AI46" s="202" t="s">
        <v>145</v>
      </c>
      <c r="AJ46" s="198" t="s">
        <v>145</v>
      </c>
      <c r="AN46" s="27"/>
      <c r="AP46" s="89"/>
      <c r="AQ46" s="137">
        <v>0.62933228489973814</v>
      </c>
      <c r="AR46" s="195">
        <v>-34525329</v>
      </c>
      <c r="AS46" s="195">
        <v>54860254</v>
      </c>
      <c r="BC46" s="92"/>
    </row>
    <row r="47" spans="2:55" ht="11.1" customHeight="1">
      <c r="B47" s="69"/>
      <c r="D47" s="27"/>
      <c r="F47" s="39"/>
      <c r="G47" s="39"/>
      <c r="H47" s="30"/>
      <c r="T47" s="27"/>
      <c r="V47" s="201"/>
      <c r="W47" s="199"/>
      <c r="X47" s="199"/>
      <c r="Z47" s="201"/>
      <c r="AA47" s="199"/>
      <c r="AB47" s="199"/>
      <c r="AD47" s="201"/>
      <c r="AE47" s="199"/>
      <c r="AF47" s="199"/>
      <c r="AH47" s="201"/>
      <c r="AI47" s="199"/>
      <c r="AJ47" s="199"/>
      <c r="AN47" s="27"/>
      <c r="AQ47" s="28"/>
      <c r="BC47" s="92"/>
    </row>
    <row r="48" spans="2:55" ht="11.1" customHeight="1">
      <c r="B48" s="69"/>
      <c r="D48" s="27"/>
      <c r="F48" s="39"/>
      <c r="G48" s="39"/>
      <c r="H48" s="30"/>
      <c r="M48" s="91"/>
      <c r="N48" s="91"/>
      <c r="O48" s="91"/>
      <c r="P48" s="91"/>
      <c r="Q48" s="91"/>
      <c r="R48" s="91"/>
      <c r="S48" s="91"/>
      <c r="T48" s="128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1"/>
      <c r="AM48" s="91"/>
      <c r="AN48" s="128"/>
      <c r="AO48" s="92"/>
      <c r="AP48" s="91"/>
      <c r="AQ48" s="128"/>
      <c r="AR48" s="128"/>
      <c r="AS48" s="128"/>
      <c r="AT48" s="92"/>
      <c r="AU48" s="91"/>
      <c r="AV48" s="128"/>
      <c r="AW48" s="92"/>
      <c r="AX48" s="91"/>
      <c r="AY48" s="91"/>
      <c r="AZ48" s="91"/>
      <c r="BA48" s="91"/>
      <c r="BB48" s="92"/>
      <c r="BC48" s="92"/>
    </row>
    <row r="49" spans="3:55" ht="11.1" customHeight="1">
      <c r="C49" s="40" t="s">
        <v>64</v>
      </c>
      <c r="M49" s="91"/>
      <c r="N49" s="91"/>
      <c r="O49" s="91"/>
      <c r="P49" s="91"/>
      <c r="Q49" s="91"/>
      <c r="R49" s="91"/>
      <c r="S49" s="91"/>
      <c r="T49" s="128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1"/>
      <c r="AM49" s="91"/>
      <c r="AN49" s="128"/>
      <c r="AO49" s="92"/>
      <c r="AP49" s="91"/>
      <c r="AQ49" s="128"/>
      <c r="AR49" s="128"/>
      <c r="AS49" s="128"/>
      <c r="AT49" s="92"/>
      <c r="AU49" s="91"/>
      <c r="AV49" s="128"/>
      <c r="AW49" s="92"/>
      <c r="AX49" s="91"/>
      <c r="AY49" s="91"/>
      <c r="AZ49" s="91"/>
      <c r="BA49" s="91"/>
      <c r="BB49" s="92"/>
      <c r="BC49" s="92"/>
    </row>
    <row r="50" spans="3:55" ht="11.1" customHeight="1">
      <c r="C50" s="40"/>
      <c r="M50" s="91"/>
      <c r="N50" s="91"/>
      <c r="O50" s="91"/>
      <c r="P50" s="91"/>
      <c r="Q50" s="91"/>
      <c r="R50" s="91"/>
      <c r="S50" s="91"/>
      <c r="T50" s="128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1"/>
      <c r="AM50" s="91"/>
      <c r="AN50" s="128"/>
      <c r="AO50" s="92"/>
      <c r="AP50" s="91"/>
      <c r="AQ50" s="128"/>
      <c r="AR50" s="128"/>
      <c r="AS50" s="128"/>
      <c r="AT50" s="92"/>
      <c r="AU50" s="91"/>
      <c r="AV50" s="128"/>
      <c r="AW50" s="92"/>
      <c r="AX50" s="91"/>
      <c r="AY50" s="91"/>
      <c r="AZ50" s="91"/>
      <c r="BA50" s="91"/>
      <c r="BB50" s="92"/>
      <c r="BC50" s="92"/>
    </row>
    <row r="51" spans="3:55" ht="11.1" customHeight="1">
      <c r="C51" s="41" t="s">
        <v>85</v>
      </c>
      <c r="D51" s="27"/>
      <c r="H51" s="30"/>
      <c r="M51" s="139"/>
      <c r="N51" s="139"/>
      <c r="O51" s="139"/>
      <c r="P51" s="139"/>
      <c r="Q51" s="139"/>
      <c r="R51" s="139"/>
      <c r="S51" s="139"/>
      <c r="T51" s="128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139"/>
      <c r="AM51" s="139"/>
      <c r="AN51" s="128"/>
      <c r="AO51" s="92"/>
      <c r="AP51" s="139"/>
      <c r="AQ51" s="128"/>
      <c r="AR51" s="128"/>
      <c r="AS51" s="128"/>
      <c r="AT51" s="92"/>
      <c r="AU51" s="139"/>
      <c r="AV51" s="128"/>
      <c r="AW51" s="92"/>
      <c r="AX51" s="139"/>
      <c r="AY51" s="139"/>
      <c r="AZ51" s="139"/>
      <c r="BA51" s="91"/>
      <c r="BB51" s="92"/>
      <c r="BC51" s="92"/>
    </row>
    <row r="52" spans="3:55" ht="11.1" customHeight="1">
      <c r="C52" s="42" t="str">
        <f>"Per share amounts are annualized declared figures as of "&amp;TEXT(Date_EOP_Current,"m/dd/yyyy")&amp;". N/A = Not Applicable."</f>
        <v>Per share amounts are annualized declared figures as of 9/30/2025. N/A = Not Applicable.</v>
      </c>
      <c r="D52" s="27"/>
      <c r="H52" s="30"/>
      <c r="M52" s="138"/>
      <c r="N52" s="138"/>
      <c r="O52" s="138"/>
      <c r="P52" s="138"/>
      <c r="Q52" s="138"/>
      <c r="R52" s="138"/>
      <c r="S52" s="138"/>
      <c r="T52" s="128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138"/>
      <c r="AM52" s="138"/>
      <c r="AN52" s="128"/>
      <c r="AO52" s="92"/>
      <c r="AP52" s="138"/>
      <c r="AQ52" s="128"/>
      <c r="AR52" s="128"/>
      <c r="AS52" s="128"/>
      <c r="AT52" s="92"/>
      <c r="AU52" s="138"/>
      <c r="AV52" s="128"/>
      <c r="AW52" s="92"/>
      <c r="AX52" s="138"/>
      <c r="AY52" s="138"/>
      <c r="AZ52" s="138"/>
      <c r="BA52" s="91"/>
      <c r="BB52" s="92"/>
      <c r="BC52" s="92"/>
    </row>
    <row r="53" spans="3:55" ht="11.1" customHeight="1">
      <c r="D53" s="27"/>
      <c r="H53" s="30"/>
      <c r="M53" s="139"/>
      <c r="N53" s="139"/>
      <c r="O53" s="139"/>
      <c r="P53" s="139"/>
      <c r="Q53" s="139"/>
      <c r="R53" s="139"/>
      <c r="S53" s="139"/>
      <c r="T53" s="128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139"/>
      <c r="AM53" s="139"/>
      <c r="AN53" s="128"/>
      <c r="AO53" s="92"/>
      <c r="AP53" s="139"/>
      <c r="AQ53" s="128"/>
      <c r="AR53" s="128"/>
      <c r="AS53" s="128"/>
      <c r="AT53" s="92"/>
      <c r="AU53" s="139"/>
      <c r="AV53" s="128"/>
      <c r="AW53" s="92"/>
      <c r="AX53" s="139"/>
      <c r="AY53" s="139"/>
      <c r="AZ53" s="139"/>
      <c r="BA53" s="91"/>
      <c r="BB53" s="92"/>
      <c r="BC53" s="92"/>
    </row>
    <row r="54" spans="3:55" ht="11.1" customHeight="1">
      <c r="C54" s="41" t="s">
        <v>0</v>
      </c>
      <c r="D54" s="27"/>
      <c r="H54" s="30"/>
      <c r="M54" s="139"/>
      <c r="N54" s="139"/>
      <c r="O54" s="139"/>
      <c r="P54" s="139"/>
      <c r="Q54" s="139"/>
      <c r="R54" s="139"/>
      <c r="S54" s="139"/>
      <c r="T54" s="128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139"/>
      <c r="AM54" s="139"/>
      <c r="AN54" s="128"/>
      <c r="AO54" s="92"/>
      <c r="AP54" s="139"/>
      <c r="AQ54" s="128"/>
      <c r="AR54" s="128"/>
      <c r="AS54" s="128"/>
      <c r="AT54" s="92"/>
      <c r="AU54" s="139"/>
      <c r="AV54" s="128"/>
      <c r="AW54" s="92"/>
      <c r="AX54" s="139"/>
      <c r="AY54" s="139"/>
      <c r="AZ54" s="139"/>
      <c r="BA54" s="91"/>
      <c r="BB54" s="92"/>
      <c r="BC54" s="92"/>
    </row>
    <row r="55" spans="3:55" ht="11.1" customHeight="1">
      <c r="C55" s="42" t="str">
        <f>"Dividends paid for 12 months ended "&amp;TEXT(Date_Payout_Ratio,"m/dd/yyyy")&amp;" divided by net income before nonrecurring and extraordinary items for 12 months ended "&amp;TEXT(Date_Payout_Ratio,"m/dd/yyyy")&amp;"."</f>
        <v>Dividends paid for 12 months ended 6/30/2025 divided by net income before nonrecurring and extraordinary items for 12 months ended 6/30/2025.</v>
      </c>
      <c r="D55" s="27"/>
      <c r="H55" s="30"/>
      <c r="M55" s="138"/>
      <c r="N55" s="138"/>
      <c r="O55" s="138"/>
      <c r="P55" s="138"/>
      <c r="Q55" s="138"/>
      <c r="R55" s="138"/>
      <c r="S55" s="138"/>
      <c r="T55" s="128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138"/>
      <c r="AM55" s="138"/>
      <c r="AN55" s="128"/>
      <c r="AO55" s="92"/>
      <c r="AP55" s="138"/>
      <c r="AQ55" s="128"/>
      <c r="AR55" s="128"/>
      <c r="AS55" s="128"/>
      <c r="AT55" s="92"/>
      <c r="AU55" s="138"/>
      <c r="AV55" s="128"/>
      <c r="AW55" s="92"/>
      <c r="AX55" s="138"/>
      <c r="AY55" s="138"/>
      <c r="AZ55" s="138"/>
      <c r="BA55" s="91"/>
      <c r="BB55" s="92"/>
      <c r="BC55" s="92"/>
    </row>
    <row r="56" spans="3:55" ht="11.1" customHeight="1">
      <c r="C56" s="42" t="s">
        <v>152</v>
      </c>
      <c r="D56" s="27"/>
      <c r="H56" s="30"/>
      <c r="M56" s="139"/>
      <c r="N56" s="139"/>
      <c r="O56" s="139"/>
      <c r="P56" s="139"/>
      <c r="Q56" s="139"/>
      <c r="R56" s="139"/>
      <c r="S56" s="139"/>
      <c r="T56" s="128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139"/>
      <c r="AM56" s="139"/>
      <c r="AN56" s="128"/>
      <c r="AO56" s="92"/>
      <c r="AP56" s="139"/>
      <c r="AQ56" s="128"/>
      <c r="AR56" s="128"/>
      <c r="AS56" s="128"/>
      <c r="AT56" s="92"/>
      <c r="AU56" s="139"/>
      <c r="AV56" s="128"/>
      <c r="AW56" s="92"/>
      <c r="AX56" s="139"/>
      <c r="AY56" s="139"/>
      <c r="AZ56" s="139"/>
      <c r="BA56" s="91"/>
      <c r="BB56" s="92"/>
      <c r="BC56" s="92"/>
    </row>
    <row r="57" spans="3:55" ht="11.1" customHeight="1">
      <c r="C57" s="42" t="s">
        <v>153</v>
      </c>
      <c r="D57" s="27"/>
      <c r="H57" s="30"/>
      <c r="M57" s="139"/>
      <c r="N57" s="139"/>
      <c r="O57" s="139"/>
      <c r="P57" s="139"/>
      <c r="Q57" s="139"/>
      <c r="R57" s="139"/>
      <c r="S57" s="139"/>
      <c r="T57" s="128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139"/>
      <c r="AM57" s="139"/>
      <c r="AN57" s="128"/>
      <c r="AO57" s="92"/>
      <c r="AP57" s="139"/>
      <c r="AQ57" s="128"/>
      <c r="AR57" s="128"/>
      <c r="AS57" s="128"/>
      <c r="AT57" s="92"/>
      <c r="AU57" s="139"/>
      <c r="AV57" s="128"/>
      <c r="AW57" s="92"/>
      <c r="AX57" s="139"/>
      <c r="AY57" s="139"/>
      <c r="AZ57" s="139"/>
      <c r="BA57" s="91"/>
      <c r="BB57" s="92"/>
      <c r="BC57" s="92"/>
    </row>
    <row r="58" spans="3:55" ht="11.1" customHeight="1">
      <c r="C58" s="42" t="s">
        <v>86</v>
      </c>
      <c r="D58" s="27"/>
      <c r="H58" s="30"/>
      <c r="M58" s="139"/>
      <c r="N58" s="139"/>
      <c r="O58" s="139"/>
      <c r="P58" s="139"/>
      <c r="Q58" s="139"/>
      <c r="R58" s="139"/>
      <c r="S58" s="139"/>
      <c r="T58" s="128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139"/>
      <c r="AM58" s="139"/>
      <c r="AN58" s="128"/>
      <c r="AO58" s="92"/>
      <c r="AP58" s="139"/>
      <c r="AQ58" s="128"/>
      <c r="AR58" s="128"/>
      <c r="AS58" s="128"/>
      <c r="AT58" s="92"/>
      <c r="AU58" s="139"/>
      <c r="AV58" s="128"/>
      <c r="AW58" s="92"/>
      <c r="AX58" s="139"/>
      <c r="AY58" s="139"/>
      <c r="AZ58" s="139"/>
      <c r="BA58" s="91"/>
      <c r="BB58" s="92"/>
      <c r="BC58" s="92"/>
    </row>
    <row r="59" spans="3:55" ht="11.1" customHeight="1">
      <c r="C59" s="42"/>
      <c r="D59" s="27"/>
      <c r="H59" s="30"/>
      <c r="M59" s="138"/>
      <c r="N59" s="138"/>
      <c r="O59" s="138"/>
      <c r="P59" s="138"/>
      <c r="Q59" s="138"/>
      <c r="R59" s="138"/>
      <c r="S59" s="138"/>
      <c r="T59" s="128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138"/>
      <c r="AM59" s="138"/>
      <c r="AN59" s="128"/>
      <c r="AO59" s="92"/>
      <c r="AP59" s="138"/>
      <c r="AQ59" s="128"/>
      <c r="AR59" s="128"/>
      <c r="AS59" s="128"/>
      <c r="AT59" s="92"/>
      <c r="AU59" s="138"/>
      <c r="AV59" s="128"/>
      <c r="AW59" s="92"/>
      <c r="AX59" s="138"/>
      <c r="AY59" s="138"/>
      <c r="AZ59" s="138"/>
      <c r="BA59" s="91"/>
      <c r="BB59" s="92"/>
      <c r="BC59" s="92"/>
    </row>
    <row r="60" spans="3:55" ht="11.1" customHeight="1">
      <c r="C60" s="41" t="s">
        <v>3</v>
      </c>
      <c r="D60" s="27"/>
      <c r="H60" s="30"/>
      <c r="M60" s="139"/>
      <c r="N60" s="139"/>
      <c r="O60" s="139"/>
      <c r="P60" s="139"/>
      <c r="Q60" s="139"/>
      <c r="R60" s="139"/>
      <c r="S60" s="139"/>
      <c r="T60" s="128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139"/>
      <c r="AM60" s="139"/>
      <c r="AN60" s="128"/>
      <c r="AO60" s="92"/>
      <c r="AP60" s="139"/>
      <c r="AQ60" s="128"/>
      <c r="AR60" s="128"/>
      <c r="AS60" s="128"/>
      <c r="AT60" s="92"/>
      <c r="AU60" s="139"/>
      <c r="AV60" s="128"/>
      <c r="AW60" s="92"/>
      <c r="AX60" s="139"/>
      <c r="AY60" s="139"/>
      <c r="AZ60" s="139"/>
      <c r="BA60" s="91"/>
      <c r="BB60" s="92"/>
      <c r="BC60" s="92"/>
    </row>
    <row r="61" spans="3:55" ht="11.1" customHeight="1">
      <c r="C61" s="42" t="str">
        <f>"Annualized Dividends Per Share at "&amp;TEXT(Date_EOP_Current,"m/dd/yyyy")&amp;" divided by stock price at market close on "&amp;TEXT(Date_EOP_Current,"m/dd/yyyy")&amp;"."</f>
        <v>Annualized Dividends Per Share at 9/30/2025 divided by stock price at market close on 9/30/2025.</v>
      </c>
      <c r="D61" s="27"/>
      <c r="H61" s="30"/>
      <c r="M61" s="91"/>
      <c r="N61" s="91"/>
      <c r="O61" s="91"/>
      <c r="P61" s="91"/>
      <c r="Q61" s="91"/>
      <c r="R61" s="91"/>
      <c r="S61" s="91"/>
      <c r="T61" s="128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1"/>
      <c r="AM61" s="91"/>
      <c r="AN61" s="128"/>
      <c r="AO61" s="92"/>
      <c r="AP61" s="91"/>
      <c r="AQ61" s="128"/>
      <c r="AR61" s="128"/>
      <c r="AS61" s="128"/>
      <c r="AT61" s="92"/>
      <c r="AU61" s="91"/>
      <c r="AV61" s="128"/>
      <c r="AW61" s="92"/>
      <c r="AX61" s="91"/>
      <c r="AY61" s="91"/>
      <c r="AZ61" s="91"/>
      <c r="BA61" s="91"/>
      <c r="BB61" s="92"/>
      <c r="BC61" s="92"/>
    </row>
    <row r="62" spans="3:55" ht="11.1" customHeight="1">
      <c r="M62" s="91"/>
      <c r="N62" s="91"/>
      <c r="O62" s="91"/>
      <c r="P62" s="91"/>
      <c r="Q62" s="91"/>
      <c r="R62" s="91"/>
      <c r="S62" s="91"/>
      <c r="T62" s="128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1"/>
      <c r="AM62" s="91"/>
      <c r="AN62" s="128"/>
      <c r="AO62" s="92"/>
      <c r="AP62" s="91"/>
      <c r="AQ62" s="128"/>
      <c r="AR62" s="128"/>
      <c r="AS62" s="128"/>
      <c r="AT62" s="92"/>
      <c r="AU62" s="91"/>
      <c r="AV62" s="128"/>
      <c r="AW62" s="92"/>
      <c r="AX62" s="91"/>
      <c r="AY62" s="91"/>
      <c r="AZ62" s="91"/>
      <c r="BA62" s="91"/>
      <c r="BB62" s="92"/>
      <c r="BC62" s="92"/>
    </row>
    <row r="63" spans="3:55" ht="11.1" customHeight="1">
      <c r="C63" s="41" t="s">
        <v>140</v>
      </c>
      <c r="M63" s="91"/>
      <c r="N63" s="91"/>
      <c r="O63" s="91"/>
      <c r="P63" s="91"/>
      <c r="Q63" s="91"/>
      <c r="R63" s="91"/>
      <c r="S63" s="91"/>
      <c r="T63" s="128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1"/>
      <c r="AM63" s="91"/>
      <c r="AN63" s="128"/>
      <c r="AO63" s="92"/>
      <c r="AP63" s="91"/>
      <c r="AQ63" s="128"/>
      <c r="AR63" s="128"/>
      <c r="AS63" s="128"/>
      <c r="AT63" s="92"/>
      <c r="AU63" s="91"/>
      <c r="AV63" s="128"/>
      <c r="AW63" s="92"/>
      <c r="AX63" s="91"/>
      <c r="AY63" s="91"/>
      <c r="AZ63" s="91"/>
      <c r="BA63" s="91"/>
      <c r="BB63" s="92"/>
      <c r="BC63" s="92"/>
    </row>
    <row r="64" spans="3:55" ht="11.1" customHeight="1">
      <c r="M64" s="91"/>
      <c r="N64" s="91"/>
      <c r="O64" s="91"/>
      <c r="P64" s="91"/>
      <c r="Q64" s="91"/>
      <c r="R64" s="91"/>
      <c r="S64" s="91"/>
      <c r="T64" s="128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1"/>
      <c r="AM64" s="91"/>
      <c r="AN64" s="128"/>
      <c r="AO64" s="92"/>
      <c r="AP64" s="91"/>
      <c r="AQ64" s="128"/>
      <c r="AR64" s="128"/>
      <c r="AS64" s="128"/>
      <c r="AT64" s="92"/>
      <c r="AU64" s="91"/>
      <c r="AV64" s="128"/>
      <c r="AW64" s="92"/>
      <c r="AX64" s="91"/>
      <c r="AY64" s="91"/>
      <c r="AZ64" s="91"/>
      <c r="BA64" s="91"/>
      <c r="BB64" s="92"/>
      <c r="BC64" s="92"/>
    </row>
    <row r="65" spans="3:55" ht="11.1" customHeight="1">
      <c r="D65" s="60" t="s">
        <v>138</v>
      </c>
      <c r="E65" s="59" t="s">
        <v>132</v>
      </c>
      <c r="M65" s="140"/>
      <c r="N65" s="140"/>
      <c r="O65" s="140"/>
      <c r="P65" s="140"/>
      <c r="Q65" s="140"/>
      <c r="R65" s="140"/>
      <c r="S65" s="140"/>
      <c r="T65" s="128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1"/>
      <c r="AM65" s="91"/>
      <c r="AN65" s="128"/>
      <c r="AO65" s="92"/>
      <c r="AP65" s="91"/>
      <c r="AQ65" s="128"/>
      <c r="AR65" s="128"/>
      <c r="AS65" s="128"/>
      <c r="AT65" s="92"/>
      <c r="AU65" s="91"/>
      <c r="AV65" s="128"/>
      <c r="AW65" s="92"/>
      <c r="AX65" s="91"/>
      <c r="AY65" s="91"/>
      <c r="AZ65" s="91"/>
      <c r="BA65" s="91"/>
      <c r="BB65" s="92"/>
      <c r="BC65" s="92"/>
    </row>
    <row r="66" spans="3:55" ht="11.1" customHeight="1">
      <c r="D66" s="61" t="s">
        <v>53</v>
      </c>
      <c r="E66" s="62">
        <f>COUNTIF($T$7:$T$44,"Raised")</f>
        <v>4</v>
      </c>
      <c r="G66" s="26"/>
      <c r="M66" s="140"/>
      <c r="N66" s="140"/>
      <c r="O66" s="140"/>
      <c r="P66" s="140"/>
      <c r="Q66" s="140"/>
      <c r="R66" s="140"/>
      <c r="S66" s="140"/>
      <c r="T66" s="128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1"/>
      <c r="AM66" s="91"/>
      <c r="AN66" s="128"/>
      <c r="AO66" s="92"/>
      <c r="AP66" s="91"/>
      <c r="AQ66" s="128"/>
      <c r="AR66" s="128"/>
      <c r="AS66" s="128"/>
      <c r="AT66" s="92"/>
      <c r="AU66" s="91"/>
      <c r="AV66" s="128"/>
      <c r="AW66" s="92"/>
      <c r="AX66" s="91"/>
      <c r="AY66" s="91"/>
      <c r="AZ66" s="91"/>
      <c r="BA66" s="91"/>
      <c r="BB66" s="92"/>
      <c r="BC66" s="92"/>
    </row>
    <row r="67" spans="3:55" ht="11.1" customHeight="1">
      <c r="D67" s="63" t="s">
        <v>218</v>
      </c>
      <c r="E67" s="64">
        <f>COUNTIF($T$7:$T$44,"No Change")</f>
        <v>33</v>
      </c>
      <c r="G67" s="26"/>
      <c r="M67" s="140"/>
      <c r="N67" s="140"/>
      <c r="O67" s="140"/>
      <c r="P67" s="140"/>
      <c r="Q67" s="140"/>
      <c r="R67" s="140"/>
      <c r="S67" s="140"/>
      <c r="T67" s="128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1"/>
      <c r="AM67" s="91"/>
      <c r="AN67" s="128"/>
      <c r="AO67" s="92"/>
      <c r="AP67" s="91"/>
      <c r="AQ67" s="128"/>
      <c r="AR67" s="128"/>
      <c r="AS67" s="128"/>
      <c r="AT67" s="92"/>
      <c r="AU67" s="91"/>
      <c r="AV67" s="128"/>
      <c r="AW67" s="92"/>
      <c r="AX67" s="91"/>
      <c r="AY67" s="91"/>
      <c r="AZ67" s="91"/>
      <c r="BA67" s="91"/>
      <c r="BB67" s="92"/>
      <c r="BC67" s="92"/>
    </row>
    <row r="68" spans="3:55" ht="11.1" customHeight="1">
      <c r="D68" s="63" t="s">
        <v>54</v>
      </c>
      <c r="E68" s="64">
        <f>COUNTIF($T$7:$T$44,"Lowered")</f>
        <v>0</v>
      </c>
      <c r="G68" s="26"/>
      <c r="M68" s="140"/>
      <c r="N68" s="140"/>
      <c r="O68" s="140"/>
      <c r="P68" s="140"/>
      <c r="Q68" s="140"/>
      <c r="R68" s="140"/>
      <c r="S68" s="140"/>
      <c r="T68" s="128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1"/>
      <c r="AM68" s="91"/>
      <c r="AN68" s="128"/>
      <c r="AO68" s="92"/>
      <c r="AP68" s="91"/>
      <c r="AQ68" s="128"/>
      <c r="AR68" s="128"/>
      <c r="AS68" s="128"/>
      <c r="AT68" s="92"/>
      <c r="AU68" s="91"/>
      <c r="AV68" s="128"/>
      <c r="AW68" s="92"/>
      <c r="AX68" s="91"/>
      <c r="AY68" s="91"/>
      <c r="AZ68" s="91"/>
      <c r="BA68" s="91"/>
      <c r="BB68" s="92"/>
      <c r="BC68" s="92"/>
    </row>
    <row r="69" spans="3:55" ht="11.1" customHeight="1">
      <c r="D69" s="63" t="s">
        <v>10</v>
      </c>
      <c r="E69" s="64">
        <f>COUNTIF($T$7:$T$44,"Omitted")</f>
        <v>0</v>
      </c>
      <c r="G69" s="26"/>
      <c r="M69" s="140"/>
      <c r="N69" s="140"/>
      <c r="O69" s="140"/>
      <c r="P69" s="140"/>
      <c r="Q69" s="140"/>
      <c r="R69" s="140"/>
      <c r="S69" s="140"/>
      <c r="T69" s="128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1"/>
      <c r="AM69" s="91"/>
      <c r="AN69" s="128"/>
      <c r="AO69" s="92"/>
      <c r="AP69" s="91"/>
      <c r="AQ69" s="128"/>
      <c r="AR69" s="128"/>
      <c r="AS69" s="128"/>
      <c r="AT69" s="92"/>
      <c r="AU69" s="91"/>
      <c r="AV69" s="128"/>
      <c r="AW69" s="92"/>
      <c r="AX69" s="91"/>
      <c r="AY69" s="91"/>
      <c r="AZ69" s="91"/>
      <c r="BA69" s="91"/>
      <c r="BB69" s="92"/>
      <c r="BC69" s="92"/>
    </row>
    <row r="70" spans="3:55" ht="11.1" customHeight="1">
      <c r="D70" s="63" t="s">
        <v>137</v>
      </c>
      <c r="E70" s="64">
        <f>COUNTIF($T$7:$T$44,"Re-insta")</f>
        <v>0</v>
      </c>
      <c r="G70" s="26"/>
      <c r="M70" s="140"/>
      <c r="N70" s="140"/>
      <c r="O70" s="140"/>
      <c r="P70" s="140"/>
      <c r="Q70" s="140"/>
      <c r="R70" s="140"/>
      <c r="S70" s="140"/>
      <c r="T70" s="128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1"/>
      <c r="AM70" s="91"/>
      <c r="AN70" s="128"/>
      <c r="AO70" s="92"/>
      <c r="AP70" s="91"/>
      <c r="AQ70" s="128"/>
      <c r="AR70" s="128"/>
      <c r="AS70" s="128"/>
      <c r="AT70" s="92"/>
      <c r="AU70" s="91"/>
      <c r="AV70" s="128"/>
      <c r="AW70" s="92"/>
      <c r="AX70" s="91"/>
      <c r="AY70" s="91"/>
      <c r="AZ70" s="91"/>
      <c r="BA70" s="91"/>
      <c r="BB70" s="92"/>
      <c r="BC70" s="92"/>
    </row>
    <row r="71" spans="3:55" ht="11.1" customHeight="1">
      <c r="D71" s="65" t="s">
        <v>219</v>
      </c>
      <c r="E71" s="66">
        <f>COUNTIF($T$7:$T$44,"Not Paying")</f>
        <v>1</v>
      </c>
      <c r="G71" s="26"/>
      <c r="M71" s="140"/>
      <c r="N71" s="140"/>
      <c r="O71" s="140"/>
      <c r="P71" s="140"/>
      <c r="Q71" s="140"/>
      <c r="R71" s="140"/>
      <c r="S71" s="140"/>
      <c r="T71" s="128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1"/>
      <c r="AM71" s="91"/>
      <c r="AN71" s="128"/>
      <c r="AO71" s="92"/>
      <c r="AP71" s="91"/>
      <c r="AQ71" s="128"/>
      <c r="AR71" s="128"/>
      <c r="AS71" s="128"/>
      <c r="AT71" s="92"/>
      <c r="AU71" s="91"/>
      <c r="AV71" s="128"/>
      <c r="AW71" s="92"/>
      <c r="AX71" s="91"/>
      <c r="AY71" s="91"/>
      <c r="AZ71" s="91"/>
      <c r="BA71" s="91"/>
      <c r="BB71" s="92"/>
      <c r="BC71" s="92"/>
    </row>
    <row r="72" spans="3:55" ht="11.1" customHeight="1">
      <c r="D72" s="67" t="s">
        <v>55</v>
      </c>
      <c r="E72" s="66">
        <f>SUM(E66:E71)</f>
        <v>38</v>
      </c>
      <c r="G72" s="26"/>
      <c r="M72" s="91"/>
      <c r="N72" s="91"/>
      <c r="O72" s="91"/>
      <c r="P72" s="91"/>
      <c r="Q72" s="91"/>
      <c r="R72" s="91"/>
      <c r="S72" s="91"/>
      <c r="T72" s="128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1"/>
      <c r="AM72" s="91"/>
      <c r="AN72" s="128"/>
      <c r="AO72" s="92"/>
      <c r="AP72" s="91"/>
      <c r="AQ72" s="128"/>
      <c r="AR72" s="128"/>
      <c r="AS72" s="128"/>
      <c r="AT72" s="92"/>
      <c r="AU72" s="91"/>
      <c r="AV72" s="128"/>
      <c r="AW72" s="92"/>
      <c r="AX72" s="91"/>
      <c r="AY72" s="91"/>
      <c r="AZ72" s="91"/>
      <c r="BA72" s="91"/>
      <c r="BB72" s="92"/>
      <c r="BC72" s="92"/>
    </row>
    <row r="73" spans="3:55" ht="11.1" customHeight="1">
      <c r="M73" s="91"/>
      <c r="N73" s="91"/>
      <c r="O73" s="91"/>
      <c r="P73" s="91"/>
      <c r="Q73" s="91"/>
      <c r="R73" s="91"/>
      <c r="S73" s="91"/>
      <c r="T73" s="128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1"/>
      <c r="AM73" s="91"/>
      <c r="AN73" s="128"/>
      <c r="AO73" s="92"/>
      <c r="AP73" s="91"/>
      <c r="AQ73" s="128"/>
      <c r="AR73" s="128"/>
      <c r="AS73" s="128"/>
      <c r="AT73" s="92"/>
      <c r="AU73" s="91"/>
      <c r="AV73" s="128"/>
      <c r="AW73" s="92"/>
      <c r="AX73" s="91"/>
      <c r="AY73" s="91"/>
      <c r="AZ73" s="91"/>
      <c r="BA73" s="91"/>
      <c r="BB73" s="92"/>
      <c r="BC73" s="92"/>
    </row>
    <row r="74" spans="3:55" ht="11.1" customHeight="1">
      <c r="C74" s="41" t="s">
        <v>141</v>
      </c>
      <c r="M74" s="91"/>
      <c r="N74" s="91"/>
      <c r="O74" s="91"/>
      <c r="P74" s="91"/>
      <c r="Q74" s="91"/>
      <c r="R74" s="91"/>
      <c r="S74" s="91"/>
      <c r="T74" s="128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1"/>
      <c r="AM74" s="91"/>
      <c r="AN74" s="128"/>
      <c r="AO74" s="92"/>
      <c r="AP74" s="91"/>
      <c r="AQ74" s="128"/>
      <c r="AR74" s="128"/>
      <c r="AS74" s="128"/>
      <c r="AT74" s="92"/>
      <c r="AU74" s="91"/>
      <c r="AV74" s="128"/>
      <c r="AW74" s="92"/>
      <c r="AX74" s="91"/>
      <c r="AY74" s="91"/>
      <c r="AZ74" s="91"/>
      <c r="BA74" s="91"/>
      <c r="BB74" s="92"/>
      <c r="BC74" s="92"/>
    </row>
    <row r="75" spans="3:55" ht="11.1" customHeight="1">
      <c r="M75" s="91"/>
      <c r="N75" s="91"/>
      <c r="O75" s="91"/>
      <c r="P75" s="91"/>
      <c r="Q75" s="91"/>
      <c r="R75" s="91"/>
      <c r="S75" s="91"/>
      <c r="T75" s="128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1"/>
      <c r="AM75" s="91"/>
      <c r="AN75" s="128"/>
      <c r="AO75" s="92"/>
      <c r="AP75" s="91"/>
      <c r="AQ75" s="128"/>
      <c r="AR75" s="128"/>
      <c r="AS75" s="128"/>
      <c r="AT75" s="92"/>
      <c r="AU75" s="91"/>
      <c r="AV75" s="128"/>
      <c r="AW75" s="92"/>
      <c r="AX75" s="91"/>
      <c r="AY75" s="91"/>
      <c r="AZ75" s="91"/>
      <c r="BA75" s="91"/>
      <c r="BB75" s="92"/>
      <c r="BC75" s="92"/>
    </row>
    <row r="76" spans="3:55" ht="11.1" customHeight="1">
      <c r="D76" s="60" t="s">
        <v>142</v>
      </c>
      <c r="E76" s="59"/>
      <c r="M76" s="91"/>
      <c r="N76" s="91"/>
      <c r="O76" s="91"/>
      <c r="P76" s="91"/>
      <c r="Q76" s="91"/>
      <c r="R76" s="91"/>
      <c r="S76" s="91"/>
      <c r="T76" s="128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1"/>
      <c r="AM76" s="91"/>
      <c r="AN76" s="128"/>
      <c r="AO76" s="92"/>
      <c r="AP76" s="91"/>
      <c r="AQ76" s="128"/>
      <c r="AR76" s="92"/>
      <c r="AS76" s="91"/>
      <c r="AT76" s="128"/>
      <c r="AU76" s="92"/>
      <c r="AV76" s="91"/>
      <c r="AW76" s="91"/>
      <c r="AX76" s="91"/>
      <c r="AY76" s="91"/>
      <c r="AZ76" s="92"/>
      <c r="BA76" s="91"/>
      <c r="BB76" s="91"/>
    </row>
    <row r="77" spans="3:55" ht="11.1" customHeight="1">
      <c r="D77" s="61" t="s">
        <v>143</v>
      </c>
      <c r="E77" s="62">
        <f>-AR46</f>
        <v>34525329</v>
      </c>
      <c r="M77" s="91"/>
      <c r="N77" s="91"/>
      <c r="O77" s="91"/>
      <c r="P77" s="91"/>
      <c r="Q77" s="91"/>
      <c r="R77" s="91"/>
      <c r="S77" s="91"/>
      <c r="T77" s="128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1"/>
      <c r="AM77" s="91"/>
      <c r="AN77" s="128"/>
      <c r="AO77" s="92"/>
      <c r="AP77" s="91"/>
      <c r="AQ77" s="128"/>
      <c r="AR77" s="128"/>
      <c r="AS77" s="128"/>
      <c r="AT77" s="92"/>
      <c r="AU77" s="91"/>
      <c r="AV77" s="128"/>
      <c r="AW77" s="92"/>
      <c r="AX77" s="91"/>
      <c r="AY77" s="91"/>
      <c r="AZ77" s="91"/>
      <c r="BA77" s="91"/>
      <c r="BB77" s="92"/>
      <c r="BC77" s="92"/>
    </row>
    <row r="78" spans="3:55" ht="11.1" customHeight="1">
      <c r="D78" s="63" t="s">
        <v>144</v>
      </c>
      <c r="E78" s="64">
        <f>AS46</f>
        <v>54860254</v>
      </c>
      <c r="M78" s="91"/>
      <c r="N78" s="91"/>
      <c r="O78" s="91"/>
      <c r="P78" s="91"/>
      <c r="Q78" s="91"/>
      <c r="R78" s="91"/>
      <c r="S78" s="91"/>
      <c r="T78" s="128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1"/>
      <c r="AM78" s="91"/>
      <c r="AN78" s="128"/>
      <c r="AO78" s="92"/>
      <c r="AP78" s="91"/>
      <c r="AQ78" s="128"/>
      <c r="AR78" s="128"/>
      <c r="AS78" s="128"/>
      <c r="AT78" s="92"/>
      <c r="AU78" s="91"/>
      <c r="AV78" s="128"/>
      <c r="AW78" s="92"/>
      <c r="AX78" s="91"/>
      <c r="AY78" s="91"/>
      <c r="AZ78" s="91"/>
      <c r="BA78" s="91"/>
      <c r="BB78" s="92"/>
      <c r="BC78" s="92"/>
    </row>
    <row r="79" spans="3:55" ht="11.1" customHeight="1">
      <c r="D79" s="65" t="s">
        <v>59</v>
      </c>
      <c r="E79" s="68">
        <f>E77/E78</f>
        <v>0.62933228489973814</v>
      </c>
      <c r="M79" s="91"/>
      <c r="N79" s="91"/>
      <c r="O79" s="91"/>
      <c r="P79" s="91"/>
      <c r="Q79" s="91"/>
      <c r="R79" s="91"/>
      <c r="S79" s="91"/>
      <c r="T79" s="128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1"/>
      <c r="AM79" s="91"/>
      <c r="AN79" s="128"/>
      <c r="AO79" s="92"/>
      <c r="AP79" s="91"/>
      <c r="AQ79" s="128"/>
      <c r="AR79" s="128"/>
      <c r="AS79" s="128"/>
      <c r="AT79" s="92"/>
      <c r="AU79" s="91"/>
      <c r="AV79" s="128"/>
      <c r="AW79" s="92"/>
      <c r="AX79" s="91"/>
      <c r="AY79" s="91"/>
      <c r="AZ79" s="91"/>
      <c r="BA79" s="91"/>
      <c r="BB79" s="92"/>
      <c r="BC79" s="92"/>
    </row>
    <row r="80" spans="3:55" ht="11.1" customHeight="1">
      <c r="M80" s="91"/>
      <c r="N80" s="91"/>
      <c r="O80" s="91"/>
      <c r="P80" s="91"/>
      <c r="Q80" s="91"/>
      <c r="R80" s="91"/>
      <c r="S80" s="91"/>
      <c r="T80" s="128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1"/>
      <c r="AM80" s="91"/>
      <c r="AN80" s="128"/>
      <c r="AO80" s="92"/>
      <c r="AP80" s="91"/>
      <c r="AQ80" s="128"/>
      <c r="AR80" s="128"/>
      <c r="AS80" s="128"/>
      <c r="AT80" s="92"/>
      <c r="AU80" s="91"/>
      <c r="AV80" s="128"/>
      <c r="AW80" s="92"/>
      <c r="AX80" s="91"/>
      <c r="AY80" s="91"/>
      <c r="AZ80" s="91"/>
      <c r="BA80" s="91"/>
      <c r="BB80" s="92"/>
      <c r="BC80" s="92"/>
    </row>
    <row r="81" spans="3:55" ht="11.1" customHeight="1">
      <c r="C81" s="41" t="s">
        <v>146</v>
      </c>
      <c r="M81" s="91"/>
      <c r="N81" s="91"/>
      <c r="O81" s="91"/>
      <c r="P81" s="91"/>
      <c r="Q81" s="91"/>
      <c r="R81" s="91"/>
      <c r="S81" s="91"/>
      <c r="T81" s="128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1"/>
      <c r="AM81" s="91"/>
      <c r="AN81" s="128"/>
      <c r="AO81" s="92"/>
      <c r="AP81" s="91"/>
      <c r="AQ81" s="128"/>
      <c r="AR81" s="128"/>
      <c r="AS81" s="128"/>
      <c r="AT81" s="92"/>
      <c r="AU81" s="91"/>
      <c r="AV81" s="128"/>
      <c r="AW81" s="92"/>
      <c r="AX81" s="91"/>
      <c r="AY81" s="91"/>
      <c r="AZ81" s="91"/>
      <c r="BA81" s="91"/>
      <c r="BB81" s="92"/>
      <c r="BC81" s="92"/>
    </row>
    <row r="82" spans="3:55" ht="11.1" customHeight="1">
      <c r="C82" s="42" t="s">
        <v>175</v>
      </c>
      <c r="M82" s="91"/>
      <c r="N82" s="91"/>
      <c r="O82" s="91"/>
      <c r="P82" s="91"/>
      <c r="Q82" s="91"/>
      <c r="R82" s="91"/>
      <c r="S82" s="91"/>
      <c r="T82" s="128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1"/>
      <c r="AM82" s="91"/>
      <c r="AN82" s="128"/>
      <c r="AO82" s="92"/>
      <c r="AP82" s="91"/>
      <c r="AQ82" s="128"/>
      <c r="AR82" s="128"/>
      <c r="AS82" s="128"/>
      <c r="AT82" s="92"/>
      <c r="AU82" s="91"/>
      <c r="AV82" s="128"/>
      <c r="AW82" s="92"/>
      <c r="AX82" s="91"/>
      <c r="AY82" s="91"/>
      <c r="AZ82" s="91"/>
      <c r="BA82" s="91"/>
      <c r="BB82" s="92"/>
      <c r="BC82" s="92"/>
    </row>
    <row r="83" spans="3:55" ht="11.1" customHeight="1">
      <c r="C83" s="42" t="s">
        <v>174</v>
      </c>
      <c r="M83" s="91"/>
      <c r="N83" s="91"/>
      <c r="O83" s="91"/>
      <c r="P83" s="91"/>
      <c r="Q83" s="91"/>
      <c r="R83" s="91"/>
      <c r="S83" s="91"/>
      <c r="T83" s="128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1"/>
      <c r="AM83" s="91"/>
      <c r="AN83" s="128"/>
      <c r="AO83" s="92"/>
      <c r="AP83" s="91"/>
      <c r="AQ83" s="128"/>
      <c r="AR83" s="128"/>
      <c r="AS83" s="128"/>
      <c r="AT83" s="92"/>
      <c r="AU83" s="91"/>
      <c r="AV83" s="128"/>
      <c r="AW83" s="92"/>
      <c r="AX83" s="91"/>
      <c r="AY83" s="91"/>
      <c r="AZ83" s="91"/>
      <c r="BA83" s="91"/>
      <c r="BB83" s="92"/>
    </row>
    <row r="84" spans="3:55" ht="11.1" customHeight="1">
      <c r="M84" s="91"/>
      <c r="N84" s="91"/>
      <c r="O84" s="91"/>
      <c r="P84" s="91"/>
      <c r="Q84" s="91"/>
      <c r="R84" s="91"/>
      <c r="S84" s="91"/>
      <c r="T84" s="128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1"/>
      <c r="AM84" s="91"/>
      <c r="AN84" s="128"/>
      <c r="AO84" s="92"/>
      <c r="AP84" s="91"/>
      <c r="AQ84" s="128"/>
      <c r="AR84" s="128"/>
      <c r="AS84" s="128"/>
      <c r="AT84" s="92"/>
      <c r="AU84" s="91"/>
      <c r="AV84" s="128"/>
      <c r="AW84" s="92"/>
      <c r="AX84" s="91"/>
      <c r="AY84" s="91"/>
      <c r="AZ84" s="91"/>
      <c r="BA84" s="91"/>
      <c r="BB84" s="92"/>
    </row>
    <row r="85" spans="3:55" ht="11.1" customHeight="1">
      <c r="D85" s="60" t="s">
        <v>147</v>
      </c>
      <c r="E85" s="59" t="s">
        <v>53</v>
      </c>
      <c r="F85" s="59" t="s">
        <v>54</v>
      </c>
      <c r="M85" s="91"/>
      <c r="N85" s="91"/>
      <c r="O85" s="91"/>
      <c r="P85" s="91"/>
      <c r="Q85" s="91"/>
      <c r="R85" s="91"/>
      <c r="S85" s="91"/>
      <c r="T85" s="128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1"/>
      <c r="AM85" s="91"/>
      <c r="AN85" s="128"/>
      <c r="AO85" s="92"/>
      <c r="AP85" s="91"/>
      <c r="AQ85" s="128"/>
      <c r="AR85" s="128"/>
      <c r="AS85" s="128"/>
      <c r="AT85" s="92"/>
      <c r="AU85" s="91"/>
      <c r="AV85" s="128"/>
      <c r="AW85" s="92"/>
      <c r="AX85" s="91"/>
      <c r="AY85" s="91"/>
      <c r="AZ85" s="91"/>
      <c r="BA85" s="91"/>
      <c r="BB85" s="92"/>
      <c r="BC85" s="92"/>
    </row>
    <row r="86" spans="3:55" ht="11.1" customHeight="1">
      <c r="D86" s="63" t="str">
        <f>Quarter_CY_Q1</f>
        <v>2025 Q1</v>
      </c>
      <c r="E86" s="70">
        <f>'Dividend Patterns'!L$34</f>
        <v>5.33E-2</v>
      </c>
      <c r="F86" s="70" t="str">
        <f>'Dividend Patterns'!M$34</f>
        <v>-</v>
      </c>
      <c r="M86" s="91"/>
      <c r="N86" s="91"/>
      <c r="O86" s="91"/>
      <c r="P86" s="91"/>
      <c r="Q86" s="91"/>
      <c r="R86" s="91"/>
      <c r="S86" s="91"/>
      <c r="T86" s="128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1"/>
      <c r="AM86" s="91"/>
      <c r="AN86" s="128"/>
      <c r="AO86" s="92"/>
      <c r="AP86" s="91"/>
      <c r="AQ86" s="128"/>
      <c r="AR86" s="128"/>
      <c r="AS86" s="128"/>
      <c r="AT86" s="92"/>
      <c r="AU86" s="91"/>
      <c r="AV86" s="128"/>
      <c r="AW86" s="92"/>
      <c r="AX86" s="91"/>
      <c r="AY86" s="91"/>
      <c r="AZ86" s="91"/>
      <c r="BA86" s="91"/>
      <c r="BB86" s="92"/>
      <c r="BC86" s="92"/>
    </row>
    <row r="87" spans="3:55" ht="11.1" customHeight="1">
      <c r="D87" s="63" t="str">
        <f>Quarter_CY_Q2</f>
        <v>2025 Q2</v>
      </c>
      <c r="E87" s="70">
        <f>'Dividend Patterns'!L$35</f>
        <v>3.8899999999999997E-2</v>
      </c>
      <c r="F87" s="70" t="str">
        <f>'Dividend Patterns'!M$35</f>
        <v>-</v>
      </c>
      <c r="M87" s="89"/>
      <c r="N87" s="89"/>
      <c r="O87" s="89"/>
      <c r="P87" s="89"/>
      <c r="Q87" s="89"/>
      <c r="R87" s="89"/>
      <c r="S87" s="89"/>
      <c r="T87" s="141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89"/>
      <c r="AM87" s="89"/>
      <c r="AN87" s="141"/>
      <c r="AO87" s="90"/>
      <c r="AP87" s="89"/>
      <c r="AQ87" s="141"/>
      <c r="AR87" s="141"/>
      <c r="AS87" s="141"/>
      <c r="AT87" s="90"/>
      <c r="AU87" s="89"/>
      <c r="AV87" s="141"/>
      <c r="AW87" s="90"/>
      <c r="AX87" s="89"/>
      <c r="AY87" s="89"/>
      <c r="AZ87" s="89"/>
      <c r="BA87" s="89"/>
      <c r="BB87" s="90"/>
      <c r="BC87" s="90"/>
    </row>
    <row r="88" spans="3:55" ht="11.1" customHeight="1">
      <c r="D88" s="63" t="str">
        <f>Quarter_CY_Q3</f>
        <v>2025 Q3</v>
      </c>
      <c r="E88" s="70">
        <f>'Dividend Patterns'!L$36</f>
        <v>4.0129866402707326E-2</v>
      </c>
      <c r="F88" s="70" t="str">
        <f>'Dividend Patterns'!M$36</f>
        <v>-</v>
      </c>
      <c r="M88" s="91"/>
      <c r="N88" s="91"/>
      <c r="O88" s="91"/>
      <c r="P88" s="91"/>
      <c r="Q88" s="91"/>
      <c r="R88" s="91"/>
      <c r="S88" s="91"/>
      <c r="T88" s="128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1"/>
      <c r="AM88" s="91"/>
      <c r="AN88" s="128"/>
      <c r="AO88" s="92"/>
      <c r="AP88" s="91"/>
      <c r="AQ88" s="128"/>
      <c r="AR88" s="128"/>
      <c r="AS88" s="128"/>
      <c r="AT88" s="92"/>
      <c r="AU88" s="91"/>
      <c r="AV88" s="128"/>
      <c r="AW88" s="92"/>
      <c r="AX88" s="91"/>
      <c r="AY88" s="91"/>
      <c r="AZ88" s="91"/>
      <c r="BA88" s="91"/>
      <c r="BB88" s="92"/>
      <c r="BC88" s="92"/>
    </row>
    <row r="89" spans="3:55" ht="11.1" customHeight="1">
      <c r="D89" s="65" t="str">
        <f>Quarter_CY_Q4</f>
        <v>2025 Q4</v>
      </c>
      <c r="E89" s="71" t="str">
        <f>'Dividend Patterns'!L$37</f>
        <v>-</v>
      </c>
      <c r="F89" s="71" t="str">
        <f>'Dividend Patterns'!M$37</f>
        <v>-</v>
      </c>
      <c r="M89" s="89"/>
      <c r="N89" s="89"/>
      <c r="O89" s="89"/>
      <c r="P89" s="89"/>
      <c r="Q89" s="89"/>
      <c r="R89" s="89"/>
      <c r="S89" s="89"/>
      <c r="T89" s="141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89"/>
      <c r="AM89" s="89"/>
      <c r="AN89" s="141"/>
      <c r="AO89" s="90"/>
      <c r="AP89" s="89"/>
      <c r="AQ89" s="141"/>
      <c r="AR89" s="141"/>
      <c r="AS89" s="141"/>
      <c r="AT89" s="90"/>
      <c r="AU89" s="89"/>
      <c r="AV89" s="141"/>
      <c r="AW89" s="90"/>
      <c r="AX89" s="89"/>
      <c r="AY89" s="89"/>
      <c r="AZ89" s="89"/>
      <c r="BA89" s="89"/>
      <c r="BB89" s="90"/>
      <c r="BC89" s="92"/>
    </row>
    <row r="90" spans="3:55" ht="11.1" customHeight="1">
      <c r="C90" s="40"/>
      <c r="D90" s="40" t="s">
        <v>148</v>
      </c>
      <c r="E90" s="72">
        <f>'Dividend Patterns'!L$38</f>
        <v>5.0166133292724208E-2</v>
      </c>
      <c r="F90" s="72" t="str">
        <f>'Dividend Patterns'!M$38</f>
        <v>-</v>
      </c>
      <c r="G90" s="73"/>
      <c r="H90" s="40"/>
      <c r="I90" s="40"/>
      <c r="J90" s="40"/>
      <c r="K90" s="40"/>
      <c r="L90" s="28"/>
      <c r="M90" s="91"/>
      <c r="N90" s="91"/>
      <c r="O90" s="91"/>
      <c r="P90" s="91"/>
      <c r="Q90" s="91"/>
      <c r="R90" s="91"/>
      <c r="S90" s="91"/>
      <c r="T90" s="128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1"/>
      <c r="AM90" s="91"/>
      <c r="AN90" s="128"/>
      <c r="AO90" s="92"/>
      <c r="AP90" s="91"/>
      <c r="AQ90" s="128"/>
      <c r="AR90" s="128"/>
      <c r="AS90" s="128"/>
      <c r="AT90" s="92"/>
      <c r="AU90" s="91"/>
      <c r="AV90" s="128"/>
      <c r="AW90" s="92"/>
      <c r="AX90" s="91"/>
      <c r="AY90" s="91"/>
      <c r="AZ90" s="91"/>
      <c r="BA90" s="91"/>
      <c r="BB90" s="92"/>
      <c r="BC90" s="90"/>
    </row>
    <row r="91" spans="3:55" ht="11.1" customHeight="1">
      <c r="M91" s="91"/>
      <c r="N91" s="91"/>
      <c r="O91" s="91"/>
      <c r="P91" s="91"/>
      <c r="Q91" s="91"/>
      <c r="R91" s="91"/>
      <c r="S91" s="91"/>
      <c r="T91" s="128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1"/>
      <c r="AM91" s="91"/>
      <c r="AN91" s="128"/>
      <c r="AO91" s="92"/>
      <c r="AP91" s="91"/>
      <c r="AQ91" s="128"/>
      <c r="AR91" s="128"/>
      <c r="AS91" s="128"/>
      <c r="AT91" s="92"/>
      <c r="AU91" s="91"/>
      <c r="AV91" s="128"/>
      <c r="AW91" s="92"/>
      <c r="AX91" s="91"/>
      <c r="AY91" s="91"/>
      <c r="AZ91" s="91"/>
      <c r="BA91" s="91"/>
      <c r="BB91" s="92"/>
      <c r="BC91" s="92"/>
    </row>
    <row r="92" spans="3:55" ht="11.1" customHeight="1">
      <c r="C92" s="42" t="s">
        <v>256</v>
      </c>
      <c r="M92" s="91"/>
      <c r="N92" s="91"/>
      <c r="O92" s="91"/>
      <c r="P92" s="91"/>
      <c r="Q92" s="91"/>
      <c r="R92" s="91"/>
      <c r="S92" s="91"/>
      <c r="T92" s="128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1"/>
      <c r="AM92" s="91"/>
      <c r="AN92" s="128"/>
      <c r="AO92" s="92"/>
      <c r="AP92" s="91"/>
      <c r="AQ92" s="128"/>
      <c r="AR92" s="128"/>
      <c r="AS92" s="128"/>
      <c r="AT92" s="92"/>
      <c r="AU92" s="91"/>
      <c r="AV92" s="128"/>
      <c r="AW92" s="92"/>
      <c r="AX92" s="91"/>
      <c r="AY92" s="91"/>
      <c r="AZ92" s="91"/>
      <c r="BA92" s="91"/>
      <c r="BB92" s="92"/>
      <c r="BC92" s="92"/>
    </row>
    <row r="93" spans="3:55" ht="11.1" customHeight="1">
      <c r="M93" s="91"/>
      <c r="N93" s="91"/>
      <c r="O93" s="91"/>
      <c r="P93" s="91"/>
      <c r="Q93" s="91"/>
      <c r="R93" s="91"/>
      <c r="S93" s="91"/>
      <c r="T93" s="128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1"/>
      <c r="AM93" s="91"/>
      <c r="AN93" s="128"/>
      <c r="AO93" s="92"/>
      <c r="AP93" s="91"/>
      <c r="AQ93" s="128"/>
      <c r="AR93" s="128"/>
      <c r="AS93" s="128"/>
      <c r="AT93" s="92"/>
      <c r="AU93" s="91"/>
      <c r="AV93" s="128"/>
      <c r="AW93" s="92"/>
      <c r="AX93" s="91"/>
      <c r="AY93" s="91"/>
      <c r="AZ93" s="91"/>
      <c r="BA93" s="91"/>
      <c r="BB93" s="92"/>
      <c r="BC93" s="92"/>
    </row>
    <row r="94" spans="3:55" ht="11.1" customHeight="1">
      <c r="M94" s="91"/>
      <c r="N94" s="91"/>
      <c r="O94" s="91"/>
      <c r="P94" s="91"/>
      <c r="Q94" s="91"/>
      <c r="R94" s="91"/>
      <c r="S94" s="91"/>
      <c r="T94" s="128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1"/>
      <c r="AM94" s="91"/>
      <c r="AN94" s="128"/>
      <c r="AO94" s="92"/>
      <c r="AP94" s="91"/>
      <c r="AQ94" s="128"/>
      <c r="AR94" s="128"/>
      <c r="AS94" s="128"/>
      <c r="AT94" s="92"/>
      <c r="AU94" s="91"/>
      <c r="AV94" s="128"/>
      <c r="AW94" s="92"/>
      <c r="AX94" s="91"/>
      <c r="AY94" s="91"/>
      <c r="AZ94" s="91"/>
      <c r="BA94" s="91"/>
      <c r="BB94" s="92"/>
      <c r="BC94" s="92"/>
    </row>
    <row r="95" spans="3:55" ht="11.1" customHeight="1">
      <c r="M95" s="91"/>
      <c r="N95" s="91"/>
      <c r="O95" s="91"/>
      <c r="P95" s="91"/>
      <c r="Q95" s="91"/>
      <c r="R95" s="91"/>
      <c r="S95" s="91"/>
      <c r="T95" s="128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1"/>
      <c r="AM95" s="91"/>
      <c r="AN95" s="128"/>
      <c r="AO95" s="92"/>
      <c r="AP95" s="91"/>
      <c r="AQ95" s="128"/>
      <c r="AR95" s="128"/>
      <c r="AS95" s="128"/>
      <c r="AT95" s="92"/>
      <c r="AU95" s="91"/>
      <c r="AV95" s="128"/>
      <c r="AW95" s="92"/>
      <c r="AX95" s="91"/>
      <c r="AY95" s="91"/>
      <c r="AZ95" s="91"/>
      <c r="BA95" s="91"/>
      <c r="BB95" s="92"/>
      <c r="BC95" s="92"/>
    </row>
    <row r="96" spans="3:55" ht="11.1" customHeight="1">
      <c r="M96" s="91"/>
      <c r="N96" s="91"/>
      <c r="O96" s="91"/>
      <c r="P96" s="91"/>
      <c r="Q96" s="91"/>
      <c r="R96" s="91"/>
      <c r="S96" s="91"/>
      <c r="T96" s="128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1"/>
      <c r="AM96" s="91"/>
      <c r="AN96" s="128"/>
      <c r="AO96" s="92"/>
      <c r="AP96" s="91"/>
      <c r="AQ96" s="128"/>
      <c r="AR96" s="128"/>
      <c r="AS96" s="128"/>
      <c r="AT96" s="92"/>
      <c r="AU96" s="91"/>
      <c r="AV96" s="128"/>
      <c r="AW96" s="92"/>
      <c r="AX96" s="91"/>
      <c r="AY96" s="91"/>
      <c r="AZ96" s="91"/>
      <c r="BA96" s="91"/>
      <c r="BB96" s="92"/>
      <c r="BC96" s="92"/>
    </row>
    <row r="97" spans="13:54" ht="11.1" customHeight="1">
      <c r="M97" s="91"/>
      <c r="N97" s="91"/>
      <c r="O97" s="91"/>
      <c r="P97" s="91"/>
      <c r="Q97" s="91"/>
      <c r="R97" s="91"/>
      <c r="S97" s="91"/>
      <c r="T97" s="128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1"/>
      <c r="AM97" s="91"/>
      <c r="AN97" s="128"/>
      <c r="AO97" s="92"/>
      <c r="AP97" s="91"/>
      <c r="AQ97" s="128"/>
      <c r="AR97" s="128"/>
      <c r="AS97" s="128"/>
      <c r="AT97" s="92"/>
      <c r="AU97" s="91"/>
      <c r="AV97" s="128"/>
      <c r="AW97" s="92"/>
      <c r="AX97" s="91"/>
      <c r="AY97" s="91"/>
      <c r="AZ97" s="91"/>
      <c r="BA97" s="91"/>
      <c r="BB97" s="92"/>
    </row>
    <row r="98" spans="13:54" ht="11.1" customHeight="1">
      <c r="M98" s="91"/>
      <c r="N98" s="91"/>
      <c r="O98" s="91"/>
      <c r="P98" s="91"/>
      <c r="Q98" s="91"/>
      <c r="R98" s="91"/>
      <c r="S98" s="91"/>
      <c r="T98" s="128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1"/>
      <c r="AM98" s="91"/>
      <c r="AN98" s="128"/>
      <c r="AO98" s="92"/>
      <c r="AP98" s="91"/>
      <c r="AQ98" s="128"/>
      <c r="AR98" s="128"/>
      <c r="AS98" s="128"/>
      <c r="AT98" s="92"/>
      <c r="AU98" s="91"/>
      <c r="AV98" s="128"/>
      <c r="AW98" s="92"/>
      <c r="AX98" s="91"/>
      <c r="AY98" s="91"/>
      <c r="AZ98" s="91"/>
      <c r="BA98" s="91"/>
      <c r="BB98" s="92"/>
    </row>
    <row r="99" spans="13:54" ht="11.1" customHeight="1">
      <c r="M99" s="91"/>
      <c r="N99" s="91"/>
      <c r="O99" s="91"/>
      <c r="P99" s="91"/>
      <c r="Q99" s="91"/>
      <c r="R99" s="91"/>
      <c r="S99" s="91"/>
      <c r="T99" s="128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1"/>
      <c r="AM99" s="91"/>
      <c r="AN99" s="128"/>
      <c r="AO99" s="92"/>
      <c r="AP99" s="91"/>
      <c r="AQ99" s="128"/>
      <c r="AR99" s="128"/>
      <c r="AS99" s="128"/>
      <c r="AT99" s="92"/>
      <c r="AU99" s="91"/>
      <c r="AV99" s="128"/>
      <c r="AW99" s="92"/>
      <c r="AX99" s="91"/>
      <c r="AY99" s="91"/>
      <c r="AZ99" s="91"/>
      <c r="BA99" s="91"/>
      <c r="BB99" s="92"/>
    </row>
    <row r="100" spans="13:54" ht="11.1" customHeight="1">
      <c r="M100" s="91"/>
      <c r="N100" s="91"/>
      <c r="O100" s="91"/>
      <c r="P100" s="91"/>
      <c r="Q100" s="91"/>
      <c r="R100" s="91"/>
      <c r="S100" s="91"/>
      <c r="T100" s="128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1"/>
      <c r="AM100" s="91"/>
      <c r="AN100" s="128"/>
      <c r="AO100" s="92"/>
      <c r="AP100" s="91"/>
      <c r="AQ100" s="128"/>
      <c r="AR100" s="128"/>
      <c r="AS100" s="128"/>
      <c r="AT100" s="92"/>
      <c r="AU100" s="91"/>
      <c r="AV100" s="128"/>
      <c r="AW100" s="92"/>
      <c r="AX100" s="91"/>
      <c r="AY100" s="91"/>
      <c r="AZ100" s="91"/>
      <c r="BA100" s="91"/>
      <c r="BB100" s="92"/>
    </row>
    <row r="101" spans="13:54" ht="11.1" customHeight="1">
      <c r="M101" s="91"/>
      <c r="N101" s="91"/>
      <c r="O101" s="91"/>
      <c r="P101" s="91"/>
      <c r="Q101" s="91"/>
      <c r="R101" s="91"/>
      <c r="S101" s="91"/>
      <c r="T101" s="128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1"/>
      <c r="AM101" s="91"/>
      <c r="AN101" s="128"/>
      <c r="AO101" s="92"/>
      <c r="AP101" s="91"/>
      <c r="AQ101" s="128"/>
      <c r="AR101" s="128"/>
      <c r="AS101" s="128"/>
      <c r="AT101" s="92"/>
      <c r="AU101" s="91"/>
      <c r="AV101" s="128"/>
      <c r="AW101" s="92"/>
      <c r="AX101" s="91"/>
      <c r="AY101" s="91"/>
      <c r="AZ101" s="91"/>
      <c r="BA101" s="91"/>
      <c r="BB101" s="92"/>
    </row>
    <row r="102" spans="13:54" ht="11.1" customHeight="1">
      <c r="M102" s="91"/>
      <c r="N102" s="91"/>
      <c r="O102" s="91"/>
      <c r="P102" s="91"/>
      <c r="Q102" s="91"/>
      <c r="R102" s="91"/>
      <c r="S102" s="91"/>
      <c r="T102" s="128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1"/>
      <c r="AM102" s="91"/>
      <c r="AN102" s="128"/>
      <c r="AO102" s="92"/>
      <c r="AP102" s="91"/>
      <c r="AQ102" s="128"/>
      <c r="AR102" s="128"/>
      <c r="AS102" s="128"/>
      <c r="AT102" s="92"/>
      <c r="AU102" s="91"/>
      <c r="AV102" s="128"/>
      <c r="AW102" s="92"/>
      <c r="AX102" s="91"/>
      <c r="AY102" s="91"/>
      <c r="AZ102" s="91"/>
      <c r="BA102" s="91"/>
      <c r="BB102" s="92"/>
    </row>
    <row r="103" spans="13:54" ht="11.1" customHeight="1">
      <c r="M103" s="91"/>
      <c r="N103" s="91"/>
      <c r="O103" s="91"/>
      <c r="P103" s="91"/>
      <c r="Q103" s="91"/>
      <c r="R103" s="91"/>
      <c r="S103" s="91"/>
      <c r="T103" s="128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1"/>
      <c r="AM103" s="91"/>
      <c r="AN103" s="128"/>
      <c r="AO103" s="92"/>
      <c r="AP103" s="91"/>
      <c r="AQ103" s="128"/>
      <c r="AR103" s="128"/>
      <c r="AS103" s="128"/>
      <c r="AT103" s="92"/>
      <c r="AU103" s="91"/>
      <c r="AV103" s="128"/>
      <c r="AW103" s="92"/>
      <c r="AX103" s="91"/>
      <c r="AY103" s="91"/>
      <c r="AZ103" s="91"/>
      <c r="BA103" s="91"/>
      <c r="BB103" s="92"/>
    </row>
    <row r="104" spans="13:54" ht="11.1" customHeight="1">
      <c r="M104" s="91"/>
      <c r="N104" s="91"/>
      <c r="O104" s="91"/>
      <c r="P104" s="91"/>
      <c r="Q104" s="91"/>
      <c r="R104" s="91"/>
      <c r="S104" s="91"/>
      <c r="T104" s="128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1"/>
      <c r="AM104" s="91"/>
      <c r="AN104" s="128"/>
      <c r="AO104" s="92"/>
      <c r="AP104" s="91"/>
      <c r="AQ104" s="128"/>
      <c r="AR104" s="128"/>
      <c r="AS104" s="128"/>
      <c r="AT104" s="92"/>
      <c r="AU104" s="91"/>
      <c r="AV104" s="128"/>
      <c r="AW104" s="92"/>
      <c r="AX104" s="91"/>
      <c r="AY104" s="91"/>
      <c r="AZ104" s="91"/>
      <c r="BA104" s="91"/>
      <c r="BB104" s="92"/>
    </row>
    <row r="105" spans="13:54" ht="11.1" customHeight="1">
      <c r="M105" s="91"/>
      <c r="N105" s="91"/>
      <c r="O105" s="91"/>
      <c r="P105" s="91"/>
      <c r="Q105" s="91"/>
      <c r="R105" s="91"/>
      <c r="S105" s="91"/>
      <c r="T105" s="128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1"/>
      <c r="AM105" s="91"/>
      <c r="AN105" s="128"/>
      <c r="AO105" s="92"/>
      <c r="AP105" s="91"/>
      <c r="AQ105" s="128"/>
      <c r="AR105" s="128"/>
      <c r="AS105" s="128"/>
      <c r="AT105" s="92"/>
      <c r="AU105" s="91"/>
      <c r="AV105" s="128"/>
      <c r="AW105" s="92"/>
      <c r="AX105" s="91"/>
      <c r="AY105" s="91"/>
      <c r="AZ105" s="91"/>
      <c r="BA105" s="91"/>
      <c r="BB105" s="92"/>
    </row>
    <row r="106" spans="13:54" ht="11.1" customHeight="1">
      <c r="M106" s="91"/>
      <c r="N106" s="91"/>
      <c r="O106" s="91"/>
      <c r="P106" s="91"/>
      <c r="Q106" s="91"/>
      <c r="R106" s="91"/>
      <c r="S106" s="91"/>
      <c r="T106" s="128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1"/>
      <c r="AM106" s="91"/>
      <c r="AN106" s="128"/>
      <c r="AO106" s="92"/>
      <c r="AP106" s="91"/>
      <c r="AQ106" s="128"/>
      <c r="AR106" s="128"/>
      <c r="AS106" s="128"/>
      <c r="AT106" s="92"/>
      <c r="AU106" s="91"/>
      <c r="AV106" s="128"/>
      <c r="AW106" s="92"/>
      <c r="AX106" s="91"/>
      <c r="AY106" s="91"/>
      <c r="AZ106" s="91"/>
      <c r="BA106" s="91"/>
      <c r="BB106" s="92"/>
    </row>
    <row r="107" spans="13:54" ht="11.1" customHeight="1">
      <c r="M107" s="91"/>
      <c r="N107" s="91"/>
      <c r="O107" s="91"/>
      <c r="P107" s="91"/>
      <c r="Q107" s="91"/>
      <c r="R107" s="91"/>
      <c r="S107" s="91"/>
      <c r="T107" s="128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1"/>
      <c r="AM107" s="91"/>
      <c r="AN107" s="128"/>
      <c r="AO107" s="92"/>
      <c r="AP107" s="91"/>
      <c r="AQ107" s="128"/>
      <c r="AR107" s="128"/>
      <c r="AS107" s="128"/>
      <c r="AT107" s="92"/>
      <c r="AU107" s="91"/>
      <c r="AV107" s="128"/>
      <c r="AW107" s="92"/>
      <c r="AX107" s="91"/>
      <c r="AY107" s="91"/>
      <c r="AZ107" s="91"/>
      <c r="BA107" s="91"/>
      <c r="BB107" s="92"/>
    </row>
    <row r="108" spans="13:54" ht="11.1" customHeight="1">
      <c r="M108" s="91"/>
      <c r="N108" s="91"/>
      <c r="O108" s="91"/>
      <c r="P108" s="91"/>
      <c r="Q108" s="91"/>
      <c r="R108" s="91"/>
      <c r="S108" s="91"/>
      <c r="T108" s="128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1"/>
      <c r="AM108" s="91"/>
      <c r="AN108" s="128"/>
      <c r="AO108" s="92"/>
      <c r="AP108" s="91"/>
      <c r="AQ108" s="128"/>
      <c r="AR108" s="128"/>
      <c r="AS108" s="128"/>
      <c r="AT108" s="92"/>
      <c r="AU108" s="91"/>
      <c r="AV108" s="128"/>
      <c r="AW108" s="92"/>
      <c r="AX108" s="91"/>
      <c r="AY108" s="91"/>
      <c r="AZ108" s="91"/>
      <c r="BA108" s="91"/>
      <c r="BB108" s="92"/>
    </row>
    <row r="109" spans="13:54" ht="11.1" customHeight="1">
      <c r="M109" s="91"/>
      <c r="N109" s="91"/>
      <c r="O109" s="91"/>
      <c r="P109" s="91"/>
      <c r="Q109" s="91"/>
      <c r="R109" s="91"/>
      <c r="S109" s="91"/>
      <c r="T109" s="128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1"/>
      <c r="AM109" s="91"/>
      <c r="AN109" s="128"/>
      <c r="AO109" s="92"/>
      <c r="AP109" s="91"/>
      <c r="AQ109" s="128"/>
      <c r="AR109" s="128"/>
      <c r="AS109" s="128"/>
      <c r="AT109" s="92"/>
      <c r="AU109" s="91"/>
      <c r="AV109" s="128"/>
      <c r="AW109" s="92"/>
      <c r="AX109" s="91"/>
      <c r="AY109" s="91"/>
      <c r="AZ109" s="91"/>
      <c r="BA109" s="91"/>
      <c r="BB109" s="92"/>
    </row>
    <row r="110" spans="13:54" ht="11.1" customHeight="1">
      <c r="M110" s="91"/>
      <c r="N110" s="91"/>
      <c r="O110" s="91"/>
      <c r="P110" s="91"/>
      <c r="Q110" s="91"/>
      <c r="R110" s="91"/>
      <c r="S110" s="91"/>
      <c r="T110" s="128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1"/>
      <c r="AM110" s="91"/>
      <c r="AN110" s="128"/>
      <c r="AO110" s="92"/>
      <c r="AP110" s="91"/>
      <c r="AQ110" s="128"/>
      <c r="AR110" s="128"/>
      <c r="AS110" s="128"/>
      <c r="AT110" s="92"/>
      <c r="AU110" s="91"/>
      <c r="AV110" s="128"/>
      <c r="AW110" s="92"/>
      <c r="AX110" s="91"/>
      <c r="AY110" s="91"/>
      <c r="AZ110" s="91"/>
      <c r="BA110" s="91"/>
      <c r="BB110" s="92"/>
    </row>
    <row r="111" spans="13:54" ht="11.1" customHeight="1">
      <c r="M111" s="91"/>
      <c r="N111" s="91"/>
      <c r="O111" s="91"/>
      <c r="P111" s="91"/>
      <c r="Q111" s="91"/>
      <c r="R111" s="91"/>
      <c r="S111" s="91"/>
      <c r="T111" s="128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1"/>
      <c r="AM111" s="91"/>
      <c r="AN111" s="128"/>
      <c r="AO111" s="92"/>
      <c r="AP111" s="91"/>
      <c r="AQ111" s="128"/>
      <c r="AR111" s="128"/>
      <c r="AS111" s="128"/>
      <c r="AT111" s="92"/>
      <c r="AU111" s="91"/>
      <c r="AV111" s="128"/>
      <c r="AW111" s="92"/>
      <c r="AX111" s="91"/>
      <c r="AY111" s="91"/>
      <c r="AZ111" s="91"/>
      <c r="BA111" s="91"/>
      <c r="BB111" s="92"/>
    </row>
    <row r="112" spans="13:54" ht="11.1" customHeight="1">
      <c r="M112" s="91"/>
      <c r="N112" s="91"/>
      <c r="O112" s="91"/>
      <c r="P112" s="91"/>
      <c r="Q112" s="91"/>
      <c r="R112" s="91"/>
      <c r="S112" s="91"/>
      <c r="T112" s="128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1"/>
      <c r="AM112" s="91"/>
      <c r="AN112" s="128"/>
      <c r="AO112" s="92"/>
      <c r="AP112" s="91"/>
      <c r="AQ112" s="128"/>
      <c r="AR112" s="128"/>
      <c r="AS112" s="128"/>
      <c r="AT112" s="92"/>
      <c r="AU112" s="91"/>
      <c r="AV112" s="128"/>
      <c r="AW112" s="92"/>
      <c r="AX112" s="91"/>
      <c r="AY112" s="91"/>
      <c r="AZ112" s="91"/>
      <c r="BA112" s="91"/>
      <c r="BB112" s="92"/>
    </row>
    <row r="113" spans="13:54" ht="11.1" customHeight="1">
      <c r="M113" s="91"/>
      <c r="N113" s="91"/>
      <c r="O113" s="91"/>
      <c r="P113" s="91"/>
      <c r="Q113" s="91"/>
      <c r="R113" s="91"/>
      <c r="S113" s="91"/>
      <c r="T113" s="128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1"/>
      <c r="AM113" s="91"/>
      <c r="AN113" s="128"/>
      <c r="AO113" s="92"/>
      <c r="AP113" s="91"/>
      <c r="AQ113" s="128"/>
      <c r="AR113" s="128"/>
      <c r="AS113" s="128"/>
      <c r="AT113" s="92"/>
      <c r="AU113" s="91"/>
      <c r="AV113" s="128"/>
      <c r="AW113" s="92"/>
      <c r="AX113" s="91"/>
      <c r="AY113" s="91"/>
      <c r="AZ113" s="91"/>
      <c r="BA113" s="91"/>
      <c r="BB113" s="92"/>
    </row>
    <row r="114" spans="13:54" ht="11.1" customHeight="1">
      <c r="M114" s="91"/>
      <c r="N114" s="91"/>
      <c r="O114" s="91"/>
      <c r="P114" s="91"/>
      <c r="Q114" s="91"/>
      <c r="R114" s="91"/>
      <c r="S114" s="91"/>
      <c r="T114" s="128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1"/>
      <c r="AM114" s="91"/>
      <c r="AN114" s="128"/>
      <c r="AO114" s="92"/>
      <c r="AP114" s="91"/>
      <c r="AQ114" s="128"/>
      <c r="AR114" s="128"/>
      <c r="AS114" s="128"/>
      <c r="AT114" s="92"/>
      <c r="AU114" s="91"/>
      <c r="AV114" s="128"/>
      <c r="AW114" s="92"/>
      <c r="AX114" s="91"/>
      <c r="AY114" s="91"/>
      <c r="AZ114" s="91"/>
      <c r="BA114" s="91"/>
      <c r="BB114" s="92"/>
    </row>
  </sheetData>
  <sortState xmlns:xlrd2="http://schemas.microsoft.com/office/spreadsheetml/2017/richdata2" ref="C7:D44">
    <sortCondition ref="C7:C44"/>
  </sortState>
  <mergeCells count="7">
    <mergeCell ref="F5:F6"/>
    <mergeCell ref="G5:G6"/>
    <mergeCell ref="H5:K5"/>
    <mergeCell ref="A1:C1"/>
    <mergeCell ref="C5:C6"/>
    <mergeCell ref="D5:D6"/>
    <mergeCell ref="E5:E6"/>
  </mergeCells>
  <conditionalFormatting sqref="H7:H44">
    <cfRule type="cellIs" dxfId="4" priority="100" operator="equal">
      <formula>"ê"</formula>
    </cfRule>
    <cfRule type="cellIs" dxfId="3" priority="101" operator="equal">
      <formula>"é"</formula>
    </cfRule>
  </conditionalFormatting>
  <conditionalFormatting sqref="I7:K44">
    <cfRule type="expression" dxfId="2" priority="102">
      <formula>IF( $M7, IF( LEN( $O7 ) = 0, FALSE, TRUE ), FALSE )</formula>
    </cfRule>
    <cfRule type="expression" dxfId="1" priority="103">
      <formula>IF( $M7, IF( LEN( $N7 ) = 0, FALSE, TRUE ), FALSE )</formula>
    </cfRule>
  </conditionalFormatting>
  <conditionalFormatting sqref="M7:M44 V7:V44 Z7:Z44 AD7:AD44 AH7:AH44">
    <cfRule type="cellIs" dxfId="0" priority="1" operator="equal">
      <formula>TRUE</formula>
    </cfRule>
  </conditionalFormatting>
  <hyperlinks>
    <hyperlink ref="A1" location="Index!A1" display="Return to Index" xr:uid="{00000000-0004-0000-0700-000000000000}"/>
    <hyperlink ref="A1:B1" location="Contents!A1" display="Go to Contents" xr:uid="{00000000-0004-0000-0700-000001000000}"/>
  </hyperlinks>
  <pageMargins left="0.21" right="0.75" top="0.27" bottom="0.28999999999999998" header="0.2" footer="0.21"/>
  <pageSetup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6305-D487-418B-91BB-B6ECC61D4544}">
  <sheetPr codeName="Sheet6"/>
  <dimension ref="B2:BI10"/>
  <sheetViews>
    <sheetView showGridLines="0" zoomScale="80" zoomScaleNormal="80" workbookViewId="0">
      <selection activeCell="BK2" sqref="BK2"/>
    </sheetView>
  </sheetViews>
  <sheetFormatPr defaultColWidth="9.140625" defaultRowHeight="12.75"/>
  <cols>
    <col min="1" max="1" width="2.7109375" style="93" customWidth="1"/>
    <col min="2" max="2" width="14.7109375" style="93" customWidth="1"/>
    <col min="3" max="11" width="14.7109375" style="95" customWidth="1"/>
    <col min="12" max="12" width="2.7109375" style="95" customWidth="1"/>
    <col min="13" max="32" width="2.7109375" style="93" customWidth="1"/>
    <col min="33" max="41" width="3.7109375" style="93" customWidth="1"/>
    <col min="42" max="62" width="2.7109375" style="93" customWidth="1"/>
    <col min="63" max="16384" width="9.140625" style="93"/>
  </cols>
  <sheetData>
    <row r="2" spans="2:61">
      <c r="C2" s="94" t="s">
        <v>108</v>
      </c>
      <c r="D2" s="94" t="s">
        <v>110</v>
      </c>
      <c r="E2" s="94" t="s">
        <v>111</v>
      </c>
      <c r="F2" s="94" t="s">
        <v>112</v>
      </c>
      <c r="G2" s="94" t="s">
        <v>113</v>
      </c>
      <c r="H2" s="94" t="s">
        <v>114</v>
      </c>
      <c r="I2" s="94" t="s">
        <v>115</v>
      </c>
      <c r="J2" s="94" t="s">
        <v>116</v>
      </c>
      <c r="K2" s="94" t="s">
        <v>109</v>
      </c>
      <c r="M2" s="277" t="s">
        <v>181</v>
      </c>
      <c r="N2" s="277"/>
      <c r="O2" s="277"/>
      <c r="P2" s="277"/>
      <c r="Q2" s="277"/>
      <c r="R2" s="277"/>
      <c r="S2" s="277"/>
      <c r="T2" s="277"/>
      <c r="U2" s="277"/>
      <c r="W2" s="277" t="s">
        <v>182</v>
      </c>
      <c r="X2" s="277"/>
      <c r="Y2" s="277"/>
      <c r="Z2" s="277"/>
      <c r="AA2" s="277"/>
      <c r="AB2" s="277"/>
      <c r="AC2" s="277"/>
      <c r="AD2" s="277"/>
      <c r="AE2" s="277"/>
      <c r="AG2" s="277" t="s">
        <v>183</v>
      </c>
      <c r="AH2" s="277"/>
      <c r="AI2" s="277"/>
      <c r="AJ2" s="277"/>
      <c r="AK2" s="277"/>
      <c r="AL2" s="277"/>
      <c r="AM2" s="277"/>
      <c r="AN2" s="277"/>
      <c r="AO2" s="277"/>
      <c r="AQ2" s="277" t="s">
        <v>184</v>
      </c>
      <c r="AR2" s="277"/>
      <c r="AS2" s="277"/>
      <c r="AT2" s="277"/>
      <c r="AU2" s="277"/>
      <c r="AV2" s="277"/>
      <c r="AW2" s="277"/>
      <c r="AX2" s="277"/>
      <c r="AY2" s="277"/>
      <c r="BA2" s="277" t="s">
        <v>185</v>
      </c>
      <c r="BB2" s="277"/>
      <c r="BC2" s="277"/>
      <c r="BD2" s="277"/>
      <c r="BE2" s="277"/>
      <c r="BF2" s="277"/>
      <c r="BG2" s="277"/>
      <c r="BH2" s="277"/>
      <c r="BI2" s="277"/>
    </row>
    <row r="3" spans="2:61">
      <c r="C3" s="96" t="s">
        <v>87</v>
      </c>
      <c r="D3" s="96" t="s">
        <v>88</v>
      </c>
      <c r="E3" s="96" t="s">
        <v>89</v>
      </c>
      <c r="F3" s="96" t="s">
        <v>65</v>
      </c>
      <c r="G3" s="96" t="s">
        <v>90</v>
      </c>
      <c r="H3" s="96" t="s">
        <v>91</v>
      </c>
      <c r="I3" s="96" t="s">
        <v>92</v>
      </c>
      <c r="J3" s="96" t="s">
        <v>2</v>
      </c>
      <c r="K3" s="96" t="s">
        <v>93</v>
      </c>
      <c r="L3" s="96"/>
    </row>
    <row r="4" spans="2:61">
      <c r="B4" s="172">
        <v>45930</v>
      </c>
      <c r="C4" s="231">
        <v>22.6</v>
      </c>
      <c r="D4" s="231">
        <v>54.3</v>
      </c>
      <c r="E4" s="231">
        <v>58.5</v>
      </c>
      <c r="F4" s="231">
        <v>26.4</v>
      </c>
      <c r="G4" s="231">
        <v>32.700000000000003</v>
      </c>
      <c r="H4" s="231">
        <v>32.9</v>
      </c>
      <c r="I4" s="231">
        <v>50.4</v>
      </c>
      <c r="J4" s="231">
        <v>22</v>
      </c>
      <c r="K4" s="231">
        <v>61.1</v>
      </c>
      <c r="L4" s="97"/>
      <c r="M4" s="98">
        <f t="shared" ref="M4:U4" si="0">RANK(C4,$C4:$K4,0)</f>
        <v>8</v>
      </c>
      <c r="N4" s="98">
        <f t="shared" si="0"/>
        <v>3</v>
      </c>
      <c r="O4" s="98">
        <f t="shared" si="0"/>
        <v>2</v>
      </c>
      <c r="P4" s="98">
        <f t="shared" si="0"/>
        <v>7</v>
      </c>
      <c r="Q4" s="98">
        <f t="shared" si="0"/>
        <v>6</v>
      </c>
      <c r="R4" s="98">
        <f t="shared" si="0"/>
        <v>5</v>
      </c>
      <c r="S4" s="98">
        <f t="shared" si="0"/>
        <v>4</v>
      </c>
      <c r="T4" s="98">
        <f t="shared" si="0"/>
        <v>9</v>
      </c>
      <c r="U4" s="98">
        <f t="shared" si="0"/>
        <v>1</v>
      </c>
      <c r="W4" s="98">
        <f>COUNTIF($M4:M4,M4)-1</f>
        <v>0</v>
      </c>
      <c r="X4" s="98">
        <f>COUNTIF($M4:N4,N4)-1</f>
        <v>0</v>
      </c>
      <c r="Y4" s="98">
        <f>COUNTIF($M4:O4,O4)-1</f>
        <v>0</v>
      </c>
      <c r="Z4" s="98">
        <f>COUNTIF($M4:P4,P4)-1</f>
        <v>0</v>
      </c>
      <c r="AA4" s="98">
        <f>COUNTIF($M4:Q4,Q4)-1</f>
        <v>0</v>
      </c>
      <c r="AB4" s="98">
        <f>COUNTIF($M4:R4,R4)-1</f>
        <v>0</v>
      </c>
      <c r="AC4" s="98">
        <f>COUNTIF($M4:S4,S4)-1</f>
        <v>0</v>
      </c>
      <c r="AD4" s="98">
        <f>COUNTIF($M4:T4,T4)-1</f>
        <v>0</v>
      </c>
      <c r="AE4" s="98">
        <f>COUNTIF($M4:U4,U4)-1</f>
        <v>0</v>
      </c>
      <c r="AG4" s="99">
        <f>M4+W4/10</f>
        <v>8</v>
      </c>
      <c r="AH4" s="99">
        <f t="shared" ref="AH4:AO4" si="1">N4+X4/10</f>
        <v>3</v>
      </c>
      <c r="AI4" s="99">
        <f t="shared" si="1"/>
        <v>2</v>
      </c>
      <c r="AJ4" s="99">
        <f t="shared" si="1"/>
        <v>7</v>
      </c>
      <c r="AK4" s="99">
        <f t="shared" si="1"/>
        <v>6</v>
      </c>
      <c r="AL4" s="99">
        <f t="shared" si="1"/>
        <v>5</v>
      </c>
      <c r="AM4" s="99">
        <f t="shared" si="1"/>
        <v>4</v>
      </c>
      <c r="AN4" s="99">
        <f t="shared" si="1"/>
        <v>9</v>
      </c>
      <c r="AO4" s="99">
        <f t="shared" si="1"/>
        <v>1</v>
      </c>
      <c r="AQ4" s="100">
        <f t="shared" ref="AQ4:AY4" si="2">RANK(AG4,$AG4:$AO4,1)</f>
        <v>8</v>
      </c>
      <c r="AR4" s="100">
        <f t="shared" si="2"/>
        <v>3</v>
      </c>
      <c r="AS4" s="100">
        <f t="shared" si="2"/>
        <v>2</v>
      </c>
      <c r="AT4" s="100">
        <f t="shared" si="2"/>
        <v>7</v>
      </c>
      <c r="AU4" s="100">
        <f t="shared" si="2"/>
        <v>6</v>
      </c>
      <c r="AV4" s="100">
        <f t="shared" si="2"/>
        <v>5</v>
      </c>
      <c r="AW4" s="100">
        <f t="shared" si="2"/>
        <v>4</v>
      </c>
      <c r="AX4" s="100">
        <f t="shared" si="2"/>
        <v>9</v>
      </c>
      <c r="AY4" s="100">
        <f t="shared" si="2"/>
        <v>1</v>
      </c>
      <c r="BA4" s="100">
        <f>MATCH(1,$AQ$4:$AY$4,0)</f>
        <v>9</v>
      </c>
      <c r="BB4" s="100">
        <f>MATCH(2,$AQ$4:$AY$4,0)</f>
        <v>3</v>
      </c>
      <c r="BC4" s="100">
        <f>MATCH(3,$AQ$4:$AY$4,0)</f>
        <v>2</v>
      </c>
      <c r="BD4" s="100">
        <f>MATCH(4,$AQ$4:$AY$4,0)</f>
        <v>7</v>
      </c>
      <c r="BE4" s="100">
        <f>MATCH(5,$AQ$4:$AY$4,0)</f>
        <v>6</v>
      </c>
      <c r="BF4" s="100">
        <f>MATCH(6,$AQ$4:$AY$4,0)</f>
        <v>5</v>
      </c>
      <c r="BG4" s="100">
        <f>MATCH(7,$AQ$4:$AY$4,0)</f>
        <v>4</v>
      </c>
      <c r="BH4" s="100">
        <f>MATCH(8,$AQ$4:$AY$4,0)</f>
        <v>1</v>
      </c>
      <c r="BI4" s="100">
        <f>MATCH(9,$AQ$4:$AY$4,0)</f>
        <v>8</v>
      </c>
    </row>
    <row r="6" spans="2:61">
      <c r="B6" s="101" t="s">
        <v>170</v>
      </c>
    </row>
    <row r="8" spans="2:61">
      <c r="B8" s="164" t="s">
        <v>236</v>
      </c>
      <c r="C8" s="93"/>
      <c r="D8" s="93"/>
      <c r="E8" s="93"/>
      <c r="F8" s="93"/>
      <c r="G8" s="93"/>
      <c r="H8" s="93"/>
      <c r="I8" s="93"/>
      <c r="J8" s="93"/>
      <c r="K8" s="93"/>
    </row>
    <row r="10" spans="2:61">
      <c r="B10" s="196" t="s">
        <v>251</v>
      </c>
    </row>
  </sheetData>
  <mergeCells count="5">
    <mergeCell ref="M2:U2"/>
    <mergeCell ref="W2:AE2"/>
    <mergeCell ref="AG2:AO2"/>
    <mergeCell ref="AQ2:AY2"/>
    <mergeCell ref="BA2:BI2"/>
  </mergeCells>
  <hyperlinks>
    <hyperlink ref="B6" r:id="rId1" xr:uid="{E0FE5E37-038A-4657-A120-3128C0A9E358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9FCF9956A52419A332866A5789BC3" ma:contentTypeVersion="18" ma:contentTypeDescription="Create a new document." ma:contentTypeScope="" ma:versionID="0ccd32d42bc38ac8a4a4ff04473b9cc5">
  <xsd:schema xmlns:xsd="http://www.w3.org/2001/XMLSchema" xmlns:xs="http://www.w3.org/2001/XMLSchema" xmlns:p="http://schemas.microsoft.com/office/2006/metadata/properties" xmlns:ns2="d964b0a4-682e-4bda-b6b2-77439f345c49" xmlns:ns3="7a7db55e-2b16-4e8e-9efb-fab6e669a343" xmlns:ns4="f75139fd-48b9-45c1-a4c7-52ae13733b45" targetNamespace="http://schemas.microsoft.com/office/2006/metadata/properties" ma:root="true" ma:fieldsID="b2dd73c4de34e88e04af62e738b56b14" ns2:_="" ns3:_="" ns4:_="">
    <xsd:import namespace="d964b0a4-682e-4bda-b6b2-77439f345c49"/>
    <xsd:import namespace="7a7db55e-2b16-4e8e-9efb-fab6e669a343"/>
    <xsd:import namespace="f75139fd-48b9-45c1-a4c7-52ae13733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b0a4-682e-4bda-b6b2-77439f345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fcc6e0-4e0c-4e25-a433-30f022ae7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b55e-2b16-4e8e-9efb-fab6e669a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139fd-48b9-45c1-a4c7-52ae13733b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8e3dee-65b9-4cc9-9890-d4dc42fad703}" ma:internalName="TaxCatchAll" ma:showField="CatchAllData" ma:web="7a7db55e-2b16-4e8e-9efb-fab6e669a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b0a4-682e-4bda-b6b2-77439f345c49">
      <Terms xmlns="http://schemas.microsoft.com/office/infopath/2007/PartnerControls"/>
    </lcf76f155ced4ddcb4097134ff3c332f>
    <TaxCatchAll xmlns="f75139fd-48b9-45c1-a4c7-52ae13733b45" xsi:nil="true"/>
  </documentManagement>
</p:properties>
</file>

<file path=customXml/itemProps1.xml><?xml version="1.0" encoding="utf-8"?>
<ds:datastoreItem xmlns:ds="http://schemas.openxmlformats.org/officeDocument/2006/customXml" ds:itemID="{F66AB386-1B85-421E-AED1-FD7BC8752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AD714A-F204-45B0-AF64-D3768B3D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4b0a4-682e-4bda-b6b2-77439f345c49"/>
    <ds:schemaRef ds:uri="7a7db55e-2b16-4e8e-9efb-fab6e669a343"/>
    <ds:schemaRef ds:uri="f75139fd-48b9-45c1-a4c7-52ae13733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C0390E-E7CA-42D8-8A75-D15A8B1D9F34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f75139fd-48b9-45c1-a4c7-52ae13733b45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a7db55e-2b16-4e8e-9efb-fab6e669a343"/>
    <ds:schemaRef ds:uri="d964b0a4-682e-4bda-b6b2-77439f345c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Contents</vt:lpstr>
      <vt:lpstr>Company List</vt:lpstr>
      <vt:lpstr>Sector Payout Ratio</vt:lpstr>
      <vt:lpstr>Sector Yield</vt:lpstr>
      <vt:lpstr>Dividend Patterns</vt:lpstr>
      <vt:lpstr>Dividend Payout Ratio</vt:lpstr>
      <vt:lpstr>Dividend Yield</vt:lpstr>
      <vt:lpstr>Dividend Summary</vt:lpstr>
      <vt:lpstr>SPDR Payout</vt:lpstr>
      <vt:lpstr>SPDR Yield</vt:lpstr>
      <vt:lpstr>Patterns Worksheet</vt:lpstr>
      <vt:lpstr>Date_Business_Segmentation</vt:lpstr>
      <vt:lpstr>Date_Current_Year</vt:lpstr>
      <vt:lpstr>Date_EOP_Current</vt:lpstr>
      <vt:lpstr>Date_EOP_Last</vt:lpstr>
      <vt:lpstr>Date_Payout_Ratio</vt:lpstr>
      <vt:lpstr>Month_EOP_Current</vt:lpstr>
      <vt:lpstr>Payout_Ratio_Lag</vt:lpstr>
      <vt:lpstr>'Company List'!Print_Area</vt:lpstr>
      <vt:lpstr>Contents!Print_Area</vt:lpstr>
      <vt:lpstr>Quarter_CY_Q1</vt:lpstr>
      <vt:lpstr>Quarter_CY_Q2</vt:lpstr>
      <vt:lpstr>Quarter_CY_Q3</vt:lpstr>
      <vt:lpstr>Quarter_CY_Q4</vt:lpstr>
      <vt:lpstr>Quarter_EOP_Current</vt:lpstr>
      <vt:lpstr>Quarter_EOP_Current_Full</vt:lpstr>
      <vt:lpstr>Settings_Columns_Hidden</vt:lpstr>
      <vt:lpstr>Settings_Sheets_Hidden</vt:lpstr>
      <vt:lpstr>Settings_Sheets_VeryHidden</vt:lpstr>
    </vt:vector>
  </TitlesOfParts>
  <Company>EEI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Foy</dc:creator>
  <cp:lastModifiedBy>Daniel Foy</cp:lastModifiedBy>
  <cp:lastPrinted>2025-02-06T17:58:29Z</cp:lastPrinted>
  <dcterms:created xsi:type="dcterms:W3CDTF">2005-10-07T18:49:21Z</dcterms:created>
  <dcterms:modified xsi:type="dcterms:W3CDTF">2025-10-20T15:50:07Z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{E1796ED1-3536-48A6-AF40-082523578D6E}</vt:lpwstr>
  </property>
  <property fmtid="{D5CDD505-2E9C-101B-9397-08002B2CF9AE}" pid="3" name="ContentTypeId">
    <vt:lpwstr>0x010100BDD9FCF9956A52419A332866A5789BC3</vt:lpwstr>
  </property>
  <property fmtid="{D5CDD505-2E9C-101B-9397-08002B2CF9AE}" pid="4" name="MediaServiceImageTags">
    <vt:lpwstr/>
  </property>
</Properties>
</file>