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\Dropbox\YEAR END UPDATES\"/>
    </mc:Choice>
  </mc:AlternateContent>
  <xr:revisionPtr revIDLastSave="0" documentId="8_{4B93F5E8-2BCF-427B-B3A1-F6335224C9E9}" xr6:coauthVersionLast="47" xr6:coauthVersionMax="47" xr10:uidLastSave="{00000000-0000-0000-0000-000000000000}"/>
  <bookViews>
    <workbookView xWindow="-120" yWindow="-120" windowWidth="38640" windowHeight="21390" tabRatio="818" xr2:uid="{00000000-000D-0000-FFFF-FFFF00000000}"/>
  </bookViews>
  <sheets>
    <sheet name="Contents" sheetId="144" r:id="rId1"/>
    <sheet name="Company List" sheetId="145" r:id="rId2"/>
    <sheet name="I. Index" sheetId="1" r:id="rId3"/>
    <sheet name="II. Category" sheetId="2" r:id="rId4"/>
    <sheet name="III. Total Return" sheetId="3" r:id="rId5"/>
    <sheet name="IV. 10Y Monthly" sheetId="12" r:id="rId6"/>
    <sheet name="V. 10Y Daily" sheetId="19" r:id="rId7"/>
    <sheet name="VI. NG Spot" sheetId="33" r:id="rId8"/>
    <sheet name="VII. NG Futures" sheetId="34" r:id="rId9"/>
    <sheet name="VIII. Returns by Quarter" sheetId="20" r:id="rId10"/>
    <sheet name="IX &amp; X. Sectors" sheetId="35" r:id="rId11"/>
    <sheet name="XI. Market Cap" sheetId="6" r:id="rId12"/>
    <sheet name="XII. EEI Market Cap" sheetId="4" r:id="rId13"/>
    <sheet name="XIII. Comp Category Return" sheetId="11" r:id="rId14"/>
    <sheet name="XIV. EEI Index Top 10" sheetId="14" r:id="rId15"/>
    <sheet name="Category_Calc" sheetId="48" state="hidden" r:id="rId16"/>
    <sheet name="MASTER" sheetId="88" state="hidden" r:id="rId17"/>
    <sheet name="Master_Lookup" sheetId="45" state="hidden" r:id="rId18"/>
    <sheet name="12-Month Calculation" sheetId="143" state="veryHidden" r:id="rId19"/>
    <sheet name="YTD Calculation" sheetId="142" state="veryHidden" r:id="rId20"/>
    <sheet name="Calc_LTM" sheetId="38" state="veryHidden" r:id="rId21"/>
    <sheet name="Calc_YTD" sheetId="39" state="veryHidden" r:id="rId22"/>
    <sheet name="CompanyList" sheetId="46" state="veryHidden" r:id="rId23"/>
    <sheet name="Reg_Percent" sheetId="42" state="veryHidden" r:id="rId24"/>
    <sheet name="Settings" sheetId="136" state="veryHidden" r:id="rId25"/>
    <sheet name="End" sheetId="41" r:id="rId26"/>
  </sheets>
  <externalReferences>
    <externalReference r:id="rId27"/>
    <externalReference r:id="rId28"/>
  </externalReferences>
  <definedNames>
    <definedName name="Date_Business_Segmentation" localSheetId="1">[1]Settings!$C$7</definedName>
    <definedName name="Date_Business_Segmentation" localSheetId="0">[1]Settings!$C$7</definedName>
    <definedName name="Date_Business_Segmentation">Settings!$C$7</definedName>
    <definedName name="Date_Current_Year" localSheetId="1">[1]Settings!$C$6</definedName>
    <definedName name="Date_Current_Year" localSheetId="0">[1]Settings!$C$6</definedName>
    <definedName name="Date_Current_Year">Settings!$C$6</definedName>
    <definedName name="Date_EOP_Current" localSheetId="1">[1]Settings!$F$6</definedName>
    <definedName name="Date_EOP_Current" localSheetId="0">[1]Settings!$F$6</definedName>
    <definedName name="Date_EOP_Current">Settings!$F$6</definedName>
    <definedName name="Date_EOP_Last">[2]Settings!$F$7</definedName>
    <definedName name="Date_Payout_Ratio">[2]Settings!$I$16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_EOP_Current" localSheetId="1">[1]Settings!$I$9</definedName>
    <definedName name="Month_EOP_Current" localSheetId="0">[1]Settings!$I$9</definedName>
    <definedName name="Month_EOP_Current">Settings!$I$9</definedName>
    <definedName name="Payout_Ratio_Lag">[2]Settings!$F$9</definedName>
    <definedName name="_xlnm.Print_Area" localSheetId="1">'Company List'!$A$1:$D$51</definedName>
    <definedName name="_xlnm.Print_Area" localSheetId="0">Contents!$A$1:$D$51</definedName>
    <definedName name="_xlnm.Print_Area" localSheetId="3">'II. Category'!$A$1:$F$17</definedName>
    <definedName name="_xlnm.Print_Area" localSheetId="4">'III. Total Return'!$A$1:$J$30</definedName>
    <definedName name="_xlnm.Print_Area" localSheetId="5">'IV. 10Y Monthly'!$A$1:$O$25</definedName>
    <definedName name="_xlnm.Print_Area" localSheetId="10">'IX &amp; X. Sectors'!$A$1:$K$25</definedName>
    <definedName name="_xlnm.Print_Area" localSheetId="6">'V. 10Y Daily'!$A$1:$Q$26</definedName>
    <definedName name="_xlnm.Print_Area" localSheetId="9">'VIII. Returns by Quarter'!$A$1:$O$45</definedName>
    <definedName name="_xlnm.Print_Area" localSheetId="12">'XII. EEI Market Cap'!$A$1:$N$17</definedName>
    <definedName name="Quarter_CY_Q1">[2]Settings!$I$11</definedName>
    <definedName name="Quarter_CY_Q2">[2]Settings!$I$12</definedName>
    <definedName name="Quarter_CY_Q3">[2]Settings!$I$13</definedName>
    <definedName name="Quarter_CY_Q4">[2]Settings!$I$14</definedName>
    <definedName name="Quarter_EOP_Current" localSheetId="1">[1]Settings!$I$6</definedName>
    <definedName name="Quarter_EOP_Current" localSheetId="0">[1]Settings!$I$6</definedName>
    <definedName name="Quarter_EOP_Current">Settings!$I$6</definedName>
    <definedName name="Quarter_EOP_Current_Full" localSheetId="1">[1]Settings!$I$7</definedName>
    <definedName name="Quarter_EOP_Current_Full" localSheetId="0">[1]Settings!$I$7</definedName>
    <definedName name="Quarter_EOP_Current_Full">Settings!$I$7</definedName>
    <definedName name="Quarter_Year_Qtr">Settings!$I$11</definedName>
    <definedName name="Settings_Columns_Hidden">Settings!$L$6</definedName>
    <definedName name="Settings_Sheets_Hidden">Settings!$L$8:$L$12</definedName>
    <definedName name="Settings_Sheets_VeryHidden">Settings!$L$14:$L$20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4" l="1"/>
  <c r="D117" i="4"/>
  <c r="E117" i="4" s="1"/>
  <c r="D116" i="4"/>
  <c r="E116" i="4" s="1"/>
  <c r="D115" i="4"/>
  <c r="E118" i="4" l="1"/>
  <c r="V7" i="20"/>
  <c r="V8" i="20"/>
  <c r="V9" i="20"/>
  <c r="V10" i="20"/>
  <c r="D3922" i="19" l="1"/>
  <c r="D3921" i="19"/>
  <c r="D3920" i="19"/>
  <c r="D3919" i="19"/>
  <c r="D3917" i="19"/>
  <c r="D3918" i="19" s="1"/>
  <c r="D3916" i="19"/>
  <c r="D3915" i="19"/>
  <c r="D3914" i="19"/>
  <c r="D3913" i="19"/>
  <c r="D3912" i="19"/>
  <c r="D3911" i="19"/>
  <c r="D3910" i="19"/>
  <c r="D3909" i="19"/>
  <c r="D3908" i="19"/>
  <c r="D3907" i="19"/>
  <c r="D3906" i="19"/>
  <c r="D3905" i="19"/>
  <c r="D3904" i="19"/>
  <c r="D3903" i="19"/>
  <c r="D3902" i="19"/>
  <c r="D3901" i="19"/>
  <c r="D3900" i="19"/>
  <c r="D3898" i="19"/>
  <c r="D3899" i="19" s="1"/>
  <c r="D3897" i="19"/>
  <c r="D3896" i="19"/>
  <c r="D3895" i="19"/>
  <c r="D3894" i="19"/>
  <c r="D3893" i="19"/>
  <c r="D3892" i="19"/>
  <c r="D3891" i="19"/>
  <c r="D3890" i="19"/>
  <c r="D3889" i="19"/>
  <c r="D3888" i="19"/>
  <c r="D3887" i="19"/>
  <c r="D3885" i="19"/>
  <c r="D3886" i="19" s="1"/>
  <c r="D3884" i="19"/>
  <c r="D3883" i="19"/>
  <c r="D3882" i="19"/>
  <c r="D3881" i="19"/>
  <c r="D3880" i="19"/>
  <c r="D3879" i="19"/>
  <c r="D3878" i="19"/>
  <c r="D3877" i="19"/>
  <c r="D3876" i="19"/>
  <c r="D3875" i="19"/>
  <c r="D3874" i="19"/>
  <c r="D3873" i="19"/>
  <c r="D3872" i="19"/>
  <c r="D3871" i="19"/>
  <c r="D3870" i="19"/>
  <c r="D3869" i="19"/>
  <c r="D3868" i="19"/>
  <c r="D3867" i="19"/>
  <c r="D3866" i="19"/>
  <c r="D3865" i="19"/>
  <c r="D3864" i="19"/>
  <c r="D3863" i="19"/>
  <c r="D3862" i="19"/>
  <c r="D3861" i="19"/>
  <c r="D3860" i="19"/>
  <c r="D3859" i="19"/>
  <c r="D3858" i="19"/>
  <c r="D3857" i="19"/>
  <c r="D3856" i="19"/>
  <c r="D3855" i="19"/>
  <c r="D3854" i="19"/>
  <c r="D3853" i="19"/>
  <c r="D3852" i="19"/>
  <c r="D3851" i="19"/>
  <c r="D3850" i="19"/>
  <c r="D3849" i="19"/>
  <c r="D3848" i="19"/>
  <c r="D3847" i="19"/>
  <c r="D3846" i="19"/>
  <c r="D3845" i="19"/>
  <c r="D3844" i="19"/>
  <c r="D3843" i="19"/>
  <c r="D3842" i="19"/>
  <c r="D3841" i="19"/>
  <c r="D3840" i="19"/>
  <c r="D3839" i="19"/>
  <c r="D3838" i="19"/>
  <c r="D3837" i="19"/>
  <c r="D3835" i="19"/>
  <c r="D3836" i="19" s="1"/>
  <c r="D3834" i="19"/>
  <c r="D3833" i="19"/>
  <c r="D3832" i="19"/>
  <c r="D3831" i="19"/>
  <c r="D3830" i="19"/>
  <c r="D3829" i="19"/>
  <c r="D3828" i="19"/>
  <c r="D3827" i="19"/>
  <c r="D3826" i="19"/>
  <c r="D3825" i="19"/>
  <c r="D3824" i="19"/>
  <c r="D3823" i="19"/>
  <c r="D3822" i="19"/>
  <c r="D3821" i="19"/>
  <c r="D3820" i="19"/>
  <c r="D3819" i="19"/>
  <c r="D3818" i="19"/>
  <c r="D3817" i="19"/>
  <c r="D3816" i="19"/>
  <c r="D3815" i="19"/>
  <c r="D3814" i="19"/>
  <c r="D3813" i="19"/>
  <c r="D3812" i="19"/>
  <c r="D3811" i="19"/>
  <c r="D3810" i="19"/>
  <c r="D3809" i="19"/>
  <c r="D3808" i="19"/>
  <c r="D3807" i="19"/>
  <c r="D3806" i="19"/>
  <c r="D3805" i="19"/>
  <c r="D3804" i="19"/>
  <c r="D3803" i="19"/>
  <c r="D3802" i="19"/>
  <c r="D3801" i="19"/>
  <c r="D3800" i="19"/>
  <c r="D3799" i="19"/>
  <c r="D3798" i="19"/>
  <c r="D3797" i="19"/>
  <c r="D3796" i="19"/>
  <c r="D3795" i="19"/>
  <c r="D3793" i="19"/>
  <c r="D3794" i="19" s="1"/>
  <c r="D3792" i="19"/>
  <c r="D3791" i="19"/>
  <c r="D3790" i="19"/>
  <c r="D3789" i="19"/>
  <c r="D3788" i="19"/>
  <c r="D3787" i="19"/>
  <c r="D3786" i="19"/>
  <c r="D3785" i="19"/>
  <c r="D3784" i="19"/>
  <c r="D3782" i="19"/>
  <c r="D3783" i="19" s="1"/>
  <c r="D3781" i="19"/>
  <c r="D3780" i="19"/>
  <c r="D3779" i="19"/>
  <c r="D3778" i="19"/>
  <c r="D3777" i="19"/>
  <c r="D3776" i="19"/>
  <c r="D3775" i="19"/>
  <c r="D3774" i="19"/>
  <c r="D3773" i="19"/>
  <c r="D3772" i="19"/>
  <c r="D3771" i="19"/>
  <c r="D3770" i="19"/>
  <c r="D3769" i="19"/>
  <c r="D3768" i="19"/>
  <c r="D3767" i="19"/>
  <c r="D3766" i="19"/>
  <c r="D3765" i="19"/>
  <c r="D3764" i="19"/>
  <c r="D3763" i="19"/>
  <c r="D3762" i="19"/>
  <c r="D3761" i="19"/>
  <c r="D3760" i="19"/>
  <c r="D3759" i="19"/>
  <c r="D3758" i="19"/>
  <c r="D3757" i="19"/>
  <c r="D3756" i="19"/>
  <c r="D3755" i="19"/>
  <c r="D3754" i="19"/>
  <c r="D3753" i="19"/>
  <c r="D3752" i="19"/>
  <c r="D3751" i="19"/>
  <c r="D3750" i="19"/>
  <c r="D3749" i="19"/>
  <c r="D3748" i="19"/>
  <c r="D3747" i="19"/>
  <c r="D3746" i="19"/>
  <c r="D3745" i="19"/>
  <c r="D3744" i="19"/>
  <c r="D3743" i="19"/>
  <c r="D3742" i="19"/>
  <c r="D3741" i="19"/>
  <c r="D3740" i="19"/>
  <c r="D3739" i="19"/>
  <c r="D3738" i="19"/>
  <c r="D3737" i="19"/>
  <c r="D3736" i="19"/>
  <c r="D3735" i="19"/>
  <c r="D3734" i="19"/>
  <c r="D3733" i="19"/>
  <c r="D3732" i="19"/>
  <c r="D3731" i="19"/>
  <c r="D3730" i="19"/>
  <c r="D3729" i="19"/>
  <c r="D3728" i="19"/>
  <c r="D3727" i="19"/>
  <c r="D3726" i="19"/>
  <c r="D3724" i="19"/>
  <c r="D3725" i="19" s="1"/>
  <c r="D3723" i="19"/>
  <c r="D3722" i="19"/>
  <c r="D3721" i="19"/>
  <c r="D3720" i="19"/>
  <c r="D3719" i="19"/>
  <c r="D3718" i="19"/>
  <c r="D3717" i="19"/>
  <c r="D3716" i="19"/>
  <c r="D3715" i="19"/>
  <c r="D3714" i="19"/>
  <c r="D3713" i="19"/>
  <c r="D3712" i="19"/>
  <c r="D3711" i="19"/>
  <c r="D3710" i="19"/>
  <c r="D3709" i="19"/>
  <c r="D3708" i="19"/>
  <c r="D3707" i="19"/>
  <c r="D3706" i="19"/>
  <c r="D3705" i="19"/>
  <c r="D3704" i="19"/>
  <c r="D3703" i="19"/>
  <c r="D3702" i="19"/>
  <c r="D3701" i="19"/>
  <c r="D3700" i="19"/>
  <c r="D3699" i="19"/>
  <c r="D3698" i="19"/>
  <c r="D3697" i="19"/>
  <c r="D3695" i="19"/>
  <c r="D3696" i="19" s="1"/>
  <c r="D3694" i="19"/>
  <c r="D3693" i="19"/>
  <c r="D3692" i="19"/>
  <c r="D3691" i="19"/>
  <c r="D3690" i="19"/>
  <c r="D3689" i="19"/>
  <c r="D3688" i="19"/>
  <c r="D3687" i="19"/>
  <c r="D3686" i="19"/>
  <c r="D3685" i="19"/>
  <c r="D3684" i="19"/>
  <c r="D3683" i="19"/>
  <c r="D3682" i="19"/>
  <c r="D3681" i="19"/>
  <c r="D3680" i="19"/>
  <c r="D3679" i="19"/>
  <c r="D3678" i="19"/>
  <c r="D3677" i="19"/>
  <c r="D3676" i="19"/>
  <c r="D3675" i="19"/>
  <c r="D3674" i="19"/>
  <c r="D3673" i="19"/>
  <c r="D3672" i="19"/>
  <c r="D3670" i="19"/>
  <c r="D3671" i="19" s="1"/>
  <c r="D3669" i="19"/>
  <c r="D3668" i="19"/>
  <c r="D3667" i="19"/>
  <c r="D3666" i="19"/>
  <c r="D3665" i="19"/>
  <c r="D3664" i="19"/>
  <c r="D3663" i="19"/>
  <c r="D3662" i="19"/>
  <c r="D568" i="12" l="1"/>
  <c r="D567" i="12"/>
  <c r="D566" i="12"/>
  <c r="D565" i="12"/>
  <c r="D564" i="12"/>
  <c r="D563" i="12"/>
  <c r="D562" i="12"/>
  <c r="D561" i="12"/>
  <c r="D560" i="12"/>
  <c r="D559" i="12"/>
  <c r="D558" i="12"/>
  <c r="D557" i="12"/>
  <c r="E26" i="3"/>
  <c r="F26" i="3" s="1"/>
  <c r="G26" i="3" s="1"/>
  <c r="H26" i="3" s="1"/>
  <c r="E24" i="3"/>
  <c r="F24" i="3" s="1"/>
  <c r="G24" i="3" s="1"/>
  <c r="H24" i="3" s="1"/>
  <c r="E22" i="3"/>
  <c r="F22" i="3" s="1"/>
  <c r="G22" i="3" s="1"/>
  <c r="H22" i="3" s="1"/>
  <c r="B11" i="46" l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B23" i="46" s="1"/>
  <c r="B24" i="46" s="1"/>
  <c r="B25" i="46" s="1"/>
  <c r="B26" i="46" s="1"/>
  <c r="B27" i="46" s="1"/>
  <c r="B28" i="46" s="1"/>
  <c r="B29" i="46" s="1"/>
  <c r="B30" i="46" s="1"/>
  <c r="B31" i="46" s="1"/>
  <c r="B32" i="46" s="1"/>
  <c r="B33" i="46" s="1"/>
  <c r="B34" i="46" s="1"/>
  <c r="B35" i="46" s="1"/>
  <c r="B36" i="46" s="1"/>
  <c r="B37" i="46" s="1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17" i="42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W9" i="45" l="1"/>
  <c r="W7" i="45"/>
  <c r="W6" i="45"/>
  <c r="V5" i="45"/>
  <c r="W3" i="45"/>
  <c r="X3" i="45" s="1"/>
  <c r="W2" i="45"/>
  <c r="R9" i="45"/>
  <c r="R7" i="45"/>
  <c r="R6" i="45"/>
  <c r="Q5" i="45"/>
  <c r="R3" i="45"/>
  <c r="S3" i="45" s="1"/>
  <c r="R2" i="45"/>
  <c r="S2" i="45" s="1"/>
  <c r="M9" i="45"/>
  <c r="M7" i="45"/>
  <c r="M6" i="45"/>
  <c r="L5" i="45"/>
  <c r="M3" i="45"/>
  <c r="N3" i="45" s="1"/>
  <c r="M2" i="45"/>
  <c r="H9" i="45"/>
  <c r="H7" i="45"/>
  <c r="H6" i="45"/>
  <c r="G5" i="45"/>
  <c r="H3" i="45"/>
  <c r="I3" i="45" s="1"/>
  <c r="H2" i="45"/>
  <c r="N5" i="88"/>
  <c r="M5" i="88"/>
  <c r="L5" i="88"/>
  <c r="K5" i="88"/>
  <c r="J5" i="88"/>
  <c r="I5" i="88"/>
  <c r="H5" i="88"/>
  <c r="G5" i="88"/>
  <c r="F5" i="88"/>
  <c r="E5" i="88"/>
  <c r="D5" i="88"/>
  <c r="C5" i="88"/>
  <c r="L8" i="45"/>
  <c r="G8" i="45"/>
  <c r="V8" i="45"/>
  <c r="Q8" i="45"/>
  <c r="M5" i="45" l="1"/>
  <c r="H5" i="45"/>
  <c r="W5" i="45"/>
  <c r="S5" i="45"/>
  <c r="R5" i="45"/>
  <c r="N2" i="45"/>
  <c r="N5" i="45" s="1"/>
  <c r="X2" i="45"/>
  <c r="X5" i="45" s="1"/>
  <c r="I2" i="45"/>
  <c r="I5" i="45" s="1"/>
  <c r="G112" i="142"/>
  <c r="G112" i="143"/>
  <c r="F94" i="143" s="1"/>
  <c r="H112" i="143"/>
  <c r="BF111" i="143"/>
  <c r="N111" i="143"/>
  <c r="M111" i="143" s="1"/>
  <c r="H111" i="143"/>
  <c r="BF110" i="143"/>
  <c r="AV110" i="143"/>
  <c r="F110" i="143"/>
  <c r="BF109" i="143"/>
  <c r="AV109" i="143"/>
  <c r="BF108" i="143"/>
  <c r="AV108" i="143"/>
  <c r="AL108" i="143" s="1"/>
  <c r="BF107" i="143"/>
  <c r="AV107" i="143"/>
  <c r="BF106" i="143"/>
  <c r="AV106" i="143"/>
  <c r="BF105" i="143"/>
  <c r="AV105" i="143"/>
  <c r="BF104" i="143"/>
  <c r="AV104" i="143"/>
  <c r="BF103" i="143"/>
  <c r="AV103" i="143"/>
  <c r="BF102" i="143"/>
  <c r="AV102" i="143"/>
  <c r="H102" i="143"/>
  <c r="BF101" i="143"/>
  <c r="AV101" i="143"/>
  <c r="BF100" i="143"/>
  <c r="AV100" i="143"/>
  <c r="BF99" i="143"/>
  <c r="AV99" i="143"/>
  <c r="BF98" i="143"/>
  <c r="AV98" i="143"/>
  <c r="BF97" i="143"/>
  <c r="AV97" i="143"/>
  <c r="BF96" i="143"/>
  <c r="AV96" i="143"/>
  <c r="BF95" i="143"/>
  <c r="AV95" i="143"/>
  <c r="BF94" i="143"/>
  <c r="AV94" i="143"/>
  <c r="BF93" i="143"/>
  <c r="AV93" i="143"/>
  <c r="AQ93" i="143" s="1"/>
  <c r="BF92" i="143"/>
  <c r="AV92" i="143"/>
  <c r="BF91" i="143"/>
  <c r="AV91" i="143"/>
  <c r="BF90" i="143"/>
  <c r="AV90" i="143"/>
  <c r="BF89" i="143"/>
  <c r="AV89" i="143"/>
  <c r="AL89" i="143" s="1"/>
  <c r="BF88" i="143"/>
  <c r="AV88" i="143"/>
  <c r="BF87" i="143"/>
  <c r="AV87" i="143"/>
  <c r="AQ87" i="143" s="1"/>
  <c r="BF86" i="143"/>
  <c r="AV86" i="143"/>
  <c r="F86" i="143"/>
  <c r="BF85" i="143"/>
  <c r="AV85" i="143"/>
  <c r="BF84" i="143"/>
  <c r="AV84" i="143"/>
  <c r="BF83" i="143"/>
  <c r="AV83" i="143"/>
  <c r="H83" i="143"/>
  <c r="BF82" i="143"/>
  <c r="AV82" i="143"/>
  <c r="BF81" i="143"/>
  <c r="AV81" i="143"/>
  <c r="AL81" i="143" s="1"/>
  <c r="BF80" i="143"/>
  <c r="AV80" i="143"/>
  <c r="AL80" i="143" s="1"/>
  <c r="BF79" i="143"/>
  <c r="AQ79" i="143"/>
  <c r="AG79" i="143"/>
  <c r="H79" i="143"/>
  <c r="BF78" i="143"/>
  <c r="AV78" i="143"/>
  <c r="H78" i="143"/>
  <c r="BF77" i="143"/>
  <c r="AV77" i="143"/>
  <c r="BF76" i="143"/>
  <c r="AV76" i="143"/>
  <c r="H76" i="143"/>
  <c r="BF75" i="143"/>
  <c r="AV75" i="143"/>
  <c r="BF74" i="143"/>
  <c r="AV74" i="143"/>
  <c r="AL74" i="143" s="1"/>
  <c r="AQ74" i="143"/>
  <c r="BF73" i="143"/>
  <c r="AV73" i="143"/>
  <c r="BF72" i="143"/>
  <c r="AV72" i="143"/>
  <c r="AL72" i="143" s="1"/>
  <c r="AQ72" i="143"/>
  <c r="H72" i="143"/>
  <c r="BF71" i="143"/>
  <c r="AV71" i="143"/>
  <c r="F71" i="143"/>
  <c r="BF70" i="143"/>
  <c r="AV70" i="143"/>
  <c r="H70" i="143"/>
  <c r="BF69" i="143"/>
  <c r="AV69" i="143"/>
  <c r="BF68" i="143"/>
  <c r="AV68" i="143"/>
  <c r="AL68" i="143" s="1"/>
  <c r="BF67" i="143"/>
  <c r="AV67" i="143"/>
  <c r="H67" i="143"/>
  <c r="BF66" i="143"/>
  <c r="AV66" i="143"/>
  <c r="F66" i="143"/>
  <c r="BF65" i="143"/>
  <c r="AV65" i="143"/>
  <c r="H65" i="143"/>
  <c r="BF64" i="143"/>
  <c r="AV64" i="143"/>
  <c r="BF63" i="143"/>
  <c r="AV63" i="143"/>
  <c r="AL63" i="143" s="1"/>
  <c r="BF62" i="143"/>
  <c r="AV62" i="143"/>
  <c r="BF61" i="143"/>
  <c r="AV61" i="143"/>
  <c r="F61" i="143"/>
  <c r="BF60" i="143"/>
  <c r="AV60" i="143"/>
  <c r="F60" i="143"/>
  <c r="BF59" i="143"/>
  <c r="AV59" i="143"/>
  <c r="AQ59" i="143" s="1"/>
  <c r="BF58" i="143"/>
  <c r="AV58" i="143"/>
  <c r="AL58" i="143" s="1"/>
  <c r="AH58" i="143" s="1"/>
  <c r="F58" i="143"/>
  <c r="BF57" i="143"/>
  <c r="AV57" i="143"/>
  <c r="AQ57" i="143"/>
  <c r="H57" i="143"/>
  <c r="BF56" i="143"/>
  <c r="AV56" i="143"/>
  <c r="F56" i="143"/>
  <c r="BF55" i="143"/>
  <c r="AV55" i="143"/>
  <c r="AL55" i="143" s="1"/>
  <c r="F55" i="143"/>
  <c r="BF54" i="143"/>
  <c r="AV54" i="143"/>
  <c r="BF53" i="143"/>
  <c r="AV53" i="143"/>
  <c r="F53" i="143"/>
  <c r="BF52" i="143"/>
  <c r="AV52" i="143"/>
  <c r="H52" i="143"/>
  <c r="BF51" i="143"/>
  <c r="AV51" i="143"/>
  <c r="AL51" i="143"/>
  <c r="F51" i="143"/>
  <c r="BF50" i="143"/>
  <c r="AV50" i="143"/>
  <c r="AL50" i="143" s="1"/>
  <c r="F50" i="143"/>
  <c r="BF49" i="143"/>
  <c r="AQ49" i="143"/>
  <c r="AG49" i="143"/>
  <c r="H49" i="143"/>
  <c r="BF48" i="143"/>
  <c r="AV48" i="143"/>
  <c r="F48" i="143"/>
  <c r="BF47" i="143"/>
  <c r="AV47" i="143"/>
  <c r="F47" i="143"/>
  <c r="BF46" i="143"/>
  <c r="AV46" i="143"/>
  <c r="F46" i="143"/>
  <c r="BF45" i="143"/>
  <c r="AV45" i="143"/>
  <c r="F45" i="143"/>
  <c r="BF44" i="143"/>
  <c r="AV44" i="143"/>
  <c r="AQ44" i="143" s="1"/>
  <c r="BF43" i="143"/>
  <c r="AV43" i="143"/>
  <c r="F43" i="143"/>
  <c r="BF42" i="143"/>
  <c r="AV42" i="143"/>
  <c r="F42" i="143"/>
  <c r="BF41" i="143"/>
  <c r="AQ41" i="143"/>
  <c r="AG41" i="143"/>
  <c r="H41" i="143"/>
  <c r="BF40" i="143"/>
  <c r="AV40" i="143"/>
  <c r="F40" i="143"/>
  <c r="BF39" i="143"/>
  <c r="AV39" i="143"/>
  <c r="F39" i="143"/>
  <c r="BF38" i="143"/>
  <c r="AV38" i="143"/>
  <c r="H38" i="143"/>
  <c r="BF37" i="143"/>
  <c r="AV37" i="143"/>
  <c r="F37" i="143"/>
  <c r="BF36" i="143"/>
  <c r="AV36" i="143"/>
  <c r="F36" i="143"/>
  <c r="BF35" i="143"/>
  <c r="AV35" i="143"/>
  <c r="F35" i="143"/>
  <c r="BF34" i="143"/>
  <c r="AV34" i="143"/>
  <c r="F34" i="143"/>
  <c r="BF33" i="143"/>
  <c r="AQ33" i="143"/>
  <c r="AG33" i="143"/>
  <c r="H33" i="143"/>
  <c r="BF32" i="143"/>
  <c r="AV32" i="143"/>
  <c r="F32" i="143"/>
  <c r="BF31" i="143"/>
  <c r="AV31" i="143"/>
  <c r="F31" i="143"/>
  <c r="BF30" i="143"/>
  <c r="AV30" i="143"/>
  <c r="BE29" i="143"/>
  <c r="BD29" i="143"/>
  <c r="BF29" i="143" s="1"/>
  <c r="AV29" i="143"/>
  <c r="F29" i="143"/>
  <c r="BF28" i="143"/>
  <c r="AV28" i="143"/>
  <c r="F28" i="143"/>
  <c r="BF27" i="143"/>
  <c r="AV27" i="143"/>
  <c r="F27" i="143"/>
  <c r="BF26" i="143"/>
  <c r="AV26" i="143"/>
  <c r="F26" i="143"/>
  <c r="BF25" i="143"/>
  <c r="AV25" i="143"/>
  <c r="BF24" i="143"/>
  <c r="AV24" i="143"/>
  <c r="H24" i="143"/>
  <c r="BF23" i="143"/>
  <c r="AV23" i="143"/>
  <c r="F23" i="143"/>
  <c r="BF22" i="143"/>
  <c r="AV22" i="143"/>
  <c r="F22" i="143"/>
  <c r="BF21" i="143"/>
  <c r="AV21" i="143"/>
  <c r="F21" i="143"/>
  <c r="BF20" i="143"/>
  <c r="AV20" i="143"/>
  <c r="F20" i="143"/>
  <c r="BF19" i="143"/>
  <c r="AV19" i="143"/>
  <c r="BF18" i="143"/>
  <c r="AV18" i="143"/>
  <c r="F18" i="143"/>
  <c r="BF17" i="143"/>
  <c r="AV17" i="143"/>
  <c r="BF16" i="143"/>
  <c r="AV16" i="143"/>
  <c r="F16" i="143"/>
  <c r="BF15" i="143"/>
  <c r="AV15" i="143"/>
  <c r="BF14" i="143"/>
  <c r="AV14" i="143"/>
  <c r="H14" i="143"/>
  <c r="BF13" i="143"/>
  <c r="AV13" i="143"/>
  <c r="AL13" i="143" s="1"/>
  <c r="F13" i="143"/>
  <c r="BF12" i="143"/>
  <c r="AV12" i="143"/>
  <c r="F12" i="143"/>
  <c r="BF11" i="143"/>
  <c r="AV11" i="143"/>
  <c r="F11" i="143"/>
  <c r="BF10" i="143"/>
  <c r="AV10" i="143"/>
  <c r="F10" i="143"/>
  <c r="BF9" i="143"/>
  <c r="AV9" i="143"/>
  <c r="H9" i="143"/>
  <c r="BF8" i="143"/>
  <c r="AV8" i="143"/>
  <c r="F8" i="143"/>
  <c r="BF7" i="143"/>
  <c r="AV7" i="143"/>
  <c r="AU112" i="143"/>
  <c r="AT43" i="143" s="1"/>
  <c r="AA112" i="143"/>
  <c r="Z46" i="143" s="1"/>
  <c r="F7" i="143"/>
  <c r="R8" i="45"/>
  <c r="M8" i="45"/>
  <c r="H8" i="45"/>
  <c r="W8" i="45"/>
  <c r="AT40" i="143" l="1"/>
  <c r="F63" i="143"/>
  <c r="F68" i="143"/>
  <c r="F101" i="143"/>
  <c r="F108" i="143"/>
  <c r="AT42" i="143"/>
  <c r="AT12" i="143"/>
  <c r="AT23" i="143"/>
  <c r="F73" i="143"/>
  <c r="F75" i="143"/>
  <c r="F98" i="143"/>
  <c r="AT15" i="143"/>
  <c r="AT36" i="143"/>
  <c r="F64" i="143"/>
  <c r="F69" i="143"/>
  <c r="F74" i="143"/>
  <c r="F92" i="143"/>
  <c r="AT10" i="143"/>
  <c r="AT29" i="143"/>
  <c r="Z9" i="143"/>
  <c r="AL44" i="143"/>
  <c r="AB44" i="143" s="1"/>
  <c r="F62" i="143"/>
  <c r="F89" i="143"/>
  <c r="F96" i="143"/>
  <c r="AT9" i="143"/>
  <c r="F105" i="143"/>
  <c r="F90" i="143"/>
  <c r="F97" i="143"/>
  <c r="F100" i="143"/>
  <c r="F109" i="143"/>
  <c r="F82" i="143"/>
  <c r="F85" i="143"/>
  <c r="F88" i="143"/>
  <c r="F103" i="143"/>
  <c r="F106" i="143"/>
  <c r="F111" i="143"/>
  <c r="F81" i="143"/>
  <c r="F107" i="143"/>
  <c r="F84" i="143"/>
  <c r="AQ20" i="143"/>
  <c r="AL20" i="143"/>
  <c r="AL39" i="143"/>
  <c r="AQ10" i="143"/>
  <c r="AL10" i="143"/>
  <c r="AL22" i="143"/>
  <c r="AL26" i="143"/>
  <c r="AL11" i="143"/>
  <c r="AQ9" i="143"/>
  <c r="AL9" i="143"/>
  <c r="AL35" i="143"/>
  <c r="AL8" i="143"/>
  <c r="AL7" i="143"/>
  <c r="AL16" i="143"/>
  <c r="AH13" i="143"/>
  <c r="AB13" i="143"/>
  <c r="AL29" i="143"/>
  <c r="AQ31" i="143"/>
  <c r="AL31" i="143"/>
  <c r="Z21" i="143"/>
  <c r="AQ32" i="143"/>
  <c r="AL32" i="143"/>
  <c r="AQ24" i="143"/>
  <c r="AL24" i="143"/>
  <c r="AL40" i="143"/>
  <c r="BF112" i="143"/>
  <c r="BG106" i="143" s="1"/>
  <c r="AQ12" i="143"/>
  <c r="AL12" i="143"/>
  <c r="Z15" i="143"/>
  <c r="AQ15" i="143"/>
  <c r="AL15" i="143"/>
  <c r="AQ19" i="143"/>
  <c r="AL19" i="143"/>
  <c r="Z20" i="143"/>
  <c r="AL23" i="143"/>
  <c r="AT26" i="143"/>
  <c r="AT34" i="143"/>
  <c r="AL36" i="143"/>
  <c r="AQ42" i="143"/>
  <c r="AL42" i="143"/>
  <c r="AT47" i="143"/>
  <c r="AH51" i="143"/>
  <c r="AB51" i="143"/>
  <c r="AL27" i="143"/>
  <c r="Z48" i="143"/>
  <c r="AK112" i="143"/>
  <c r="AJ11" i="143" s="1"/>
  <c r="AT7" i="143"/>
  <c r="Z10" i="143"/>
  <c r="AQ13" i="143"/>
  <c r="AT16" i="143"/>
  <c r="AT22" i="143"/>
  <c r="Z27" i="143"/>
  <c r="AT31" i="143"/>
  <c r="AL34" i="143"/>
  <c r="AT38" i="143"/>
  <c r="Z28" i="143"/>
  <c r="AL46" i="143"/>
  <c r="Z8" i="143"/>
  <c r="Z12" i="143"/>
  <c r="AT110" i="143"/>
  <c r="AT95" i="143"/>
  <c r="AT98" i="143"/>
  <c r="AT91" i="143"/>
  <c r="AT82" i="143"/>
  <c r="AT84" i="143"/>
  <c r="AT89" i="143"/>
  <c r="AT81" i="143"/>
  <c r="AT71" i="143"/>
  <c r="AT70" i="143"/>
  <c r="AT67" i="143"/>
  <c r="AT77" i="143"/>
  <c r="AT75" i="143"/>
  <c r="AT80" i="143"/>
  <c r="AT74" i="143"/>
  <c r="AT61" i="143"/>
  <c r="AT58" i="143"/>
  <c r="AG58" i="143" s="1"/>
  <c r="AT57" i="143"/>
  <c r="AT64" i="143"/>
  <c r="AT53" i="143"/>
  <c r="AT52" i="143"/>
  <c r="AT51" i="143"/>
  <c r="AT69" i="143"/>
  <c r="AT72" i="143"/>
  <c r="AT44" i="143"/>
  <c r="AT56" i="143"/>
  <c r="AT39" i="143"/>
  <c r="AT25" i="143"/>
  <c r="AT20" i="143"/>
  <c r="AT19" i="143"/>
  <c r="AT11" i="143"/>
  <c r="AT37" i="143"/>
  <c r="AT28" i="143"/>
  <c r="AT8" i="143"/>
  <c r="AT13" i="143"/>
  <c r="Z16" i="143"/>
  <c r="AT17" i="143"/>
  <c r="AT18" i="143"/>
  <c r="AT21" i="143"/>
  <c r="Z23" i="143"/>
  <c r="Z24" i="143"/>
  <c r="AQ38" i="143"/>
  <c r="AL38" i="143"/>
  <c r="AL48" i="143"/>
  <c r="AQ17" i="143"/>
  <c r="AL17" i="143"/>
  <c r="Z19" i="143"/>
  <c r="AQ25" i="143"/>
  <c r="AL25" i="143"/>
  <c r="AL37" i="143"/>
  <c r="AQ37" i="143"/>
  <c r="AH44" i="143"/>
  <c r="Z109" i="143"/>
  <c r="Z99" i="143"/>
  <c r="Z108" i="143"/>
  <c r="Z86" i="143"/>
  <c r="Z94" i="143"/>
  <c r="Z88" i="143"/>
  <c r="Z90" i="143"/>
  <c r="Z87" i="143"/>
  <c r="Z81" i="143"/>
  <c r="Z77" i="143"/>
  <c r="Z92" i="143"/>
  <c r="Z76" i="143"/>
  <c r="Z84" i="143"/>
  <c r="Z69" i="143"/>
  <c r="Z95" i="143"/>
  <c r="Z72" i="143"/>
  <c r="Z73" i="143"/>
  <c r="Z70" i="143"/>
  <c r="Z71" i="143"/>
  <c r="Z67" i="143"/>
  <c r="Z63" i="143"/>
  <c r="Z82" i="143"/>
  <c r="Z58" i="143"/>
  <c r="Z52" i="143"/>
  <c r="Z68" i="143"/>
  <c r="Z59" i="143"/>
  <c r="Z55" i="143"/>
  <c r="Z49" i="143"/>
  <c r="Z50" i="143"/>
  <c r="Z37" i="143"/>
  <c r="Z54" i="143"/>
  <c r="Z44" i="143"/>
  <c r="Z32" i="143"/>
  <c r="Z31" i="143"/>
  <c r="Z30" i="143"/>
  <c r="Z29" i="143"/>
  <c r="Z26" i="143"/>
  <c r="Z13" i="143"/>
  <c r="Z25" i="143"/>
  <c r="AJ26" i="143"/>
  <c r="Q112" i="143"/>
  <c r="P34" i="143" s="1"/>
  <c r="BG16" i="143"/>
  <c r="Z18" i="143"/>
  <c r="AQ18" i="143"/>
  <c r="AL18" i="143"/>
  <c r="AL21" i="143"/>
  <c r="Z22" i="143"/>
  <c r="P28" i="143"/>
  <c r="C28" i="143" s="1"/>
  <c r="AL28" i="143"/>
  <c r="Z40" i="143"/>
  <c r="AT45" i="143"/>
  <c r="P47" i="143"/>
  <c r="AQ14" i="143"/>
  <c r="AQ30" i="143"/>
  <c r="AL30" i="143"/>
  <c r="P16" i="143"/>
  <c r="AJ18" i="143"/>
  <c r="Z35" i="143"/>
  <c r="Z17" i="143"/>
  <c r="Z7" i="143"/>
  <c r="Z11" i="143"/>
  <c r="AT14" i="143"/>
  <c r="AJ19" i="143"/>
  <c r="AT24" i="143"/>
  <c r="AT27" i="143"/>
  <c r="AT30" i="143"/>
  <c r="AT32" i="143"/>
  <c r="AL53" i="143"/>
  <c r="AB55" i="143"/>
  <c r="AH55" i="143"/>
  <c r="Z42" i="143"/>
  <c r="Z43" i="143"/>
  <c r="Z53" i="143"/>
  <c r="Z34" i="143"/>
  <c r="AQ43" i="143"/>
  <c r="AL43" i="143"/>
  <c r="P45" i="143"/>
  <c r="AJ48" i="143"/>
  <c r="AJ50" i="143"/>
  <c r="Z64" i="143"/>
  <c r="Z39" i="143"/>
  <c r="Z47" i="143"/>
  <c r="AL47" i="143"/>
  <c r="AB58" i="143"/>
  <c r="BG58" i="143"/>
  <c r="AQ58" i="143" s="1"/>
  <c r="AT60" i="143"/>
  <c r="Z36" i="143"/>
  <c r="Z38" i="143"/>
  <c r="AJ40" i="143"/>
  <c r="P50" i="143"/>
  <c r="BG51" i="143"/>
  <c r="AQ51" i="143" s="1"/>
  <c r="AJ58" i="143"/>
  <c r="Z45" i="143"/>
  <c r="AL45" i="143"/>
  <c r="AT48" i="143"/>
  <c r="AT35" i="143"/>
  <c r="P36" i="143"/>
  <c r="AH50" i="143"/>
  <c r="AB50" i="143"/>
  <c r="AJ52" i="143"/>
  <c r="AT54" i="143"/>
  <c r="AT62" i="143"/>
  <c r="AT46" i="143"/>
  <c r="AQ54" i="143"/>
  <c r="AL54" i="143"/>
  <c r="AH68" i="143"/>
  <c r="AB68" i="143"/>
  <c r="AQ67" i="143"/>
  <c r="AL67" i="143"/>
  <c r="AT50" i="143"/>
  <c r="Z51" i="143"/>
  <c r="AT55" i="143"/>
  <c r="AQ60" i="143"/>
  <c r="AL60" i="143"/>
  <c r="Z61" i="143"/>
  <c r="AQ88" i="143"/>
  <c r="AL88" i="143"/>
  <c r="P56" i="143"/>
  <c r="AL64" i="143"/>
  <c r="AQ65" i="143"/>
  <c r="AL65" i="143"/>
  <c r="AQ66" i="143"/>
  <c r="AL66" i="143"/>
  <c r="AL69" i="143"/>
  <c r="AQ69" i="143"/>
  <c r="AL90" i="143"/>
  <c r="AL59" i="143"/>
  <c r="AQ70" i="143"/>
  <c r="AL70" i="143"/>
  <c r="AH89" i="143"/>
  <c r="AG89" i="143" s="1"/>
  <c r="AB89" i="143"/>
  <c r="AL52" i="143"/>
  <c r="AQ52" i="143"/>
  <c r="AT59" i="143"/>
  <c r="AQ61" i="143"/>
  <c r="AL61" i="143"/>
  <c r="AH63" i="143"/>
  <c r="AB63" i="143"/>
  <c r="AT68" i="143"/>
  <c r="AL73" i="143"/>
  <c r="AQ95" i="143"/>
  <c r="AL95" i="143"/>
  <c r="Z56" i="143"/>
  <c r="AL56" i="143"/>
  <c r="Z60" i="143"/>
  <c r="BG50" i="143"/>
  <c r="AJ51" i="143"/>
  <c r="AT63" i="143"/>
  <c r="Z65" i="143"/>
  <c r="AQ71" i="143"/>
  <c r="AL71" i="143"/>
  <c r="AB74" i="143"/>
  <c r="AH74" i="143"/>
  <c r="AG74" i="143" s="1"/>
  <c r="AT86" i="143"/>
  <c r="AT65" i="143"/>
  <c r="Z66" i="143"/>
  <c r="AJ67" i="143"/>
  <c r="AQ75" i="143"/>
  <c r="AL75" i="143"/>
  <c r="AL86" i="143"/>
  <c r="AL91" i="143"/>
  <c r="AQ91" i="143"/>
  <c r="AL62" i="143"/>
  <c r="AH72" i="143"/>
  <c r="AG72" i="143" s="1"/>
  <c r="AB72" i="143"/>
  <c r="AH81" i="143"/>
  <c r="AG81" i="143" s="1"/>
  <c r="AB81" i="143"/>
  <c r="AL94" i="143"/>
  <c r="Z62" i="143"/>
  <c r="P64" i="143"/>
  <c r="AT66" i="143"/>
  <c r="Z74" i="143"/>
  <c r="Z75" i="143"/>
  <c r="AL82" i="143"/>
  <c r="AJ68" i="143"/>
  <c r="AJ72" i="143"/>
  <c r="AQ78" i="143"/>
  <c r="AL78" i="143"/>
  <c r="AB80" i="143"/>
  <c r="AT78" i="143"/>
  <c r="AQ80" i="143"/>
  <c r="AJ81" i="143"/>
  <c r="AT85" i="143"/>
  <c r="AT101" i="143"/>
  <c r="AT76" i="143"/>
  <c r="AQ85" i="143"/>
  <c r="AL85" i="143"/>
  <c r="AL87" i="143"/>
  <c r="AL92" i="143"/>
  <c r="Z93" i="143"/>
  <c r="AL96" i="143"/>
  <c r="AL76" i="143"/>
  <c r="AQ76" i="143"/>
  <c r="Z78" i="143"/>
  <c r="AQ81" i="143"/>
  <c r="AT83" i="143"/>
  <c r="AT87" i="143"/>
  <c r="P92" i="143"/>
  <c r="AT99" i="143"/>
  <c r="P73" i="143"/>
  <c r="Z80" i="143"/>
  <c r="AL83" i="143"/>
  <c r="AQ83" i="143"/>
  <c r="Z85" i="143"/>
  <c r="AL93" i="143"/>
  <c r="AT73" i="143"/>
  <c r="AQ77" i="143"/>
  <c r="AL77" i="143"/>
  <c r="P82" i="143"/>
  <c r="AL84" i="143"/>
  <c r="BG97" i="143"/>
  <c r="AT108" i="143"/>
  <c r="P89" i="143"/>
  <c r="Z96" i="143"/>
  <c r="Z83" i="143"/>
  <c r="AJ85" i="143"/>
  <c r="AT92" i="143"/>
  <c r="AT93" i="143"/>
  <c r="Z97" i="143"/>
  <c r="AJ110" i="143"/>
  <c r="Z91" i="143"/>
  <c r="AT94" i="143"/>
  <c r="AJ96" i="143"/>
  <c r="Z100" i="143"/>
  <c r="AT88" i="143"/>
  <c r="Z89" i="143"/>
  <c r="AT90" i="143"/>
  <c r="AL97" i="143"/>
  <c r="AQ99" i="143"/>
  <c r="AL99" i="143"/>
  <c r="AL101" i="143"/>
  <c r="Z102" i="143"/>
  <c r="AT103" i="143"/>
  <c r="Z104" i="143"/>
  <c r="AT105" i="143"/>
  <c r="Z106" i="143"/>
  <c r="AT107" i="143"/>
  <c r="AL103" i="143"/>
  <c r="AL105" i="143"/>
  <c r="AL107" i="143"/>
  <c r="AL110" i="143"/>
  <c r="AQ98" i="143"/>
  <c r="AL98" i="143"/>
  <c r="Z101" i="143"/>
  <c r="P110" i="143"/>
  <c r="P97" i="143"/>
  <c r="AT100" i="143"/>
  <c r="AT109" i="143"/>
  <c r="AT96" i="143"/>
  <c r="AT97" i="143"/>
  <c r="Z98" i="143"/>
  <c r="P100" i="143"/>
  <c r="AL100" i="143"/>
  <c r="AJ101" i="143"/>
  <c r="AT102" i="143"/>
  <c r="Z103" i="143"/>
  <c r="AT104" i="143"/>
  <c r="Z105" i="143"/>
  <c r="AT106" i="143"/>
  <c r="Z107" i="143"/>
  <c r="AL109" i="143"/>
  <c r="Z110" i="143"/>
  <c r="AQ102" i="143"/>
  <c r="AL102" i="143"/>
  <c r="AL104" i="143"/>
  <c r="AL106" i="143"/>
  <c r="AB108" i="143"/>
  <c r="AH108" i="143"/>
  <c r="H112" i="142"/>
  <c r="BF111" i="142"/>
  <c r="N111" i="142"/>
  <c r="M111" i="142" s="1"/>
  <c r="H111" i="142"/>
  <c r="F111" i="142"/>
  <c r="BF110" i="142"/>
  <c r="AV110" i="142"/>
  <c r="AL110" i="142" s="1"/>
  <c r="AB110" i="142"/>
  <c r="F110" i="142"/>
  <c r="BF109" i="142"/>
  <c r="AV109" i="142"/>
  <c r="F109" i="142"/>
  <c r="BF108" i="142"/>
  <c r="AV108" i="142"/>
  <c r="F108" i="142"/>
  <c r="BF107" i="142"/>
  <c r="AV107" i="142"/>
  <c r="AL107" i="142" s="1"/>
  <c r="AB107" i="142" s="1"/>
  <c r="F107" i="142"/>
  <c r="BF106" i="142"/>
  <c r="AV106" i="142"/>
  <c r="F106" i="142"/>
  <c r="BF105" i="142"/>
  <c r="AV105" i="142"/>
  <c r="F105" i="142"/>
  <c r="BF104" i="142"/>
  <c r="AV104" i="142"/>
  <c r="BF103" i="142"/>
  <c r="AV103" i="142"/>
  <c r="F103" i="142"/>
  <c r="BF102" i="142"/>
  <c r="AV102" i="142"/>
  <c r="H102" i="142"/>
  <c r="BF101" i="142"/>
  <c r="AV101" i="142"/>
  <c r="AL101" i="142" s="1"/>
  <c r="AB101" i="142"/>
  <c r="F101" i="142"/>
  <c r="BF100" i="142"/>
  <c r="AV100" i="142"/>
  <c r="F100" i="142"/>
  <c r="BF99" i="142"/>
  <c r="AV99" i="142"/>
  <c r="BF98" i="142"/>
  <c r="AV98" i="142"/>
  <c r="F98" i="142"/>
  <c r="BF97" i="142"/>
  <c r="AV97" i="142"/>
  <c r="F97" i="142"/>
  <c r="BF96" i="142"/>
  <c r="AV96" i="142"/>
  <c r="AL96" i="142" s="1"/>
  <c r="AB96" i="142" s="1"/>
  <c r="F96" i="142"/>
  <c r="BF95" i="142"/>
  <c r="AV95" i="142"/>
  <c r="BF94" i="142"/>
  <c r="AV94" i="142"/>
  <c r="F94" i="142"/>
  <c r="BF93" i="142"/>
  <c r="AV93" i="142"/>
  <c r="BF92" i="142"/>
  <c r="AV92" i="142"/>
  <c r="AL92" i="142"/>
  <c r="F92" i="142"/>
  <c r="BF91" i="142"/>
  <c r="AV91" i="142"/>
  <c r="BF90" i="142"/>
  <c r="AV90" i="142"/>
  <c r="F90" i="142"/>
  <c r="BF89" i="142"/>
  <c r="AV89" i="142"/>
  <c r="AL89" i="142" s="1"/>
  <c r="F89" i="142"/>
  <c r="BF88" i="142"/>
  <c r="AV88" i="142"/>
  <c r="F88" i="142"/>
  <c r="BF87" i="142"/>
  <c r="AV87" i="142"/>
  <c r="AQ87" i="142"/>
  <c r="AL87" i="142"/>
  <c r="BF86" i="142"/>
  <c r="AV86" i="142"/>
  <c r="F86" i="142"/>
  <c r="BF85" i="142"/>
  <c r="AV85" i="142"/>
  <c r="F85" i="142"/>
  <c r="BF84" i="142"/>
  <c r="AV84" i="142"/>
  <c r="F84" i="142"/>
  <c r="BF83" i="142"/>
  <c r="AV83" i="142"/>
  <c r="H83" i="142"/>
  <c r="BF82" i="142"/>
  <c r="AV82" i="142"/>
  <c r="F82" i="142"/>
  <c r="BF81" i="142"/>
  <c r="AV81" i="142"/>
  <c r="AL81" i="142" s="1"/>
  <c r="AQ81" i="142"/>
  <c r="F81" i="142"/>
  <c r="BF80" i="142"/>
  <c r="AV80" i="142"/>
  <c r="BF79" i="142"/>
  <c r="AQ79" i="142"/>
  <c r="AG79" i="142"/>
  <c r="H79" i="142"/>
  <c r="BF78" i="142"/>
  <c r="AV78" i="142"/>
  <c r="AL78" i="142" s="1"/>
  <c r="AQ78" i="142"/>
  <c r="H78" i="142"/>
  <c r="BF77" i="142"/>
  <c r="AV77" i="142"/>
  <c r="BF76" i="142"/>
  <c r="AV76" i="142"/>
  <c r="H76" i="142"/>
  <c r="BF75" i="142"/>
  <c r="AV75" i="142"/>
  <c r="AQ75" i="142" s="1"/>
  <c r="F75" i="142"/>
  <c r="BF74" i="142"/>
  <c r="AV74" i="142"/>
  <c r="F74" i="142"/>
  <c r="BF73" i="142"/>
  <c r="AV73" i="142"/>
  <c r="F73" i="142"/>
  <c r="BF72" i="142"/>
  <c r="AV72" i="142"/>
  <c r="H72" i="142"/>
  <c r="BF71" i="142"/>
  <c r="AV71" i="142"/>
  <c r="F71" i="142"/>
  <c r="BF70" i="142"/>
  <c r="AV70" i="142"/>
  <c r="H70" i="142"/>
  <c r="BF69" i="142"/>
  <c r="AV69" i="142"/>
  <c r="AL69" i="142" s="1"/>
  <c r="AQ69" i="142"/>
  <c r="F69" i="142"/>
  <c r="BF68" i="142"/>
  <c r="AV68" i="142"/>
  <c r="F68" i="142"/>
  <c r="BF67" i="142"/>
  <c r="AV67" i="142"/>
  <c r="H67" i="142"/>
  <c r="BF66" i="142"/>
  <c r="AV66" i="142"/>
  <c r="F66" i="142"/>
  <c r="BF65" i="142"/>
  <c r="AV65" i="142"/>
  <c r="H65" i="142"/>
  <c r="BF64" i="142"/>
  <c r="AV64" i="142"/>
  <c r="F64" i="142"/>
  <c r="BF63" i="142"/>
  <c r="AV63" i="142"/>
  <c r="F63" i="142"/>
  <c r="BF62" i="142"/>
  <c r="AV62" i="142"/>
  <c r="F62" i="142"/>
  <c r="BF61" i="142"/>
  <c r="AV61" i="142"/>
  <c r="F61" i="142"/>
  <c r="BF60" i="142"/>
  <c r="AV60" i="142"/>
  <c r="F60" i="142"/>
  <c r="BF59" i="142"/>
  <c r="AV59" i="142"/>
  <c r="BF58" i="142"/>
  <c r="AV58" i="142"/>
  <c r="AL58" i="142" s="1"/>
  <c r="F58" i="142"/>
  <c r="BF57" i="142"/>
  <c r="AV57" i="142"/>
  <c r="AQ57" i="142"/>
  <c r="H57" i="142"/>
  <c r="BF56" i="142"/>
  <c r="AV56" i="142"/>
  <c r="F56" i="142"/>
  <c r="BF55" i="142"/>
  <c r="AV55" i="142"/>
  <c r="F55" i="142"/>
  <c r="BF54" i="142"/>
  <c r="AV54" i="142"/>
  <c r="BF53" i="142"/>
  <c r="AV53" i="142"/>
  <c r="AL53" i="142" s="1"/>
  <c r="F53" i="142"/>
  <c r="BF52" i="142"/>
  <c r="AV52" i="142"/>
  <c r="AL52" i="142" s="1"/>
  <c r="H52" i="142"/>
  <c r="BF51" i="142"/>
  <c r="AV51" i="142"/>
  <c r="F51" i="142"/>
  <c r="BF50" i="142"/>
  <c r="AV50" i="142"/>
  <c r="F50" i="142"/>
  <c r="BF49" i="142"/>
  <c r="AQ49" i="142"/>
  <c r="AG49" i="142"/>
  <c r="H49" i="142"/>
  <c r="BF48" i="142"/>
  <c r="AV48" i="142"/>
  <c r="F48" i="142"/>
  <c r="BF47" i="142"/>
  <c r="AV47" i="142"/>
  <c r="F47" i="142"/>
  <c r="BF46" i="142"/>
  <c r="AV46" i="142"/>
  <c r="F46" i="142"/>
  <c r="BF45" i="142"/>
  <c r="AV45" i="142"/>
  <c r="F45" i="142"/>
  <c r="BF44" i="142"/>
  <c r="AV44" i="142"/>
  <c r="BF43" i="142"/>
  <c r="AV43" i="142"/>
  <c r="F43" i="142"/>
  <c r="BF42" i="142"/>
  <c r="AV42" i="142"/>
  <c r="F42" i="142"/>
  <c r="BF41" i="142"/>
  <c r="AQ41" i="142"/>
  <c r="AG41" i="142"/>
  <c r="H41" i="142"/>
  <c r="BF40" i="142"/>
  <c r="AV40" i="142"/>
  <c r="F40" i="142"/>
  <c r="BF39" i="142"/>
  <c r="AV39" i="142"/>
  <c r="F39" i="142"/>
  <c r="BF38" i="142"/>
  <c r="AV38" i="142"/>
  <c r="H38" i="142"/>
  <c r="BF37" i="142"/>
  <c r="AV37" i="142"/>
  <c r="F37" i="142"/>
  <c r="BF36" i="142"/>
  <c r="AV36" i="142"/>
  <c r="F36" i="142"/>
  <c r="BF35" i="142"/>
  <c r="AV35" i="142"/>
  <c r="F35" i="142"/>
  <c r="BF34" i="142"/>
  <c r="AV34" i="142"/>
  <c r="F34" i="142"/>
  <c r="BF33" i="142"/>
  <c r="AQ33" i="142"/>
  <c r="AG33" i="142"/>
  <c r="H33" i="142"/>
  <c r="BF32" i="142"/>
  <c r="AV32" i="142"/>
  <c r="F32" i="142"/>
  <c r="BF31" i="142"/>
  <c r="AV31" i="142"/>
  <c r="F31" i="142"/>
  <c r="BF30" i="142"/>
  <c r="AV30" i="142"/>
  <c r="BE29" i="142"/>
  <c r="BF29" i="142" s="1"/>
  <c r="BD29" i="142"/>
  <c r="AV29" i="142"/>
  <c r="F29" i="142"/>
  <c r="BF28" i="142"/>
  <c r="AV28" i="142"/>
  <c r="AL28" i="142" s="1"/>
  <c r="F28" i="142"/>
  <c r="BF27" i="142"/>
  <c r="AV27" i="142"/>
  <c r="F27" i="142"/>
  <c r="BF26" i="142"/>
  <c r="AV26" i="142"/>
  <c r="F26" i="142"/>
  <c r="BF25" i="142"/>
  <c r="AV25" i="142"/>
  <c r="AQ25" i="142" s="1"/>
  <c r="BF24" i="142"/>
  <c r="AV24" i="142"/>
  <c r="H24" i="142"/>
  <c r="BF23" i="142"/>
  <c r="AV23" i="142"/>
  <c r="F23" i="142"/>
  <c r="BF22" i="142"/>
  <c r="AV22" i="142"/>
  <c r="F22" i="142"/>
  <c r="BF21" i="142"/>
  <c r="AV21" i="142"/>
  <c r="F21" i="142"/>
  <c r="BF20" i="142"/>
  <c r="AV20" i="142"/>
  <c r="AQ20" i="142" s="1"/>
  <c r="AL20" i="142"/>
  <c r="F20" i="142"/>
  <c r="BF19" i="142"/>
  <c r="AV19" i="142"/>
  <c r="AQ19" i="142" s="1"/>
  <c r="BF18" i="142"/>
  <c r="AV18" i="142"/>
  <c r="F18" i="142"/>
  <c r="BF17" i="142"/>
  <c r="AV17" i="142"/>
  <c r="AL17" i="142"/>
  <c r="BF16" i="142"/>
  <c r="AV16" i="142"/>
  <c r="AL16" i="142" s="1"/>
  <c r="F16" i="142"/>
  <c r="BF15" i="142"/>
  <c r="AV15" i="142"/>
  <c r="BF14" i="142"/>
  <c r="AV14" i="142"/>
  <c r="H14" i="142"/>
  <c r="BF13" i="142"/>
  <c r="AV13" i="142"/>
  <c r="F13" i="142"/>
  <c r="BF12" i="142"/>
  <c r="AV12" i="142"/>
  <c r="F12" i="142"/>
  <c r="BF11" i="142"/>
  <c r="AV11" i="142"/>
  <c r="F11" i="142"/>
  <c r="BF10" i="142"/>
  <c r="AV10" i="142"/>
  <c r="F10" i="142"/>
  <c r="BF9" i="142"/>
  <c r="AV9" i="142"/>
  <c r="H9" i="142"/>
  <c r="BF8" i="142"/>
  <c r="AV8" i="142"/>
  <c r="F8" i="142"/>
  <c r="BF7" i="142"/>
  <c r="AV7" i="142"/>
  <c r="Q112" i="142"/>
  <c r="P22" i="142" s="1"/>
  <c r="F7" i="142"/>
  <c r="P11" i="142" l="1"/>
  <c r="P12" i="142"/>
  <c r="P26" i="142"/>
  <c r="AL75" i="142"/>
  <c r="P8" i="142"/>
  <c r="BG92" i="143"/>
  <c r="AJ103" i="143"/>
  <c r="AJ60" i="143"/>
  <c r="AJ77" i="143"/>
  <c r="AJ37" i="143"/>
  <c r="AJ69" i="143"/>
  <c r="AJ29" i="143"/>
  <c r="AJ16" i="143"/>
  <c r="AJ24" i="143"/>
  <c r="AJ9" i="143"/>
  <c r="AJ35" i="143"/>
  <c r="AJ86" i="143"/>
  <c r="AJ89" i="143"/>
  <c r="AJ75" i="143"/>
  <c r="AJ71" i="143"/>
  <c r="AJ64" i="143"/>
  <c r="AJ15" i="143"/>
  <c r="AJ10" i="143"/>
  <c r="AG13" i="143"/>
  <c r="AJ20" i="143"/>
  <c r="AJ70" i="143"/>
  <c r="AJ54" i="143"/>
  <c r="AJ53" i="143"/>
  <c r="AG50" i="143"/>
  <c r="AJ32" i="143"/>
  <c r="AJ12" i="143"/>
  <c r="AG108" i="143"/>
  <c r="BG108" i="143"/>
  <c r="AQ108" i="143" s="1"/>
  <c r="AJ90" i="143"/>
  <c r="AJ74" i="143"/>
  <c r="AJ92" i="143"/>
  <c r="AJ80" i="143"/>
  <c r="AJ63" i="143"/>
  <c r="AJ55" i="143"/>
  <c r="AJ61" i="143"/>
  <c r="AJ46" i="143"/>
  <c r="P12" i="143"/>
  <c r="AJ23" i="143"/>
  <c r="AJ31" i="143"/>
  <c r="AJ30" i="143"/>
  <c r="AJ25" i="143"/>
  <c r="AH102" i="143"/>
  <c r="AG102" i="143" s="1"/>
  <c r="AB102" i="143"/>
  <c r="AH42" i="143"/>
  <c r="AG42" i="143" s="1"/>
  <c r="AB42" i="143"/>
  <c r="AB12" i="143"/>
  <c r="AH12" i="143"/>
  <c r="AG12" i="143" s="1"/>
  <c r="AH32" i="143"/>
  <c r="AG32" i="143" s="1"/>
  <c r="AB32" i="143"/>
  <c r="AH35" i="143"/>
  <c r="AG35" i="143" s="1"/>
  <c r="AB35" i="143"/>
  <c r="AB22" i="143"/>
  <c r="AH22" i="143"/>
  <c r="AG22" i="143" s="1"/>
  <c r="BG109" i="143"/>
  <c r="BG103" i="143"/>
  <c r="AB107" i="143"/>
  <c r="AH107" i="143"/>
  <c r="AG107" i="143" s="1"/>
  <c r="AB93" i="143"/>
  <c r="AH93" i="143"/>
  <c r="AG93" i="143" s="1"/>
  <c r="AH85" i="143"/>
  <c r="AG85" i="143" s="1"/>
  <c r="AB85" i="143"/>
  <c r="AB82" i="143"/>
  <c r="AH82" i="143"/>
  <c r="AG82" i="143" s="1"/>
  <c r="X72" i="143"/>
  <c r="AH86" i="143"/>
  <c r="AG86" i="143" s="1"/>
  <c r="AB86" i="143"/>
  <c r="AB73" i="143"/>
  <c r="AH73" i="143"/>
  <c r="AG73" i="143" s="1"/>
  <c r="BG55" i="143"/>
  <c r="AQ55" i="143" s="1"/>
  <c r="AB59" i="143"/>
  <c r="AH59" i="143"/>
  <c r="AG59" i="143" s="1"/>
  <c r="AH65" i="143"/>
  <c r="AG65" i="143" s="1"/>
  <c r="BG53" i="143"/>
  <c r="AQ50" i="143"/>
  <c r="BG35" i="143"/>
  <c r="AH53" i="143"/>
  <c r="AG53" i="143" s="1"/>
  <c r="AB53" i="143"/>
  <c r="AH30" i="143"/>
  <c r="AG30" i="143" s="1"/>
  <c r="AB30" i="143"/>
  <c r="AH28" i="143"/>
  <c r="AG28" i="143" s="1"/>
  <c r="AB28" i="143"/>
  <c r="AB46" i="143"/>
  <c r="AH46" i="143"/>
  <c r="AG46" i="143" s="1"/>
  <c r="AJ98" i="143"/>
  <c r="AJ109" i="143"/>
  <c r="AJ106" i="143"/>
  <c r="AJ104" i="143"/>
  <c r="AJ102" i="143"/>
  <c r="AJ99" i="143"/>
  <c r="AJ108" i="143"/>
  <c r="AJ107" i="143"/>
  <c r="AJ105" i="143"/>
  <c r="AJ97" i="143"/>
  <c r="AJ94" i="143"/>
  <c r="AJ88" i="143"/>
  <c r="AJ87" i="143"/>
  <c r="AJ100" i="143"/>
  <c r="AJ95" i="143"/>
  <c r="AJ93" i="143"/>
  <c r="AJ78" i="143"/>
  <c r="AJ83" i="143"/>
  <c r="AJ84" i="143"/>
  <c r="AJ82" i="143"/>
  <c r="AJ91" i="143"/>
  <c r="AJ76" i="143"/>
  <c r="AJ66" i="143"/>
  <c r="AJ56" i="143"/>
  <c r="AJ65" i="143"/>
  <c r="AJ73" i="143"/>
  <c r="AJ62" i="143"/>
  <c r="AJ59" i="143"/>
  <c r="AJ57" i="143"/>
  <c r="AJ47" i="143"/>
  <c r="AJ45" i="143"/>
  <c r="AJ43" i="143"/>
  <c r="AJ42" i="143"/>
  <c r="AJ44" i="143"/>
  <c r="AJ27" i="143"/>
  <c r="AJ36" i="143"/>
  <c r="AJ34" i="143"/>
  <c r="AJ22" i="143"/>
  <c r="AJ14" i="143"/>
  <c r="AJ7" i="143"/>
  <c r="AJ39" i="143"/>
  <c r="AJ8" i="143"/>
  <c r="AJ38" i="143"/>
  <c r="AJ28" i="143"/>
  <c r="AJ17" i="143"/>
  <c r="AJ21" i="143"/>
  <c r="AQ16" i="143"/>
  <c r="AQ35" i="143"/>
  <c r="AQ107" i="143"/>
  <c r="AH54" i="143"/>
  <c r="AG54" i="143" s="1"/>
  <c r="AB54" i="143"/>
  <c r="AH88" i="143"/>
  <c r="AG88" i="143" s="1"/>
  <c r="AB88" i="143"/>
  <c r="AH10" i="143"/>
  <c r="AG10" i="143" s="1"/>
  <c r="AB10" i="143"/>
  <c r="X108" i="143"/>
  <c r="W108" i="143" s="1"/>
  <c r="R108" i="143"/>
  <c r="AH109" i="143"/>
  <c r="AG109" i="143" s="1"/>
  <c r="AB109" i="143"/>
  <c r="BG107" i="143"/>
  <c r="AH98" i="143"/>
  <c r="AG98" i="143" s="1"/>
  <c r="AB98" i="143"/>
  <c r="AB105" i="143"/>
  <c r="AH105" i="143"/>
  <c r="AG105" i="143" s="1"/>
  <c r="AQ97" i="143"/>
  <c r="BG90" i="143"/>
  <c r="AB84" i="143"/>
  <c r="AH84" i="143"/>
  <c r="AG84" i="143" s="1"/>
  <c r="AH96" i="143"/>
  <c r="AG96" i="143" s="1"/>
  <c r="AB96" i="143"/>
  <c r="AH80" i="143"/>
  <c r="AG80" i="143" s="1"/>
  <c r="X74" i="143"/>
  <c r="W74" i="143" s="1"/>
  <c r="R74" i="143"/>
  <c r="AH90" i="143"/>
  <c r="AG90" i="143" s="1"/>
  <c r="AB90" i="143"/>
  <c r="AB64" i="143"/>
  <c r="AH64" i="143"/>
  <c r="AG64" i="143" s="1"/>
  <c r="R58" i="143"/>
  <c r="X58" i="143"/>
  <c r="W58" i="143" s="1"/>
  <c r="BG48" i="143"/>
  <c r="P111" i="143"/>
  <c r="P107" i="143"/>
  <c r="P105" i="143"/>
  <c r="P109" i="143"/>
  <c r="C109" i="143" s="1"/>
  <c r="P106" i="143"/>
  <c r="P96" i="143"/>
  <c r="P86" i="143"/>
  <c r="P94" i="143"/>
  <c r="P90" i="143"/>
  <c r="P84" i="143"/>
  <c r="P68" i="143"/>
  <c r="P62" i="143"/>
  <c r="P55" i="143"/>
  <c r="P48" i="143"/>
  <c r="P46" i="143"/>
  <c r="P51" i="143"/>
  <c r="P35" i="143"/>
  <c r="P39" i="143"/>
  <c r="P23" i="143"/>
  <c r="P21" i="143"/>
  <c r="P18" i="143"/>
  <c r="P8" i="143"/>
  <c r="P11" i="143"/>
  <c r="P26" i="143"/>
  <c r="P29" i="143"/>
  <c r="P13" i="143"/>
  <c r="AH27" i="143"/>
  <c r="AG27" i="143" s="1"/>
  <c r="AB27" i="143"/>
  <c r="AB19" i="143"/>
  <c r="AH19" i="143"/>
  <c r="AG19" i="143" s="1"/>
  <c r="AB40" i="143"/>
  <c r="AH40" i="143"/>
  <c r="AG40" i="143" s="1"/>
  <c r="AH31" i="143"/>
  <c r="AG31" i="143" s="1"/>
  <c r="AB31" i="143"/>
  <c r="BG29" i="143"/>
  <c r="AH99" i="143"/>
  <c r="AG99" i="143" s="1"/>
  <c r="AB99" i="143"/>
  <c r="AH16" i="143"/>
  <c r="AG16" i="143" s="1"/>
  <c r="AB16" i="143"/>
  <c r="AH106" i="143"/>
  <c r="AG106" i="143" s="1"/>
  <c r="AB106" i="143"/>
  <c r="AQ109" i="143"/>
  <c r="BG105" i="143"/>
  <c r="AQ105" i="143" s="1"/>
  <c r="AH103" i="143"/>
  <c r="AG103" i="143" s="1"/>
  <c r="AB103" i="143"/>
  <c r="AH94" i="143"/>
  <c r="AG94" i="143" s="1"/>
  <c r="AB94" i="143"/>
  <c r="AH62" i="143"/>
  <c r="AG62" i="143" s="1"/>
  <c r="AB62" i="143"/>
  <c r="AB71" i="143"/>
  <c r="AH71" i="143"/>
  <c r="AG71" i="143" s="1"/>
  <c r="AB56" i="143"/>
  <c r="AH56" i="143"/>
  <c r="AG56" i="143" s="1"/>
  <c r="X63" i="143"/>
  <c r="W63" i="143" s="1"/>
  <c r="R63" i="143"/>
  <c r="AQ90" i="143"/>
  <c r="AH45" i="143"/>
  <c r="AG45" i="143" s="1"/>
  <c r="AB45" i="143"/>
  <c r="BG40" i="143"/>
  <c r="AQ40" i="143" s="1"/>
  <c r="AH47" i="143"/>
  <c r="AG47" i="143" s="1"/>
  <c r="AB47" i="143"/>
  <c r="P22" i="143"/>
  <c r="AR112" i="143"/>
  <c r="AQ7" i="143"/>
  <c r="AQ112" i="143" s="1"/>
  <c r="R44" i="143"/>
  <c r="X44" i="143"/>
  <c r="AH97" i="143"/>
  <c r="AG97" i="143" s="1"/>
  <c r="AB97" i="143"/>
  <c r="AB75" i="143"/>
  <c r="AH75" i="143"/>
  <c r="AG75" i="143" s="1"/>
  <c r="AQ106" i="143"/>
  <c r="AH100" i="143"/>
  <c r="AG100" i="143" s="1"/>
  <c r="AB100" i="143"/>
  <c r="BG96" i="143"/>
  <c r="AQ96" i="143" s="1"/>
  <c r="AQ103" i="143"/>
  <c r="AH83" i="143"/>
  <c r="AG83" i="143" s="1"/>
  <c r="AB83" i="143"/>
  <c r="AG63" i="143"/>
  <c r="X89" i="143"/>
  <c r="W89" i="143" s="1"/>
  <c r="R89" i="143"/>
  <c r="AB60" i="143"/>
  <c r="AH60" i="143"/>
  <c r="AG60" i="143" s="1"/>
  <c r="X68" i="143"/>
  <c r="W68" i="143" s="1"/>
  <c r="R68" i="143"/>
  <c r="AH21" i="143"/>
  <c r="AG21" i="143" s="1"/>
  <c r="AB21" i="143"/>
  <c r="BG26" i="143"/>
  <c r="AQ26" i="143" s="1"/>
  <c r="AB48" i="143"/>
  <c r="AH48" i="143"/>
  <c r="AG48" i="143" s="1"/>
  <c r="R51" i="143"/>
  <c r="X51" i="143"/>
  <c r="W51" i="143" s="1"/>
  <c r="AB15" i="143"/>
  <c r="AH15" i="143"/>
  <c r="AG15" i="143" s="1"/>
  <c r="AH29" i="143"/>
  <c r="AG29" i="143" s="1"/>
  <c r="AB29" i="143"/>
  <c r="AH7" i="143"/>
  <c r="AB11" i="143"/>
  <c r="AH11" i="143"/>
  <c r="AG11" i="143" s="1"/>
  <c r="AH39" i="143"/>
  <c r="AG39" i="143" s="1"/>
  <c r="AB39" i="143"/>
  <c r="AH87" i="143"/>
  <c r="AG87" i="143" s="1"/>
  <c r="AB87" i="143"/>
  <c r="AH17" i="143"/>
  <c r="AG17" i="143" s="1"/>
  <c r="AB17" i="143"/>
  <c r="AB36" i="143"/>
  <c r="AH36" i="143"/>
  <c r="AG36" i="143" s="1"/>
  <c r="AH104" i="143"/>
  <c r="AG104" i="143" s="1"/>
  <c r="AB104" i="143"/>
  <c r="BG101" i="143"/>
  <c r="AQ101" i="143"/>
  <c r="AH77" i="143"/>
  <c r="AG77" i="143" s="1"/>
  <c r="AB77" i="143"/>
  <c r="AH92" i="143"/>
  <c r="AG92" i="143" s="1"/>
  <c r="AB92" i="143"/>
  <c r="X81" i="143"/>
  <c r="W81" i="143" s="1"/>
  <c r="R81" i="143"/>
  <c r="AB61" i="143"/>
  <c r="AH61" i="143"/>
  <c r="AG61" i="143" s="1"/>
  <c r="AH69" i="143"/>
  <c r="AG69" i="143" s="1"/>
  <c r="AB69" i="143"/>
  <c r="AG68" i="143"/>
  <c r="AG55" i="143"/>
  <c r="AB25" i="143"/>
  <c r="AH25" i="143"/>
  <c r="AG25" i="143" s="1"/>
  <c r="AQ48" i="143"/>
  <c r="AG51" i="143"/>
  <c r="AQ29" i="143"/>
  <c r="AH26" i="143"/>
  <c r="AG26" i="143" s="1"/>
  <c r="AB26" i="143"/>
  <c r="AB20" i="143"/>
  <c r="AH20" i="143"/>
  <c r="AG20" i="143" s="1"/>
  <c r="AQ53" i="143"/>
  <c r="X80" i="143"/>
  <c r="W80" i="143" s="1"/>
  <c r="R80" i="143"/>
  <c r="AH37" i="143"/>
  <c r="AG37" i="143" s="1"/>
  <c r="AB37" i="143"/>
  <c r="BG104" i="143"/>
  <c r="AQ104" i="143" s="1"/>
  <c r="BG110" i="143"/>
  <c r="AQ110" i="143" s="1"/>
  <c r="BG94" i="143"/>
  <c r="AQ94" i="143" s="1"/>
  <c r="BG89" i="143"/>
  <c r="AQ89" i="143" s="1"/>
  <c r="BG86" i="143"/>
  <c r="AQ86" i="143" s="1"/>
  <c r="BG82" i="143"/>
  <c r="AQ82" i="143" s="1"/>
  <c r="BG73" i="143"/>
  <c r="AQ73" i="143" s="1"/>
  <c r="BG62" i="143"/>
  <c r="AQ62" i="143" s="1"/>
  <c r="BG63" i="143"/>
  <c r="AQ63" i="143" s="1"/>
  <c r="BG64" i="143"/>
  <c r="AQ64" i="143" s="1"/>
  <c r="BG68" i="143"/>
  <c r="AQ68" i="143" s="1"/>
  <c r="BG84" i="143"/>
  <c r="AQ84" i="143" s="1"/>
  <c r="BG36" i="143"/>
  <c r="AQ36" i="143" s="1"/>
  <c r="BG27" i="143"/>
  <c r="AQ27" i="143" s="1"/>
  <c r="BG47" i="143"/>
  <c r="AQ47" i="143" s="1"/>
  <c r="BG39" i="143"/>
  <c r="AQ39" i="143" s="1"/>
  <c r="BG22" i="143"/>
  <c r="AQ22" i="143" s="1"/>
  <c r="BG34" i="143"/>
  <c r="AQ34" i="143" s="1"/>
  <c r="BG28" i="143"/>
  <c r="AQ28" i="143" s="1"/>
  <c r="BG56" i="143"/>
  <c r="AQ56" i="143" s="1"/>
  <c r="BG23" i="143"/>
  <c r="AQ23" i="143" s="1"/>
  <c r="BG21" i="143"/>
  <c r="AQ21" i="143" s="1"/>
  <c r="BG45" i="143"/>
  <c r="AQ45" i="143" s="1"/>
  <c r="AB110" i="143"/>
  <c r="AH110" i="143"/>
  <c r="AG110" i="143" s="1"/>
  <c r="AB101" i="143"/>
  <c r="AH101" i="143"/>
  <c r="AG101" i="143" s="1"/>
  <c r="BG100" i="143"/>
  <c r="AQ100" i="143" s="1"/>
  <c r="AQ92" i="143"/>
  <c r="AB91" i="143"/>
  <c r="AH91" i="143"/>
  <c r="AG91" i="143" s="1"/>
  <c r="AB95" i="143"/>
  <c r="AH95" i="143"/>
  <c r="AG95" i="143" s="1"/>
  <c r="AB70" i="143"/>
  <c r="AH70" i="143"/>
  <c r="AG70" i="143" s="1"/>
  <c r="AH66" i="143"/>
  <c r="AG66" i="143" s="1"/>
  <c r="AB66" i="143"/>
  <c r="R50" i="143"/>
  <c r="X50" i="143"/>
  <c r="W50" i="143" s="1"/>
  <c r="BG46" i="143"/>
  <c r="AQ46" i="143" s="1"/>
  <c r="AH43" i="143"/>
  <c r="AG43" i="143" s="1"/>
  <c r="AB43" i="143"/>
  <c r="X55" i="143"/>
  <c r="W55" i="143" s="1"/>
  <c r="R55" i="143"/>
  <c r="AB18" i="143"/>
  <c r="AH18" i="143"/>
  <c r="AG18" i="143" s="1"/>
  <c r="AG44" i="143"/>
  <c r="BG11" i="143"/>
  <c r="AQ11" i="143" s="1"/>
  <c r="AB34" i="143"/>
  <c r="AH34" i="143"/>
  <c r="AG34" i="143" s="1"/>
  <c r="BG8" i="143"/>
  <c r="AH23" i="143"/>
  <c r="AG23" i="143" s="1"/>
  <c r="AB23" i="143"/>
  <c r="AJ13" i="143"/>
  <c r="R13" i="143"/>
  <c r="X13" i="143"/>
  <c r="AH8" i="143"/>
  <c r="AG8" i="143" s="1"/>
  <c r="AB8" i="143"/>
  <c r="AQ14" i="142"/>
  <c r="AL27" i="142"/>
  <c r="AL11" i="142"/>
  <c r="AQ9" i="142"/>
  <c r="AL9" i="142"/>
  <c r="AL29" i="142"/>
  <c r="AQ30" i="142"/>
  <c r="AL30" i="142"/>
  <c r="AL34" i="142"/>
  <c r="AB16" i="142"/>
  <c r="AH16" i="142"/>
  <c r="AQ13" i="142"/>
  <c r="AL13" i="142"/>
  <c r="AQ10" i="142"/>
  <c r="AL10" i="142"/>
  <c r="AH20" i="142"/>
  <c r="AB20" i="142"/>
  <c r="AT7" i="142"/>
  <c r="AL8" i="142"/>
  <c r="AL12" i="142"/>
  <c r="AQ12" i="142"/>
  <c r="AL7" i="142"/>
  <c r="AL22" i="142"/>
  <c r="AL26" i="142"/>
  <c r="AL36" i="142"/>
  <c r="AL51" i="142"/>
  <c r="AA112" i="142"/>
  <c r="Z22" i="142" s="1"/>
  <c r="AQ17" i="142"/>
  <c r="AL24" i="142"/>
  <c r="AQ24" i="142"/>
  <c r="AQ44" i="142"/>
  <c r="AL44" i="142"/>
  <c r="AL21" i="142"/>
  <c r="AQ31" i="142"/>
  <c r="AL31" i="142"/>
  <c r="AL35" i="142"/>
  <c r="AQ32" i="142"/>
  <c r="AL32" i="142"/>
  <c r="AL18" i="142"/>
  <c r="AQ18" i="142"/>
  <c r="AB28" i="142"/>
  <c r="AH28" i="142"/>
  <c r="AL55" i="142"/>
  <c r="AL63" i="142"/>
  <c r="P111" i="142"/>
  <c r="P100" i="142"/>
  <c r="P109" i="142"/>
  <c r="C109" i="142" s="1"/>
  <c r="P96" i="142"/>
  <c r="P86" i="142"/>
  <c r="P94" i="142"/>
  <c r="P64" i="142"/>
  <c r="P73" i="142"/>
  <c r="P82" i="142"/>
  <c r="P56" i="142"/>
  <c r="P51" i="142"/>
  <c r="P28" i="142"/>
  <c r="C28" i="142" s="1"/>
  <c r="P23" i="142"/>
  <c r="P21" i="142"/>
  <c r="P46" i="142"/>
  <c r="P36" i="142"/>
  <c r="P34" i="142"/>
  <c r="AL15" i="142"/>
  <c r="AQ15" i="142"/>
  <c r="P29" i="142"/>
  <c r="AK112" i="142"/>
  <c r="P18" i="142"/>
  <c r="AL19" i="142"/>
  <c r="P47" i="142"/>
  <c r="Z18" i="142"/>
  <c r="AL23" i="142"/>
  <c r="P16" i="142"/>
  <c r="Z16" i="142"/>
  <c r="P35" i="142"/>
  <c r="AQ61" i="142"/>
  <c r="AL61" i="142"/>
  <c r="Z15" i="142"/>
  <c r="AB17" i="142"/>
  <c r="AT22" i="142"/>
  <c r="P13" i="142"/>
  <c r="AH17" i="142"/>
  <c r="AU112" i="142"/>
  <c r="AT14" i="142" s="1"/>
  <c r="BF112" i="142"/>
  <c r="BG29" i="142" s="1"/>
  <c r="AL25" i="142"/>
  <c r="Z37" i="142"/>
  <c r="AL39" i="142"/>
  <c r="AL40" i="142"/>
  <c r="AL46" i="142"/>
  <c r="AH53" i="142"/>
  <c r="AB53" i="142"/>
  <c r="AQ38" i="142"/>
  <c r="AL38" i="142"/>
  <c r="AQ43" i="142"/>
  <c r="AL43" i="142"/>
  <c r="AT47" i="142"/>
  <c r="Z49" i="142"/>
  <c r="AQ54" i="142"/>
  <c r="AL54" i="142"/>
  <c r="AQ59" i="142"/>
  <c r="AL59" i="142"/>
  <c r="AQ65" i="142"/>
  <c r="AL65" i="142"/>
  <c r="AQ74" i="142"/>
  <c r="AL74" i="142"/>
  <c r="AT78" i="142"/>
  <c r="Z38" i="142"/>
  <c r="AL45" i="142"/>
  <c r="AL47" i="142"/>
  <c r="Z48" i="142"/>
  <c r="Z50" i="142"/>
  <c r="AQ37" i="142"/>
  <c r="AL37" i="142"/>
  <c r="AJ40" i="142"/>
  <c r="P39" i="142"/>
  <c r="AT42" i="142"/>
  <c r="P45" i="142"/>
  <c r="AL48" i="142"/>
  <c r="AL50" i="142"/>
  <c r="AL56" i="142"/>
  <c r="AT38" i="142"/>
  <c r="AQ42" i="142"/>
  <c r="AL42" i="142"/>
  <c r="AT43" i="142"/>
  <c r="P48" i="142"/>
  <c r="P50" i="142"/>
  <c r="AT51" i="142"/>
  <c r="AQ52" i="142"/>
  <c r="P55" i="142"/>
  <c r="AQ70" i="142"/>
  <c r="AL70" i="142"/>
  <c r="AB75" i="142"/>
  <c r="AH75" i="142"/>
  <c r="Z53" i="142"/>
  <c r="AL64" i="142"/>
  <c r="AQ71" i="142"/>
  <c r="AL71" i="142"/>
  <c r="Z63" i="142"/>
  <c r="Z51" i="142"/>
  <c r="AT53" i="142"/>
  <c r="AQ60" i="142"/>
  <c r="AL60" i="142"/>
  <c r="AT62" i="142"/>
  <c r="AT54" i="142"/>
  <c r="AH58" i="142"/>
  <c r="AB58" i="142"/>
  <c r="P62" i="142"/>
  <c r="AL62" i="142"/>
  <c r="AT68" i="142"/>
  <c r="AL86" i="142"/>
  <c r="BG58" i="142"/>
  <c r="AQ58" i="142" s="1"/>
  <c r="Z64" i="142"/>
  <c r="AQ67" i="142"/>
  <c r="AL67" i="142"/>
  <c r="AT59" i="142"/>
  <c r="AT61" i="142"/>
  <c r="Z62" i="142"/>
  <c r="AT63" i="142"/>
  <c r="AL73" i="142"/>
  <c r="Z68" i="142"/>
  <c r="AL68" i="142"/>
  <c r="AQ77" i="142"/>
  <c r="AL77" i="142"/>
  <c r="AL83" i="142"/>
  <c r="AQ83" i="142"/>
  <c r="BG64" i="142"/>
  <c r="Z72" i="142"/>
  <c r="AQ72" i="142"/>
  <c r="AL72" i="142"/>
  <c r="AT75" i="142"/>
  <c r="AH81" i="142"/>
  <c r="AB81" i="142"/>
  <c r="AL94" i="142"/>
  <c r="Z77" i="142"/>
  <c r="AL84" i="142"/>
  <c r="AQ76" i="142"/>
  <c r="AL76" i="142"/>
  <c r="AL82" i="142"/>
  <c r="Z65" i="142"/>
  <c r="AQ66" i="142"/>
  <c r="AL66" i="142"/>
  <c r="AT67" i="142"/>
  <c r="AL85" i="142"/>
  <c r="AQ85" i="142"/>
  <c r="AT64" i="142"/>
  <c r="P68" i="142"/>
  <c r="Z73" i="142"/>
  <c r="AL80" i="142"/>
  <c r="AQ80" i="142"/>
  <c r="AH87" i="142"/>
  <c r="AB87" i="142"/>
  <c r="AL90" i="142"/>
  <c r="Z67" i="142"/>
  <c r="AH69" i="142"/>
  <c r="AB69" i="142"/>
  <c r="AT74" i="142"/>
  <c r="P84" i="142"/>
  <c r="AT86" i="142"/>
  <c r="BG92" i="142"/>
  <c r="AQ92" i="142" s="1"/>
  <c r="AQ95" i="142"/>
  <c r="AL95" i="142"/>
  <c r="Z96" i="142"/>
  <c r="AQ98" i="142"/>
  <c r="AL98" i="142"/>
  <c r="Z76" i="142"/>
  <c r="Z81" i="142"/>
  <c r="Z83" i="142"/>
  <c r="AB89" i="142"/>
  <c r="AH89" i="142"/>
  <c r="AQ91" i="142"/>
  <c r="AL91" i="142"/>
  <c r="AQ93" i="142"/>
  <c r="AL93" i="142"/>
  <c r="Z84" i="142"/>
  <c r="Z88" i="142"/>
  <c r="Z103" i="142"/>
  <c r="Z80" i="142"/>
  <c r="AT85" i="142"/>
  <c r="P89" i="142"/>
  <c r="AB92" i="142"/>
  <c r="R101" i="142"/>
  <c r="X96" i="142"/>
  <c r="R96" i="142"/>
  <c r="Z99" i="142"/>
  <c r="AL97" i="142"/>
  <c r="AL104" i="142"/>
  <c r="Z89" i="142"/>
  <c r="AL100" i="142"/>
  <c r="AL108" i="142"/>
  <c r="AT92" i="142"/>
  <c r="AQ99" i="142"/>
  <c r="AL99" i="142"/>
  <c r="AT103" i="142"/>
  <c r="AQ88" i="142"/>
  <c r="AL88" i="142"/>
  <c r="P90" i="142"/>
  <c r="AT96" i="142"/>
  <c r="P97" i="142"/>
  <c r="AL103" i="142"/>
  <c r="P106" i="142"/>
  <c r="P107" i="142"/>
  <c r="AT91" i="142"/>
  <c r="X107" i="142"/>
  <c r="R107" i="142"/>
  <c r="P92" i="142"/>
  <c r="Z93" i="142"/>
  <c r="AT93" i="142"/>
  <c r="Z94" i="142"/>
  <c r="AJ100" i="142"/>
  <c r="AT90" i="142"/>
  <c r="AH96" i="142"/>
  <c r="AL105" i="142"/>
  <c r="AL106" i="142"/>
  <c r="Z108" i="142"/>
  <c r="Z109" i="142"/>
  <c r="AT109" i="142"/>
  <c r="Z102" i="142"/>
  <c r="AT102" i="142"/>
  <c r="BG104" i="142"/>
  <c r="P105" i="142"/>
  <c r="AL109" i="142"/>
  <c r="Z110" i="142"/>
  <c r="AQ102" i="142"/>
  <c r="AL102" i="142"/>
  <c r="R110" i="142"/>
  <c r="AT110" i="142"/>
  <c r="AT97" i="142"/>
  <c r="AT99" i="142"/>
  <c r="Z101" i="142"/>
  <c r="Z106" i="142"/>
  <c r="AT106" i="142"/>
  <c r="Z107" i="142"/>
  <c r="Z97" i="142"/>
  <c r="AT101" i="142"/>
  <c r="AT107" i="142"/>
  <c r="AH110" i="142"/>
  <c r="AG110" i="142" s="1"/>
  <c r="AJ102" i="142"/>
  <c r="Z104" i="142"/>
  <c r="AT104" i="142"/>
  <c r="Z105" i="142"/>
  <c r="P110" i="142"/>
  <c r="BG110" i="142"/>
  <c r="AQ110" i="142" s="1"/>
  <c r="AH101" i="142"/>
  <c r="AG101" i="142" s="1"/>
  <c r="AT105" i="142"/>
  <c r="BG109" i="142" l="1"/>
  <c r="AQ109" i="142" s="1"/>
  <c r="BG105" i="142"/>
  <c r="BG89" i="142"/>
  <c r="AQ89" i="142" s="1"/>
  <c r="AT20" i="142"/>
  <c r="BG86" i="142"/>
  <c r="BG82" i="142"/>
  <c r="AQ82" i="142" s="1"/>
  <c r="BG53" i="142"/>
  <c r="AQ53" i="142" s="1"/>
  <c r="P114" i="142"/>
  <c r="AG96" i="142"/>
  <c r="AT36" i="142"/>
  <c r="AT17" i="142"/>
  <c r="AG17" i="142" s="1"/>
  <c r="AT35" i="142"/>
  <c r="BG27" i="142"/>
  <c r="BG103" i="142"/>
  <c r="AQ103" i="142" s="1"/>
  <c r="BG101" i="142"/>
  <c r="BG90" i="142"/>
  <c r="AQ90" i="142" s="1"/>
  <c r="BG62" i="142"/>
  <c r="AQ62" i="142" s="1"/>
  <c r="BG36" i="142"/>
  <c r="Z8" i="142"/>
  <c r="BG97" i="142"/>
  <c r="BG96" i="142"/>
  <c r="AQ96" i="142" s="1"/>
  <c r="BG107" i="142"/>
  <c r="AQ107" i="142" s="1"/>
  <c r="BG106" i="142"/>
  <c r="BG51" i="142"/>
  <c r="AG53" i="142"/>
  <c r="Z40" i="142"/>
  <c r="X60" i="143"/>
  <c r="W60" i="143" s="1"/>
  <c r="R60" i="143"/>
  <c r="X82" i="143"/>
  <c r="W82" i="143" s="1"/>
  <c r="R82" i="143"/>
  <c r="X36" i="143"/>
  <c r="W36" i="143" s="1"/>
  <c r="R36" i="143"/>
  <c r="R19" i="143"/>
  <c r="X19" i="143"/>
  <c r="W19" i="143" s="1"/>
  <c r="N58" i="143"/>
  <c r="M58" i="143" s="1"/>
  <c r="H58" i="143"/>
  <c r="R85" i="143"/>
  <c r="X85" i="143"/>
  <c r="W85" i="143" s="1"/>
  <c r="W13" i="143"/>
  <c r="R43" i="143"/>
  <c r="X43" i="143"/>
  <c r="W43" i="143" s="1"/>
  <c r="X70" i="143"/>
  <c r="W70" i="143" s="1"/>
  <c r="X101" i="143"/>
  <c r="W101" i="143" s="1"/>
  <c r="R101" i="143"/>
  <c r="R17" i="143"/>
  <c r="X17" i="143"/>
  <c r="W17" i="143" s="1"/>
  <c r="R97" i="143"/>
  <c r="X97" i="143"/>
  <c r="W97" i="143" s="1"/>
  <c r="R88" i="143"/>
  <c r="X88" i="143"/>
  <c r="W88" i="143" s="1"/>
  <c r="X46" i="143"/>
  <c r="W46" i="143" s="1"/>
  <c r="R46" i="143"/>
  <c r="X73" i="143"/>
  <c r="W73" i="143" s="1"/>
  <c r="R73" i="143"/>
  <c r="R12" i="143"/>
  <c r="X12" i="143"/>
  <c r="W12" i="143" s="1"/>
  <c r="R8" i="143"/>
  <c r="X8" i="143"/>
  <c r="W8" i="143" s="1"/>
  <c r="X39" i="143"/>
  <c r="W39" i="143" s="1"/>
  <c r="R39" i="143"/>
  <c r="X45" i="143"/>
  <c r="W45" i="143" s="1"/>
  <c r="R45" i="143"/>
  <c r="X107" i="143"/>
  <c r="W107" i="143" s="1"/>
  <c r="R107" i="143"/>
  <c r="X21" i="143"/>
  <c r="W21" i="143" s="1"/>
  <c r="R21" i="143"/>
  <c r="R99" i="143"/>
  <c r="X99" i="143"/>
  <c r="W99" i="143" s="1"/>
  <c r="P114" i="143"/>
  <c r="X11" i="143"/>
  <c r="W11" i="143" s="1"/>
  <c r="R11" i="143"/>
  <c r="X15" i="143"/>
  <c r="W15" i="143" s="1"/>
  <c r="R15" i="143"/>
  <c r="X100" i="143"/>
  <c r="W100" i="143" s="1"/>
  <c r="R100" i="143"/>
  <c r="R71" i="143"/>
  <c r="X71" i="143"/>
  <c r="W71" i="143" s="1"/>
  <c r="X16" i="143"/>
  <c r="W16" i="143" s="1"/>
  <c r="R16" i="143"/>
  <c r="R27" i="143"/>
  <c r="X27" i="143"/>
  <c r="W27" i="143" s="1"/>
  <c r="X64" i="143"/>
  <c r="W64" i="143" s="1"/>
  <c r="R64" i="143"/>
  <c r="X28" i="143"/>
  <c r="W28" i="143" s="1"/>
  <c r="R28" i="143"/>
  <c r="X86" i="143"/>
  <c r="W86" i="143" s="1"/>
  <c r="R86" i="143"/>
  <c r="H55" i="143"/>
  <c r="D55" i="143" s="1"/>
  <c r="C55" i="143" s="1"/>
  <c r="N55" i="143"/>
  <c r="M55" i="143" s="1"/>
  <c r="X75" i="143"/>
  <c r="W75" i="143" s="1"/>
  <c r="R75" i="143"/>
  <c r="R106" i="143"/>
  <c r="X106" i="143"/>
  <c r="W106" i="143" s="1"/>
  <c r="N13" i="143"/>
  <c r="M13" i="143" s="1"/>
  <c r="H13" i="143"/>
  <c r="X95" i="143"/>
  <c r="W95" i="143" s="1"/>
  <c r="R95" i="143"/>
  <c r="X110" i="143"/>
  <c r="W110" i="143" s="1"/>
  <c r="R110" i="143"/>
  <c r="R20" i="143"/>
  <c r="X20" i="143"/>
  <c r="W20" i="143" s="1"/>
  <c r="R61" i="143"/>
  <c r="X61" i="143"/>
  <c r="W61" i="143" s="1"/>
  <c r="AH112" i="143"/>
  <c r="AG7" i="143"/>
  <c r="AG112" i="143" s="1"/>
  <c r="W44" i="143"/>
  <c r="X62" i="143"/>
  <c r="W62" i="143" s="1"/>
  <c r="R62" i="143"/>
  <c r="R103" i="143"/>
  <c r="X103" i="143"/>
  <c r="W103" i="143" s="1"/>
  <c r="R31" i="143"/>
  <c r="X31" i="143"/>
  <c r="W31" i="143" s="1"/>
  <c r="R90" i="143"/>
  <c r="X90" i="143"/>
  <c r="W90" i="143" s="1"/>
  <c r="R84" i="143"/>
  <c r="X84" i="143"/>
  <c r="W84" i="143" s="1"/>
  <c r="R109" i="143"/>
  <c r="X109" i="143"/>
  <c r="W109" i="143" s="1"/>
  <c r="X22" i="143"/>
  <c r="W22" i="143" s="1"/>
  <c r="R22" i="143"/>
  <c r="R42" i="143"/>
  <c r="X42" i="143"/>
  <c r="W42" i="143" s="1"/>
  <c r="X77" i="143"/>
  <c r="W77" i="143" s="1"/>
  <c r="R77" i="143"/>
  <c r="X56" i="143"/>
  <c r="W56" i="143" s="1"/>
  <c r="R56" i="143"/>
  <c r="R96" i="143"/>
  <c r="X96" i="143"/>
  <c r="W96" i="143" s="1"/>
  <c r="X23" i="143"/>
  <c r="W23" i="143" s="1"/>
  <c r="R23" i="143"/>
  <c r="R26" i="143"/>
  <c r="X26" i="143"/>
  <c r="W26" i="143" s="1"/>
  <c r="R25" i="143"/>
  <c r="X25" i="143"/>
  <c r="W25" i="143" s="1"/>
  <c r="H81" i="143"/>
  <c r="N81" i="143"/>
  <c r="M81" i="143" s="1"/>
  <c r="AE112" i="143"/>
  <c r="N51" i="143"/>
  <c r="M51" i="143" s="1"/>
  <c r="H51" i="143"/>
  <c r="D51" i="143" s="1"/>
  <c r="C51" i="143" s="1"/>
  <c r="H68" i="143"/>
  <c r="D68" i="143" s="1"/>
  <c r="C68" i="143" s="1"/>
  <c r="N68" i="143"/>
  <c r="M68" i="143" s="1"/>
  <c r="H44" i="143"/>
  <c r="X47" i="143"/>
  <c r="W47" i="143" s="1"/>
  <c r="R47" i="143"/>
  <c r="X54" i="143"/>
  <c r="W54" i="143" s="1"/>
  <c r="R54" i="143"/>
  <c r="R30" i="143"/>
  <c r="X30" i="143"/>
  <c r="W30" i="143" s="1"/>
  <c r="X35" i="143"/>
  <c r="W35" i="143" s="1"/>
  <c r="R35" i="143"/>
  <c r="N80" i="143"/>
  <c r="M80" i="143" s="1"/>
  <c r="H80" i="143"/>
  <c r="R10" i="143"/>
  <c r="X10" i="143"/>
  <c r="W10" i="143" s="1"/>
  <c r="X69" i="143"/>
  <c r="W69" i="143" s="1"/>
  <c r="R69" i="143"/>
  <c r="H89" i="143"/>
  <c r="D89" i="143" s="1"/>
  <c r="C89" i="143" s="1"/>
  <c r="N89" i="143"/>
  <c r="M89" i="143" s="1"/>
  <c r="X98" i="143"/>
  <c r="W98" i="143" s="1"/>
  <c r="R98" i="143"/>
  <c r="H50" i="143"/>
  <c r="D50" i="143" s="1"/>
  <c r="C50" i="143" s="1"/>
  <c r="N50" i="143"/>
  <c r="M50" i="143" s="1"/>
  <c r="X91" i="143"/>
  <c r="R91" i="143"/>
  <c r="X37" i="143"/>
  <c r="W37" i="143" s="1"/>
  <c r="R37" i="143"/>
  <c r="R104" i="143"/>
  <c r="X104" i="143"/>
  <c r="W104" i="143" s="1"/>
  <c r="R87" i="143"/>
  <c r="X87" i="143"/>
  <c r="W87" i="143" s="1"/>
  <c r="R29" i="143"/>
  <c r="X29" i="143"/>
  <c r="W29" i="143" s="1"/>
  <c r="N63" i="143"/>
  <c r="M63" i="143" s="1"/>
  <c r="H63" i="143"/>
  <c r="R94" i="143"/>
  <c r="X94" i="143"/>
  <c r="W94" i="143" s="1"/>
  <c r="N74" i="143"/>
  <c r="M74" i="143" s="1"/>
  <c r="H74" i="143"/>
  <c r="N108" i="143"/>
  <c r="M108" i="143" s="1"/>
  <c r="H108" i="143"/>
  <c r="X93" i="143"/>
  <c r="W93" i="143" s="1"/>
  <c r="R93" i="143"/>
  <c r="X102" i="143"/>
  <c r="X105" i="143"/>
  <c r="W105" i="143" s="1"/>
  <c r="R105" i="143"/>
  <c r="R34" i="143"/>
  <c r="X34" i="143"/>
  <c r="W34" i="143" s="1"/>
  <c r="BG112" i="143"/>
  <c r="X18" i="143"/>
  <c r="W18" i="143" s="1"/>
  <c r="R18" i="143"/>
  <c r="R66" i="143"/>
  <c r="X66" i="143"/>
  <c r="W66" i="143" s="1"/>
  <c r="AQ8" i="143"/>
  <c r="R92" i="143"/>
  <c r="X92" i="143"/>
  <c r="W92" i="143" s="1"/>
  <c r="X48" i="143"/>
  <c r="W48" i="143" s="1"/>
  <c r="R48" i="143"/>
  <c r="X83" i="143"/>
  <c r="X40" i="143"/>
  <c r="W40" i="143" s="1"/>
  <c r="R40" i="143"/>
  <c r="X53" i="143"/>
  <c r="W53" i="143" s="1"/>
  <c r="R53" i="143"/>
  <c r="X59" i="143"/>
  <c r="W59" i="143" s="1"/>
  <c r="R59" i="143"/>
  <c r="R32" i="143"/>
  <c r="X32" i="143"/>
  <c r="W32" i="143" s="1"/>
  <c r="AB98" i="142"/>
  <c r="AH98" i="142"/>
  <c r="AB64" i="142"/>
  <c r="AH64" i="142"/>
  <c r="AG64" i="142" s="1"/>
  <c r="AJ99" i="142"/>
  <c r="AJ110" i="142"/>
  <c r="AJ108" i="142"/>
  <c r="AJ97" i="142"/>
  <c r="AJ95" i="142"/>
  <c r="AJ93" i="142"/>
  <c r="AJ105" i="142"/>
  <c r="AJ98" i="142"/>
  <c r="AJ91" i="142"/>
  <c r="AJ107" i="142"/>
  <c r="AJ88" i="142"/>
  <c r="AJ84" i="142"/>
  <c r="AJ94" i="142"/>
  <c r="AJ101" i="142"/>
  <c r="AJ87" i="142"/>
  <c r="AJ77" i="142"/>
  <c r="AJ83" i="142"/>
  <c r="AJ71" i="142"/>
  <c r="AJ70" i="142"/>
  <c r="AJ61" i="142"/>
  <c r="AJ60" i="142"/>
  <c r="AJ59" i="142"/>
  <c r="AJ73" i="142"/>
  <c r="AJ64" i="142"/>
  <c r="AJ63" i="142"/>
  <c r="AJ56" i="142"/>
  <c r="AJ57" i="142"/>
  <c r="AJ47" i="142"/>
  <c r="AJ55" i="142"/>
  <c r="AJ62" i="142"/>
  <c r="AJ37" i="142"/>
  <c r="AJ32" i="142"/>
  <c r="AJ31" i="142"/>
  <c r="AJ30" i="142"/>
  <c r="AJ29" i="142"/>
  <c r="AJ26" i="142"/>
  <c r="AJ20" i="142"/>
  <c r="AJ19" i="142"/>
  <c r="AJ45" i="142"/>
  <c r="AJ39" i="142"/>
  <c r="AJ22" i="142"/>
  <c r="AJ35" i="142"/>
  <c r="AJ24" i="142"/>
  <c r="AJ8" i="142"/>
  <c r="AJ11" i="142"/>
  <c r="AJ43" i="142"/>
  <c r="AJ28" i="142"/>
  <c r="AJ10" i="142"/>
  <c r="AJ9" i="142"/>
  <c r="AJ18" i="142"/>
  <c r="AJ13" i="142"/>
  <c r="AJ42" i="142"/>
  <c r="AJ21" i="142"/>
  <c r="AJ38" i="142"/>
  <c r="AJ23" i="142"/>
  <c r="AJ15" i="142"/>
  <c r="AJ109" i="142"/>
  <c r="X110" i="142"/>
  <c r="AH106" i="142"/>
  <c r="AG106" i="142" s="1"/>
  <c r="AB106" i="142"/>
  <c r="AJ106" i="142"/>
  <c r="AJ78" i="142"/>
  <c r="AJ75" i="142"/>
  <c r="AH85" i="142"/>
  <c r="AG85" i="142" s="1"/>
  <c r="AB85" i="142"/>
  <c r="AJ80" i="142"/>
  <c r="AH94" i="142"/>
  <c r="AB94" i="142"/>
  <c r="AJ67" i="142"/>
  <c r="X58" i="142"/>
  <c r="W58" i="142" s="1"/>
  <c r="R58" i="142"/>
  <c r="AQ64" i="142"/>
  <c r="AH42" i="142"/>
  <c r="AG42" i="142" s="1"/>
  <c r="AB42" i="142"/>
  <c r="AB37" i="142"/>
  <c r="AH37" i="142"/>
  <c r="AH65" i="142"/>
  <c r="AG65" i="142" s="1"/>
  <c r="AT45" i="142"/>
  <c r="AH18" i="142"/>
  <c r="AG18" i="142" s="1"/>
  <c r="AB18" i="142"/>
  <c r="AH35" i="142"/>
  <c r="AG35" i="142" s="1"/>
  <c r="AB35" i="142"/>
  <c r="Z56" i="142"/>
  <c r="AB22" i="142"/>
  <c r="AH22" i="142"/>
  <c r="AG22" i="142" s="1"/>
  <c r="AB12" i="142"/>
  <c r="AH12" i="142"/>
  <c r="AG12" i="142" s="1"/>
  <c r="AJ7" i="142"/>
  <c r="BG16" i="142"/>
  <c r="AQ16" i="142" s="1"/>
  <c r="AB34" i="142"/>
  <c r="AH34" i="142"/>
  <c r="AB77" i="142"/>
  <c r="AH77" i="142"/>
  <c r="AH39" i="142"/>
  <c r="AB39" i="142"/>
  <c r="AH104" i="142"/>
  <c r="AG104" i="142" s="1"/>
  <c r="AB104" i="142"/>
  <c r="AH68" i="142"/>
  <c r="AG68" i="142" s="1"/>
  <c r="AB68" i="142"/>
  <c r="AJ58" i="142"/>
  <c r="AB48" i="142"/>
  <c r="AH48" i="142"/>
  <c r="AH45" i="142"/>
  <c r="AB45" i="142"/>
  <c r="AH43" i="142"/>
  <c r="AG43" i="142" s="1"/>
  <c r="AB43" i="142"/>
  <c r="AJ50" i="142"/>
  <c r="AH23" i="142"/>
  <c r="AB23" i="142"/>
  <c r="AH31" i="142"/>
  <c r="AG31" i="142" s="1"/>
  <c r="AB31" i="142"/>
  <c r="AQ36" i="142"/>
  <c r="AT12" i="142"/>
  <c r="AT11" i="142"/>
  <c r="AH10" i="142"/>
  <c r="AB10" i="142"/>
  <c r="AQ11" i="142"/>
  <c r="AB99" i="142"/>
  <c r="AH99" i="142"/>
  <c r="AG99" i="142" s="1"/>
  <c r="AH92" i="142"/>
  <c r="AG92" i="142" s="1"/>
  <c r="AH47" i="142"/>
  <c r="AG47" i="142" s="1"/>
  <c r="AB47" i="142"/>
  <c r="AH61" i="142"/>
  <c r="AG61" i="142" s="1"/>
  <c r="AB61" i="142"/>
  <c r="AJ103" i="142"/>
  <c r="AQ106" i="142"/>
  <c r="AJ96" i="142"/>
  <c r="W96" i="142" s="1"/>
  <c r="AJ82" i="142"/>
  <c r="AJ72" i="142"/>
  <c r="AQ101" i="142"/>
  <c r="AQ104" i="142"/>
  <c r="AH95" i="142"/>
  <c r="AB95" i="142"/>
  <c r="X69" i="142"/>
  <c r="R69" i="142"/>
  <c r="AB80" i="142"/>
  <c r="AH80" i="142"/>
  <c r="AG80" i="142" s="1"/>
  <c r="X81" i="142"/>
  <c r="R81" i="142"/>
  <c r="AJ89" i="142"/>
  <c r="AQ86" i="142"/>
  <c r="AH59" i="142"/>
  <c r="AG59" i="142" s="1"/>
  <c r="AB59" i="142"/>
  <c r="AH25" i="142"/>
  <c r="AB25" i="142"/>
  <c r="AT27" i="142"/>
  <c r="AJ25" i="142"/>
  <c r="AH15" i="142"/>
  <c r="AB15" i="142"/>
  <c r="AJ48" i="142"/>
  <c r="AH36" i="142"/>
  <c r="AG36" i="142" s="1"/>
  <c r="AB36" i="142"/>
  <c r="AJ12" i="142"/>
  <c r="AH30" i="142"/>
  <c r="AB30" i="142"/>
  <c r="AH11" i="142"/>
  <c r="AG11" i="142" s="1"/>
  <c r="AB11" i="142"/>
  <c r="N110" i="142"/>
  <c r="M110" i="142" s="1"/>
  <c r="H110" i="142"/>
  <c r="D110" i="142" s="1"/>
  <c r="C110" i="142" s="1"/>
  <c r="R87" i="142"/>
  <c r="X87" i="142"/>
  <c r="AB50" i="142"/>
  <c r="AH50" i="142"/>
  <c r="AH55" i="142"/>
  <c r="AB55" i="142"/>
  <c r="AH102" i="142"/>
  <c r="AG102" i="142" s="1"/>
  <c r="AB102" i="142"/>
  <c r="AJ104" i="142"/>
  <c r="AQ105" i="142"/>
  <c r="AJ90" i="142"/>
  <c r="AJ86" i="142"/>
  <c r="AB93" i="142"/>
  <c r="AH93" i="142"/>
  <c r="AG93" i="142" s="1"/>
  <c r="AB105" i="142"/>
  <c r="AH105" i="142"/>
  <c r="AG105" i="142" s="1"/>
  <c r="AB108" i="142"/>
  <c r="AH108" i="142"/>
  <c r="AG108" i="142" s="1"/>
  <c r="AQ97" i="142"/>
  <c r="AJ81" i="142"/>
  <c r="AJ85" i="142"/>
  <c r="AG69" i="142"/>
  <c r="AH66" i="142"/>
  <c r="AB66" i="142"/>
  <c r="AJ74" i="142"/>
  <c r="AJ53" i="142"/>
  <c r="AH86" i="142"/>
  <c r="AG86" i="142" s="1"/>
  <c r="AB86" i="142"/>
  <c r="AJ52" i="142"/>
  <c r="AT60" i="142"/>
  <c r="AT52" i="142"/>
  <c r="AJ51" i="142"/>
  <c r="AB56" i="142"/>
  <c r="AH56" i="142"/>
  <c r="AT44" i="142"/>
  <c r="Z46" i="142"/>
  <c r="Z39" i="142"/>
  <c r="AT39" i="142"/>
  <c r="AH46" i="142"/>
  <c r="AB46" i="142"/>
  <c r="AJ17" i="142"/>
  <c r="Z23" i="142"/>
  <c r="Z21" i="142"/>
  <c r="X28" i="142"/>
  <c r="R28" i="142"/>
  <c r="AJ34" i="142"/>
  <c r="AQ21" i="142"/>
  <c r="AJ14" i="142"/>
  <c r="AT25" i="142"/>
  <c r="Z9" i="142"/>
  <c r="AT15" i="142"/>
  <c r="AB13" i="142"/>
  <c r="AH13" i="142"/>
  <c r="AQ27" i="142"/>
  <c r="W107" i="142"/>
  <c r="AH82" i="142"/>
  <c r="AB82" i="142"/>
  <c r="AH109" i="142"/>
  <c r="AG109" i="142" s="1"/>
  <c r="AB109" i="142"/>
  <c r="AJ92" i="142"/>
  <c r="AH97" i="142"/>
  <c r="AG97" i="142" s="1"/>
  <c r="AB97" i="142"/>
  <c r="N101" i="142"/>
  <c r="M101" i="142" s="1"/>
  <c r="H101" i="142"/>
  <c r="AH91" i="142"/>
  <c r="AG91" i="142" s="1"/>
  <c r="AB91" i="142"/>
  <c r="AJ69" i="142"/>
  <c r="AJ68" i="142"/>
  <c r="AH83" i="142"/>
  <c r="AB83" i="142"/>
  <c r="AJ66" i="142"/>
  <c r="AG75" i="142"/>
  <c r="AB54" i="142"/>
  <c r="AH54" i="142"/>
  <c r="AG54" i="142" s="1"/>
  <c r="BG108" i="142"/>
  <c r="AQ108" i="142" s="1"/>
  <c r="BG100" i="142"/>
  <c r="BG94" i="142"/>
  <c r="AQ94" i="142" s="1"/>
  <c r="BG73" i="142"/>
  <c r="AQ73" i="142" s="1"/>
  <c r="BG84" i="142"/>
  <c r="BG68" i="142"/>
  <c r="AQ68" i="142" s="1"/>
  <c r="BG56" i="142"/>
  <c r="AQ56" i="142" s="1"/>
  <c r="BG55" i="142"/>
  <c r="AQ55" i="142" s="1"/>
  <c r="BG47" i="142"/>
  <c r="AQ47" i="142" s="1"/>
  <c r="BG45" i="142"/>
  <c r="AQ45" i="142" s="1"/>
  <c r="BG63" i="142"/>
  <c r="AQ63" i="142" s="1"/>
  <c r="BG50" i="142"/>
  <c r="AQ50" i="142" s="1"/>
  <c r="BG48" i="142"/>
  <c r="AQ48" i="142" s="1"/>
  <c r="BG46" i="142"/>
  <c r="AQ46" i="142" s="1"/>
  <c r="BG40" i="142"/>
  <c r="AQ40" i="142" s="1"/>
  <c r="BG39" i="142"/>
  <c r="AQ39" i="142" s="1"/>
  <c r="BG34" i="142"/>
  <c r="AQ34" i="142" s="1"/>
  <c r="BG26" i="142"/>
  <c r="AQ26" i="142" s="1"/>
  <c r="BG8" i="142"/>
  <c r="BG35" i="142"/>
  <c r="AQ35" i="142" s="1"/>
  <c r="BG23" i="142"/>
  <c r="AQ23" i="142" s="1"/>
  <c r="BG21" i="142"/>
  <c r="BG28" i="142"/>
  <c r="AQ28" i="142" s="1"/>
  <c r="AJ27" i="142"/>
  <c r="AH32" i="142"/>
  <c r="AB32" i="142"/>
  <c r="AH21" i="142"/>
  <c r="AB21" i="142"/>
  <c r="Z100" i="142"/>
  <c r="Z92" i="142"/>
  <c r="Z90" i="142"/>
  <c r="Z98" i="142"/>
  <c r="Z95" i="142"/>
  <c r="Z87" i="142"/>
  <c r="Z91" i="142"/>
  <c r="Z85" i="142"/>
  <c r="Z82" i="142"/>
  <c r="Z78" i="142"/>
  <c r="Z69" i="142"/>
  <c r="Z86" i="142"/>
  <c r="Z66" i="142"/>
  <c r="Z71" i="142"/>
  <c r="Z58" i="142"/>
  <c r="Z75" i="142"/>
  <c r="Z70" i="142"/>
  <c r="Z61" i="142"/>
  <c r="Z60" i="142"/>
  <c r="Z59" i="142"/>
  <c r="Z55" i="142"/>
  <c r="Z74" i="142"/>
  <c r="Z47" i="142"/>
  <c r="Z45" i="142"/>
  <c r="Z43" i="142"/>
  <c r="Z42" i="142"/>
  <c r="Z54" i="142"/>
  <c r="Z44" i="142"/>
  <c r="Z35" i="142"/>
  <c r="Z52" i="142"/>
  <c r="Z27" i="142"/>
  <c r="Z17" i="142"/>
  <c r="Z32" i="142"/>
  <c r="Z31" i="142"/>
  <c r="Z30" i="142"/>
  <c r="Z29" i="142"/>
  <c r="Z26" i="142"/>
  <c r="Z28" i="142"/>
  <c r="Z25" i="142"/>
  <c r="Z12" i="142"/>
  <c r="Z7" i="142"/>
  <c r="Z20" i="142"/>
  <c r="Z19" i="142"/>
  <c r="Z10" i="142"/>
  <c r="Z36" i="142"/>
  <c r="Z13" i="142"/>
  <c r="AH7" i="142"/>
  <c r="Z11" i="142"/>
  <c r="R20" i="142"/>
  <c r="X20" i="142"/>
  <c r="W20" i="142" s="1"/>
  <c r="AH29" i="142"/>
  <c r="AB29" i="142"/>
  <c r="AH27" i="142"/>
  <c r="AG27" i="142" s="1"/>
  <c r="AB27" i="142"/>
  <c r="R89" i="142"/>
  <c r="X89" i="142"/>
  <c r="AH88" i="142"/>
  <c r="AB88" i="142"/>
  <c r="AH107" i="142"/>
  <c r="AG107" i="142" s="1"/>
  <c r="AQ100" i="142"/>
  <c r="AJ76" i="142"/>
  <c r="X101" i="142"/>
  <c r="W101" i="142" s="1"/>
  <c r="AB84" i="142"/>
  <c r="AH84" i="142"/>
  <c r="AH72" i="142"/>
  <c r="AG72" i="142" s="1"/>
  <c r="AB72" i="142"/>
  <c r="AB71" i="142"/>
  <c r="AH71" i="142"/>
  <c r="AG71" i="142" s="1"/>
  <c r="X75" i="142"/>
  <c r="W75" i="142" s="1"/>
  <c r="R75" i="142"/>
  <c r="AJ54" i="142"/>
  <c r="AH40" i="142"/>
  <c r="AB40" i="142"/>
  <c r="AT108" i="142"/>
  <c r="AT89" i="142"/>
  <c r="AG89" i="142" s="1"/>
  <c r="AT98" i="142"/>
  <c r="AT100" i="142"/>
  <c r="AT94" i="142"/>
  <c r="AT87" i="142"/>
  <c r="AG87" i="142" s="1"/>
  <c r="AT82" i="142"/>
  <c r="AT81" i="142"/>
  <c r="AG81" i="142" s="1"/>
  <c r="AT80" i="142"/>
  <c r="AT83" i="142"/>
  <c r="AT88" i="142"/>
  <c r="AT95" i="142"/>
  <c r="AT66" i="142"/>
  <c r="AT65" i="142"/>
  <c r="AT77" i="142"/>
  <c r="AT76" i="142"/>
  <c r="AT71" i="142"/>
  <c r="AT70" i="142"/>
  <c r="AT73" i="142"/>
  <c r="AT84" i="142"/>
  <c r="AT56" i="142"/>
  <c r="AT69" i="142"/>
  <c r="AT58" i="142"/>
  <c r="AG58" i="142" s="1"/>
  <c r="AT57" i="142"/>
  <c r="AT72" i="142"/>
  <c r="AT50" i="142"/>
  <c r="AT48" i="142"/>
  <c r="AT46" i="142"/>
  <c r="AT40" i="142"/>
  <c r="AT34" i="142"/>
  <c r="AT28" i="142"/>
  <c r="AG28" i="142" s="1"/>
  <c r="AT32" i="142"/>
  <c r="AT31" i="142"/>
  <c r="AT30" i="142"/>
  <c r="AT29" i="142"/>
  <c r="AT26" i="142"/>
  <c r="AT10" i="142"/>
  <c r="AT23" i="142"/>
  <c r="AT21" i="142"/>
  <c r="AT13" i="142"/>
  <c r="AT16" i="142"/>
  <c r="AT18" i="142"/>
  <c r="AT24" i="142"/>
  <c r="AT9" i="142"/>
  <c r="AT8" i="142"/>
  <c r="AT37" i="142"/>
  <c r="X17" i="142"/>
  <c r="W17" i="142" s="1"/>
  <c r="R17" i="142"/>
  <c r="AT19" i="142"/>
  <c r="AH19" i="142"/>
  <c r="AG19" i="142" s="1"/>
  <c r="AB19" i="142"/>
  <c r="AB63" i="142"/>
  <c r="AH63" i="142"/>
  <c r="AG63" i="142" s="1"/>
  <c r="Z24" i="142"/>
  <c r="AT55" i="142"/>
  <c r="AQ51" i="142"/>
  <c r="Z34" i="142"/>
  <c r="AR112" i="142"/>
  <c r="AQ7" i="142"/>
  <c r="AQ112" i="142" s="1"/>
  <c r="AH8" i="142"/>
  <c r="AB8" i="142"/>
  <c r="AG20" i="142"/>
  <c r="AG16" i="142"/>
  <c r="AQ29" i="142"/>
  <c r="H96" i="142"/>
  <c r="D96" i="142" s="1"/>
  <c r="C96" i="142" s="1"/>
  <c r="N96" i="142"/>
  <c r="M96" i="142" s="1"/>
  <c r="N107" i="142"/>
  <c r="M107" i="142" s="1"/>
  <c r="H107" i="142"/>
  <c r="D107" i="142" s="1"/>
  <c r="C107" i="142" s="1"/>
  <c r="AH103" i="142"/>
  <c r="AG103" i="142" s="1"/>
  <c r="AB103" i="142"/>
  <c r="AH100" i="142"/>
  <c r="AG100" i="142" s="1"/>
  <c r="AB100" i="142"/>
  <c r="R92" i="142"/>
  <c r="X92" i="142"/>
  <c r="AH90" i="142"/>
  <c r="AG90" i="142" s="1"/>
  <c r="AB90" i="142"/>
  <c r="AQ84" i="142"/>
  <c r="AB73" i="142"/>
  <c r="AH73" i="142"/>
  <c r="AJ65" i="142"/>
  <c r="AH62" i="142"/>
  <c r="AG62" i="142" s="1"/>
  <c r="AB62" i="142"/>
  <c r="AH60" i="142"/>
  <c r="AG60" i="142" s="1"/>
  <c r="AB60" i="142"/>
  <c r="AB70" i="142"/>
  <c r="AH70" i="142"/>
  <c r="AG70" i="142" s="1"/>
  <c r="AJ46" i="142"/>
  <c r="AB74" i="142"/>
  <c r="AH74" i="142"/>
  <c r="AG74" i="142" s="1"/>
  <c r="R53" i="142"/>
  <c r="X53" i="142"/>
  <c r="W53" i="142" s="1"/>
  <c r="AJ16" i="142"/>
  <c r="BG22" i="142"/>
  <c r="AQ22" i="142" s="1"/>
  <c r="AJ44" i="142"/>
  <c r="AB44" i="142"/>
  <c r="AH44" i="142"/>
  <c r="AG44" i="142" s="1"/>
  <c r="AH51" i="142"/>
  <c r="AG51" i="142" s="1"/>
  <c r="AB51" i="142"/>
  <c r="AH26" i="142"/>
  <c r="AG26" i="142" s="1"/>
  <c r="AB26" i="142"/>
  <c r="AJ36" i="142"/>
  <c r="AQ8" i="142"/>
  <c r="BG11" i="142"/>
  <c r="X16" i="142"/>
  <c r="R16" i="142"/>
  <c r="AG46" i="142" l="1"/>
  <c r="W69" i="142"/>
  <c r="AG21" i="142"/>
  <c r="AG55" i="142"/>
  <c r="AG32" i="142"/>
  <c r="AG30" i="142"/>
  <c r="AG25" i="142"/>
  <c r="H31" i="143"/>
  <c r="N31" i="143"/>
  <c r="M31" i="143" s="1"/>
  <c r="H28" i="143"/>
  <c r="N28" i="143"/>
  <c r="M28" i="143" s="1"/>
  <c r="H17" i="143"/>
  <c r="H19" i="143"/>
  <c r="H59" i="143"/>
  <c r="N48" i="143"/>
  <c r="M48" i="143" s="1"/>
  <c r="H48" i="143"/>
  <c r="D48" i="143" s="1"/>
  <c r="C48" i="143" s="1"/>
  <c r="H93" i="143"/>
  <c r="H104" i="143"/>
  <c r="N104" i="143"/>
  <c r="M104" i="143" s="1"/>
  <c r="H47" i="143"/>
  <c r="D47" i="143" s="1"/>
  <c r="C47" i="143" s="1"/>
  <c r="N47" i="143"/>
  <c r="M47" i="143" s="1"/>
  <c r="H56" i="143"/>
  <c r="D56" i="143" s="1"/>
  <c r="C56" i="143" s="1"/>
  <c r="N56" i="143"/>
  <c r="M56" i="143" s="1"/>
  <c r="N61" i="143"/>
  <c r="M61" i="143" s="1"/>
  <c r="H61" i="143"/>
  <c r="N71" i="143"/>
  <c r="M71" i="143" s="1"/>
  <c r="H71" i="143"/>
  <c r="N39" i="143"/>
  <c r="M39" i="143" s="1"/>
  <c r="H39" i="143"/>
  <c r="D39" i="143" s="1"/>
  <c r="C39" i="143" s="1"/>
  <c r="N46" i="143"/>
  <c r="M46" i="143" s="1"/>
  <c r="H46" i="143"/>
  <c r="D46" i="143" s="1"/>
  <c r="C46" i="143" s="1"/>
  <c r="N101" i="143"/>
  <c r="M101" i="143" s="1"/>
  <c r="H101" i="143"/>
  <c r="N85" i="143"/>
  <c r="M85" i="143" s="1"/>
  <c r="H85" i="143"/>
  <c r="N36" i="143"/>
  <c r="M36" i="143" s="1"/>
  <c r="H36" i="143"/>
  <c r="D36" i="143" s="1"/>
  <c r="C36" i="143" s="1"/>
  <c r="H87" i="143"/>
  <c r="N75" i="143"/>
  <c r="M75" i="143" s="1"/>
  <c r="H75" i="143"/>
  <c r="H45" i="143"/>
  <c r="D45" i="143" s="1"/>
  <c r="C45" i="143" s="1"/>
  <c r="N45" i="143"/>
  <c r="M45" i="143" s="1"/>
  <c r="N69" i="143"/>
  <c r="M69" i="143" s="1"/>
  <c r="H69" i="143"/>
  <c r="AD112" i="143"/>
  <c r="AB7" i="143"/>
  <c r="H103" i="143"/>
  <c r="N103" i="143"/>
  <c r="M103" i="143" s="1"/>
  <c r="N64" i="143"/>
  <c r="M64" i="143" s="1"/>
  <c r="H64" i="143"/>
  <c r="D64" i="143" s="1"/>
  <c r="C64" i="143" s="1"/>
  <c r="N100" i="143"/>
  <c r="M100" i="143" s="1"/>
  <c r="H100" i="143"/>
  <c r="D100" i="143" s="1"/>
  <c r="C100" i="143" s="1"/>
  <c r="H99" i="143"/>
  <c r="N99" i="143"/>
  <c r="M99" i="143" s="1"/>
  <c r="H66" i="143"/>
  <c r="N66" i="143"/>
  <c r="M66" i="143" s="1"/>
  <c r="N18" i="143"/>
  <c r="M18" i="143" s="1"/>
  <c r="H18" i="143"/>
  <c r="N37" i="143"/>
  <c r="M37" i="143" s="1"/>
  <c r="H37" i="143"/>
  <c r="H25" i="143"/>
  <c r="H109" i="143"/>
  <c r="N109" i="143"/>
  <c r="M109" i="143" s="1"/>
  <c r="H53" i="143"/>
  <c r="N53" i="143"/>
  <c r="M53" i="143" s="1"/>
  <c r="H98" i="143"/>
  <c r="N98" i="143"/>
  <c r="M98" i="143" s="1"/>
  <c r="N35" i="143"/>
  <c r="M35" i="143" s="1"/>
  <c r="H35" i="143"/>
  <c r="D35" i="143" s="1"/>
  <c r="C35" i="143" s="1"/>
  <c r="H77" i="143"/>
  <c r="N62" i="143"/>
  <c r="M62" i="143" s="1"/>
  <c r="H62" i="143"/>
  <c r="D62" i="143" s="1"/>
  <c r="C62" i="143" s="1"/>
  <c r="N20" i="143"/>
  <c r="M20" i="143" s="1"/>
  <c r="H20" i="143"/>
  <c r="H21" i="143"/>
  <c r="D21" i="143" s="1"/>
  <c r="C21" i="143" s="1"/>
  <c r="N21" i="143"/>
  <c r="M21" i="143" s="1"/>
  <c r="N82" i="143"/>
  <c r="M82" i="143" s="1"/>
  <c r="H82" i="143"/>
  <c r="D82" i="143" s="1"/>
  <c r="C82" i="143" s="1"/>
  <c r="N22" i="143"/>
  <c r="M22" i="143" s="1"/>
  <c r="H22" i="143"/>
  <c r="D22" i="143" s="1"/>
  <c r="C22" i="143" s="1"/>
  <c r="N92" i="143"/>
  <c r="M92" i="143" s="1"/>
  <c r="H92" i="143"/>
  <c r="D92" i="143" s="1"/>
  <c r="C92" i="143" s="1"/>
  <c r="H91" i="143"/>
  <c r="N26" i="143"/>
  <c r="M26" i="143" s="1"/>
  <c r="H26" i="143"/>
  <c r="N84" i="143"/>
  <c r="M84" i="143" s="1"/>
  <c r="H84" i="143"/>
  <c r="D84" i="143" s="1"/>
  <c r="C84" i="143" s="1"/>
  <c r="N110" i="143"/>
  <c r="M110" i="143" s="1"/>
  <c r="H110" i="143"/>
  <c r="D110" i="143" s="1"/>
  <c r="C110" i="143" s="1"/>
  <c r="H15" i="143"/>
  <c r="N8" i="143"/>
  <c r="M8" i="143" s="1"/>
  <c r="H8" i="143"/>
  <c r="D8" i="143" s="1"/>
  <c r="H88" i="143"/>
  <c r="N88" i="143"/>
  <c r="M88" i="143" s="1"/>
  <c r="H54" i="143"/>
  <c r="N73" i="143"/>
  <c r="M73" i="143" s="1"/>
  <c r="H73" i="143"/>
  <c r="D73" i="143" s="1"/>
  <c r="C73" i="143" s="1"/>
  <c r="H32" i="143"/>
  <c r="N32" i="143"/>
  <c r="M32" i="143" s="1"/>
  <c r="H96" i="143"/>
  <c r="D96" i="143" s="1"/>
  <c r="C96" i="143" s="1"/>
  <c r="N96" i="143"/>
  <c r="M96" i="143" s="1"/>
  <c r="H34" i="143"/>
  <c r="D34" i="143" s="1"/>
  <c r="C34" i="143" s="1"/>
  <c r="N34" i="143"/>
  <c r="M34" i="143" s="1"/>
  <c r="N40" i="143"/>
  <c r="M40" i="143" s="1"/>
  <c r="H40" i="143"/>
  <c r="N105" i="143"/>
  <c r="M105" i="143" s="1"/>
  <c r="H105" i="143"/>
  <c r="D105" i="143" s="1"/>
  <c r="C105" i="143" s="1"/>
  <c r="N29" i="143"/>
  <c r="M29" i="143" s="1"/>
  <c r="H29" i="143"/>
  <c r="D29" i="143" s="1"/>
  <c r="C29" i="143" s="1"/>
  <c r="H10" i="143"/>
  <c r="N10" i="143"/>
  <c r="M10" i="143" s="1"/>
  <c r="H23" i="143"/>
  <c r="D23" i="143" s="1"/>
  <c r="C23" i="143" s="1"/>
  <c r="N23" i="143"/>
  <c r="M23" i="143" s="1"/>
  <c r="H27" i="143"/>
  <c r="N27" i="143"/>
  <c r="M27" i="143" s="1"/>
  <c r="N107" i="143"/>
  <c r="M107" i="143" s="1"/>
  <c r="H107" i="143"/>
  <c r="D107" i="143" s="1"/>
  <c r="C107" i="143" s="1"/>
  <c r="N60" i="143"/>
  <c r="M60" i="143" s="1"/>
  <c r="H60" i="143"/>
  <c r="N94" i="143"/>
  <c r="M94" i="143" s="1"/>
  <c r="H94" i="143"/>
  <c r="D94" i="143" s="1"/>
  <c r="C94" i="143" s="1"/>
  <c r="H30" i="143"/>
  <c r="H42" i="143"/>
  <c r="N42" i="143"/>
  <c r="M42" i="143" s="1"/>
  <c r="N90" i="143"/>
  <c r="M90" i="143" s="1"/>
  <c r="H90" i="143"/>
  <c r="D90" i="143" s="1"/>
  <c r="C90" i="143" s="1"/>
  <c r="H95" i="143"/>
  <c r="H106" i="143"/>
  <c r="D106" i="143" s="1"/>
  <c r="C106" i="143" s="1"/>
  <c r="N106" i="143"/>
  <c r="M106" i="143" s="1"/>
  <c r="H86" i="143"/>
  <c r="D86" i="143" s="1"/>
  <c r="C86" i="143" s="1"/>
  <c r="N86" i="143"/>
  <c r="M86" i="143" s="1"/>
  <c r="H16" i="143"/>
  <c r="N16" i="143"/>
  <c r="M16" i="143" s="1"/>
  <c r="H11" i="143"/>
  <c r="D11" i="143" s="1"/>
  <c r="C11" i="143" s="1"/>
  <c r="N11" i="143"/>
  <c r="M11" i="143" s="1"/>
  <c r="N12" i="143"/>
  <c r="M12" i="143" s="1"/>
  <c r="H12" i="143"/>
  <c r="H97" i="143"/>
  <c r="D97" i="143" s="1"/>
  <c r="C97" i="143" s="1"/>
  <c r="N97" i="143"/>
  <c r="M97" i="143" s="1"/>
  <c r="H43" i="143"/>
  <c r="N43" i="143"/>
  <c r="M43" i="143" s="1"/>
  <c r="AH112" i="142"/>
  <c r="AG7" i="142"/>
  <c r="AG112" i="142" s="1"/>
  <c r="R51" i="142"/>
  <c r="X51" i="142"/>
  <c r="W51" i="142" s="1"/>
  <c r="W16" i="142"/>
  <c r="R13" i="142"/>
  <c r="X13" i="142"/>
  <c r="W13" i="142" s="1"/>
  <c r="W28" i="142"/>
  <c r="X86" i="142"/>
  <c r="W86" i="142" s="1"/>
  <c r="R86" i="142"/>
  <c r="R93" i="142"/>
  <c r="X93" i="142"/>
  <c r="W93" i="142" s="1"/>
  <c r="N81" i="142"/>
  <c r="M81" i="142" s="1"/>
  <c r="H81" i="142"/>
  <c r="R61" i="142"/>
  <c r="X61" i="142"/>
  <c r="W61" i="142" s="1"/>
  <c r="R45" i="142"/>
  <c r="X45" i="142"/>
  <c r="W45" i="142" s="1"/>
  <c r="X77" i="142"/>
  <c r="W77" i="142" s="1"/>
  <c r="R77" i="142"/>
  <c r="R22" i="142"/>
  <c r="X22" i="142"/>
  <c r="W22" i="142" s="1"/>
  <c r="R85" i="142"/>
  <c r="X85" i="142"/>
  <c r="W85" i="142" s="1"/>
  <c r="X44" i="142"/>
  <c r="W44" i="142" s="1"/>
  <c r="R44" i="142"/>
  <c r="X62" i="142"/>
  <c r="W62" i="142" s="1"/>
  <c r="R62" i="142"/>
  <c r="AG29" i="142"/>
  <c r="R109" i="142"/>
  <c r="X109" i="142"/>
  <c r="W109" i="142" s="1"/>
  <c r="AG50" i="142"/>
  <c r="W81" i="142"/>
  <c r="R10" i="142"/>
  <c r="X10" i="142"/>
  <c r="W10" i="142" s="1"/>
  <c r="R31" i="142"/>
  <c r="X31" i="142"/>
  <c r="W31" i="142" s="1"/>
  <c r="AG45" i="142"/>
  <c r="AG34" i="142"/>
  <c r="W110" i="142"/>
  <c r="R8" i="142"/>
  <c r="X8" i="142"/>
  <c r="W8" i="142" s="1"/>
  <c r="R66" i="142"/>
  <c r="X66" i="142"/>
  <c r="W66" i="142" s="1"/>
  <c r="R71" i="142"/>
  <c r="X71" i="142"/>
  <c r="W71" i="142" s="1"/>
  <c r="X74" i="142"/>
  <c r="W74" i="142" s="1"/>
  <c r="R74" i="142"/>
  <c r="X72" i="142"/>
  <c r="AG56" i="142"/>
  <c r="X50" i="142"/>
  <c r="W50" i="142" s="1"/>
  <c r="R50" i="142"/>
  <c r="X11" i="142"/>
  <c r="W11" i="142" s="1"/>
  <c r="R11" i="142"/>
  <c r="R59" i="142"/>
  <c r="X59" i="142"/>
  <c r="W59" i="142" s="1"/>
  <c r="R47" i="142"/>
  <c r="X47" i="142"/>
  <c r="W47" i="142" s="1"/>
  <c r="AG10" i="142"/>
  <c r="AG48" i="142"/>
  <c r="R34" i="142"/>
  <c r="X34" i="142"/>
  <c r="W34" i="142" s="1"/>
  <c r="X35" i="142"/>
  <c r="W35" i="142" s="1"/>
  <c r="R35" i="142"/>
  <c r="H58" i="142"/>
  <c r="N58" i="142"/>
  <c r="M58" i="142" s="1"/>
  <c r="X21" i="142"/>
  <c r="W21" i="142" s="1"/>
  <c r="R21" i="142"/>
  <c r="R39" i="142"/>
  <c r="X39" i="142"/>
  <c r="W39" i="142" s="1"/>
  <c r="N53" i="142"/>
  <c r="M53" i="142" s="1"/>
  <c r="H53" i="142"/>
  <c r="R29" i="142"/>
  <c r="X29" i="142"/>
  <c r="W29" i="142" s="1"/>
  <c r="W92" i="142"/>
  <c r="X40" i="142"/>
  <c r="W40" i="142" s="1"/>
  <c r="R40" i="142"/>
  <c r="H92" i="142"/>
  <c r="D92" i="142" s="1"/>
  <c r="C92" i="142" s="1"/>
  <c r="N92" i="142"/>
  <c r="M92" i="142" s="1"/>
  <c r="AG40" i="142"/>
  <c r="AG88" i="142"/>
  <c r="R82" i="142"/>
  <c r="X82" i="142"/>
  <c r="W82" i="142" s="1"/>
  <c r="X15" i="142"/>
  <c r="W15" i="142" s="1"/>
  <c r="R15" i="142"/>
  <c r="X23" i="142"/>
  <c r="W23" i="142" s="1"/>
  <c r="R23" i="142"/>
  <c r="X48" i="142"/>
  <c r="W48" i="142" s="1"/>
  <c r="R48" i="142"/>
  <c r="R104" i="142"/>
  <c r="X104" i="142"/>
  <c r="W104" i="142" s="1"/>
  <c r="X73" i="142"/>
  <c r="W73" i="142" s="1"/>
  <c r="R73" i="142"/>
  <c r="R54" i="142"/>
  <c r="X54" i="142"/>
  <c r="W54" i="142" s="1"/>
  <c r="R60" i="142"/>
  <c r="X60" i="142"/>
  <c r="W60" i="142" s="1"/>
  <c r="H17" i="142"/>
  <c r="X88" i="142"/>
  <c r="W88" i="142" s="1"/>
  <c r="R88" i="142"/>
  <c r="H20" i="142"/>
  <c r="N20" i="142"/>
  <c r="M20" i="142" s="1"/>
  <c r="X83" i="142"/>
  <c r="X56" i="142"/>
  <c r="W56" i="142" s="1"/>
  <c r="R56" i="142"/>
  <c r="W87" i="142"/>
  <c r="X80" i="142"/>
  <c r="W80" i="142" s="1"/>
  <c r="R80" i="142"/>
  <c r="R26" i="142"/>
  <c r="X26" i="142"/>
  <c r="W26" i="142" s="1"/>
  <c r="AG73" i="142"/>
  <c r="X100" i="142"/>
  <c r="W100" i="142" s="1"/>
  <c r="R100" i="142"/>
  <c r="AG84" i="142"/>
  <c r="W89" i="142"/>
  <c r="AG83" i="142"/>
  <c r="AG82" i="142"/>
  <c r="X46" i="142"/>
  <c r="W46" i="142" s="1"/>
  <c r="R46" i="142"/>
  <c r="X108" i="142"/>
  <c r="W108" i="142" s="1"/>
  <c r="R108" i="142"/>
  <c r="H87" i="142"/>
  <c r="R30" i="142"/>
  <c r="X30" i="142"/>
  <c r="W30" i="142" s="1"/>
  <c r="AG15" i="142"/>
  <c r="N69" i="142"/>
  <c r="M69" i="142" s="1"/>
  <c r="H69" i="142"/>
  <c r="AG23" i="142"/>
  <c r="X18" i="142"/>
  <c r="W18" i="142" s="1"/>
  <c r="R18" i="142"/>
  <c r="AG37" i="142"/>
  <c r="N75" i="142"/>
  <c r="M75" i="142" s="1"/>
  <c r="H75" i="142"/>
  <c r="X37" i="142"/>
  <c r="W37" i="142" s="1"/>
  <c r="R37" i="142"/>
  <c r="X94" i="142"/>
  <c r="W94" i="142" s="1"/>
  <c r="R94" i="142"/>
  <c r="X64" i="142"/>
  <c r="W64" i="142" s="1"/>
  <c r="R64" i="142"/>
  <c r="N89" i="142"/>
  <c r="M89" i="142" s="1"/>
  <c r="H89" i="142"/>
  <c r="D89" i="142" s="1"/>
  <c r="C89" i="142" s="1"/>
  <c r="X102" i="142"/>
  <c r="X70" i="142"/>
  <c r="W70" i="142" s="1"/>
  <c r="R103" i="142"/>
  <c r="X103" i="142"/>
  <c r="W103" i="142" s="1"/>
  <c r="AG8" i="142"/>
  <c r="X63" i="142"/>
  <c r="W63" i="142" s="1"/>
  <c r="R63" i="142"/>
  <c r="X27" i="142"/>
  <c r="W27" i="142" s="1"/>
  <c r="R27" i="142"/>
  <c r="AE112" i="142"/>
  <c r="BG112" i="142"/>
  <c r="R97" i="142"/>
  <c r="X97" i="142"/>
  <c r="W97" i="142" s="1"/>
  <c r="AG66" i="142"/>
  <c r="X105" i="142"/>
  <c r="W105" i="142" s="1"/>
  <c r="R105" i="142"/>
  <c r="X95" i="142"/>
  <c r="W95" i="142" s="1"/>
  <c r="R95" i="142"/>
  <c r="R99" i="142"/>
  <c r="X99" i="142"/>
  <c r="W99" i="142" s="1"/>
  <c r="R43" i="142"/>
  <c r="X43" i="142"/>
  <c r="W43" i="142" s="1"/>
  <c r="X68" i="142"/>
  <c r="W68" i="142" s="1"/>
  <c r="R68" i="142"/>
  <c r="AG39" i="142"/>
  <c r="X12" i="142"/>
  <c r="W12" i="142" s="1"/>
  <c r="R12" i="142"/>
  <c r="AG94" i="142"/>
  <c r="AG98" i="142"/>
  <c r="X84" i="142"/>
  <c r="W84" i="142" s="1"/>
  <c r="R84" i="142"/>
  <c r="N16" i="142"/>
  <c r="M16" i="142" s="1"/>
  <c r="H16" i="142"/>
  <c r="R90" i="142"/>
  <c r="X90" i="142"/>
  <c r="W90" i="142" s="1"/>
  <c r="R19" i="142"/>
  <c r="X19" i="142"/>
  <c r="W19" i="142" s="1"/>
  <c r="R32" i="142"/>
  <c r="X32" i="142"/>
  <c r="W32" i="142" s="1"/>
  <c r="X91" i="142"/>
  <c r="R91" i="142"/>
  <c r="AG13" i="142"/>
  <c r="N28" i="142"/>
  <c r="M28" i="142" s="1"/>
  <c r="H28" i="142"/>
  <c r="X55" i="142"/>
  <c r="W55" i="142" s="1"/>
  <c r="R55" i="142"/>
  <c r="R36" i="142"/>
  <c r="X36" i="142"/>
  <c r="W36" i="142" s="1"/>
  <c r="R25" i="142"/>
  <c r="X25" i="142"/>
  <c r="W25" i="142" s="1"/>
  <c r="AG95" i="142"/>
  <c r="AG77" i="142"/>
  <c r="R42" i="142"/>
  <c r="X42" i="142"/>
  <c r="W42" i="142" s="1"/>
  <c r="R106" i="142"/>
  <c r="X106" i="142"/>
  <c r="W106" i="142" s="1"/>
  <c r="X98" i="142"/>
  <c r="W98" i="142" s="1"/>
  <c r="R98" i="142"/>
  <c r="D112" i="143" l="1"/>
  <c r="C8" i="143"/>
  <c r="C112" i="143" s="1"/>
  <c r="X7" i="143"/>
  <c r="H106" i="142"/>
  <c r="D106" i="142" s="1"/>
  <c r="C106" i="142" s="1"/>
  <c r="N106" i="142"/>
  <c r="M106" i="142" s="1"/>
  <c r="N36" i="142"/>
  <c r="M36" i="142" s="1"/>
  <c r="H36" i="142"/>
  <c r="D36" i="142" s="1"/>
  <c r="C36" i="142" s="1"/>
  <c r="H90" i="142"/>
  <c r="D90" i="142" s="1"/>
  <c r="C90" i="142" s="1"/>
  <c r="N90" i="142"/>
  <c r="M90" i="142" s="1"/>
  <c r="H43" i="142"/>
  <c r="N43" i="142"/>
  <c r="M43" i="142" s="1"/>
  <c r="H104" i="142"/>
  <c r="N104" i="142"/>
  <c r="M104" i="142" s="1"/>
  <c r="N82" i="142"/>
  <c r="M82" i="142" s="1"/>
  <c r="H82" i="142"/>
  <c r="D82" i="142" s="1"/>
  <c r="C82" i="142" s="1"/>
  <c r="H40" i="142"/>
  <c r="N40" i="142"/>
  <c r="M40" i="142" s="1"/>
  <c r="H31" i="142"/>
  <c r="N31" i="142"/>
  <c r="M31" i="142" s="1"/>
  <c r="H62" i="142"/>
  <c r="D62" i="142" s="1"/>
  <c r="C62" i="142" s="1"/>
  <c r="N62" i="142"/>
  <c r="M62" i="142" s="1"/>
  <c r="H77" i="142"/>
  <c r="H94" i="142"/>
  <c r="D94" i="142" s="1"/>
  <c r="C94" i="142" s="1"/>
  <c r="N94" i="142"/>
  <c r="M94" i="142" s="1"/>
  <c r="H55" i="142"/>
  <c r="D55" i="142" s="1"/>
  <c r="C55" i="142" s="1"/>
  <c r="N55" i="142"/>
  <c r="M55" i="142" s="1"/>
  <c r="H91" i="142"/>
  <c r="N97" i="142"/>
  <c r="M97" i="142" s="1"/>
  <c r="H97" i="142"/>
  <c r="D97" i="142" s="1"/>
  <c r="C97" i="142" s="1"/>
  <c r="N37" i="142"/>
  <c r="M37" i="142" s="1"/>
  <c r="H37" i="142"/>
  <c r="H18" i="142"/>
  <c r="N18" i="142"/>
  <c r="M18" i="142" s="1"/>
  <c r="N108" i="142"/>
  <c r="M108" i="142" s="1"/>
  <c r="H108" i="142"/>
  <c r="H100" i="142"/>
  <c r="D100" i="142" s="1"/>
  <c r="C100" i="142" s="1"/>
  <c r="N100" i="142"/>
  <c r="M100" i="142" s="1"/>
  <c r="N56" i="142"/>
  <c r="M56" i="142" s="1"/>
  <c r="H56" i="142"/>
  <c r="D56" i="142" s="1"/>
  <c r="C56" i="142" s="1"/>
  <c r="N48" i="142"/>
  <c r="M48" i="142" s="1"/>
  <c r="H48" i="142"/>
  <c r="D48" i="142" s="1"/>
  <c r="C48" i="142" s="1"/>
  <c r="H66" i="142"/>
  <c r="N66" i="142"/>
  <c r="M66" i="142" s="1"/>
  <c r="N13" i="142"/>
  <c r="M13" i="142" s="1"/>
  <c r="H13" i="142"/>
  <c r="H42" i="142"/>
  <c r="N42" i="142"/>
  <c r="M42" i="142" s="1"/>
  <c r="N12" i="142"/>
  <c r="M12" i="142" s="1"/>
  <c r="H12" i="142"/>
  <c r="H99" i="142"/>
  <c r="N99" i="142"/>
  <c r="M99" i="142" s="1"/>
  <c r="H88" i="142"/>
  <c r="N88" i="142"/>
  <c r="M88" i="142" s="1"/>
  <c r="H60" i="142"/>
  <c r="N60" i="142"/>
  <c r="M60" i="142" s="1"/>
  <c r="H47" i="142"/>
  <c r="D47" i="142" s="1"/>
  <c r="C47" i="142" s="1"/>
  <c r="N47" i="142"/>
  <c r="M47" i="142" s="1"/>
  <c r="H10" i="142"/>
  <c r="N10" i="142"/>
  <c r="M10" i="142" s="1"/>
  <c r="H44" i="142"/>
  <c r="N63" i="142"/>
  <c r="M63" i="142" s="1"/>
  <c r="H63" i="142"/>
  <c r="N22" i="142"/>
  <c r="M22" i="142" s="1"/>
  <c r="H22" i="142"/>
  <c r="D22" i="142" s="1"/>
  <c r="C22" i="142" s="1"/>
  <c r="H95" i="142"/>
  <c r="AD112" i="142"/>
  <c r="AB7" i="142"/>
  <c r="H103" i="142"/>
  <c r="N103" i="142"/>
  <c r="M103" i="142" s="1"/>
  <c r="H30" i="142"/>
  <c r="N46" i="142"/>
  <c r="M46" i="142" s="1"/>
  <c r="H46" i="142"/>
  <c r="D46" i="142" s="1"/>
  <c r="C46" i="142" s="1"/>
  <c r="H23" i="142"/>
  <c r="D23" i="142" s="1"/>
  <c r="C23" i="142" s="1"/>
  <c r="N23" i="142"/>
  <c r="M23" i="142" s="1"/>
  <c r="N39" i="142"/>
  <c r="M39" i="142" s="1"/>
  <c r="H39" i="142"/>
  <c r="D39" i="142" s="1"/>
  <c r="C39" i="142" s="1"/>
  <c r="H35" i="142"/>
  <c r="D35" i="142" s="1"/>
  <c r="C35" i="142" s="1"/>
  <c r="N35" i="142"/>
  <c r="M35" i="142" s="1"/>
  <c r="H8" i="142"/>
  <c r="D8" i="142" s="1"/>
  <c r="N8" i="142"/>
  <c r="M8" i="142" s="1"/>
  <c r="H45" i="142"/>
  <c r="N45" i="142"/>
  <c r="M45" i="142" s="1"/>
  <c r="H32" i="142"/>
  <c r="N32" i="142"/>
  <c r="M32" i="142" s="1"/>
  <c r="H54" i="142"/>
  <c r="H29" i="142"/>
  <c r="D29" i="142" s="1"/>
  <c r="C29" i="142" s="1"/>
  <c r="N29" i="142"/>
  <c r="M29" i="142" s="1"/>
  <c r="H21" i="142"/>
  <c r="D21" i="142" s="1"/>
  <c r="C21" i="142" s="1"/>
  <c r="N21" i="142"/>
  <c r="M21" i="142" s="1"/>
  <c r="H59" i="142"/>
  <c r="N74" i="142"/>
  <c r="M74" i="142" s="1"/>
  <c r="H74" i="142"/>
  <c r="H93" i="142"/>
  <c r="N51" i="142"/>
  <c r="M51" i="142" s="1"/>
  <c r="H51" i="142"/>
  <c r="D51" i="142" s="1"/>
  <c r="C51" i="142" s="1"/>
  <c r="H50" i="142"/>
  <c r="D50" i="142" s="1"/>
  <c r="C50" i="142" s="1"/>
  <c r="N50" i="142"/>
  <c r="M50" i="142" s="1"/>
  <c r="H98" i="142"/>
  <c r="N98" i="142"/>
  <c r="M98" i="142" s="1"/>
  <c r="H68" i="142"/>
  <c r="D68" i="142" s="1"/>
  <c r="C68" i="142" s="1"/>
  <c r="N68" i="142"/>
  <c r="M68" i="142" s="1"/>
  <c r="N105" i="142"/>
  <c r="M105" i="142" s="1"/>
  <c r="H105" i="142"/>
  <c r="D105" i="142" s="1"/>
  <c r="C105" i="142" s="1"/>
  <c r="H27" i="142"/>
  <c r="N27" i="142"/>
  <c r="M27" i="142" s="1"/>
  <c r="H64" i="142"/>
  <c r="N64" i="142"/>
  <c r="M64" i="142" s="1"/>
  <c r="H26" i="142"/>
  <c r="N26" i="142"/>
  <c r="M26" i="142" s="1"/>
  <c r="N73" i="142"/>
  <c r="M73" i="142" s="1"/>
  <c r="H73" i="142"/>
  <c r="D73" i="142" s="1"/>
  <c r="C73" i="142" s="1"/>
  <c r="H15" i="142"/>
  <c r="H11" i="142"/>
  <c r="D11" i="142" s="1"/>
  <c r="C11" i="142" s="1"/>
  <c r="N11" i="142"/>
  <c r="M11" i="142" s="1"/>
  <c r="H85" i="142"/>
  <c r="N85" i="142"/>
  <c r="M85" i="142" s="1"/>
  <c r="H61" i="142"/>
  <c r="N61" i="142"/>
  <c r="M61" i="142" s="1"/>
  <c r="N86" i="142"/>
  <c r="M86" i="142" s="1"/>
  <c r="H86" i="142"/>
  <c r="D86" i="142" s="1"/>
  <c r="C86" i="142" s="1"/>
  <c r="N71" i="142"/>
  <c r="M71" i="142" s="1"/>
  <c r="H71" i="142"/>
  <c r="H25" i="142"/>
  <c r="H19" i="142"/>
  <c r="N84" i="142"/>
  <c r="M84" i="142" s="1"/>
  <c r="H84" i="142"/>
  <c r="D84" i="142" s="1"/>
  <c r="C84" i="142" s="1"/>
  <c r="H80" i="142"/>
  <c r="N80" i="142"/>
  <c r="M80" i="142" s="1"/>
  <c r="N34" i="142"/>
  <c r="M34" i="142" s="1"/>
  <c r="H34" i="142"/>
  <c r="D34" i="142" s="1"/>
  <c r="C34" i="142" s="1"/>
  <c r="H109" i="142"/>
  <c r="N109" i="142"/>
  <c r="M109" i="142" s="1"/>
  <c r="T112" i="143" l="1"/>
  <c r="R7" i="143"/>
  <c r="X112" i="143"/>
  <c r="W7" i="143"/>
  <c r="W112" i="143" s="1"/>
  <c r="C8" i="142"/>
  <c r="X7" i="142"/>
  <c r="D45" i="142"/>
  <c r="C45" i="142" s="1"/>
  <c r="D64" i="142"/>
  <c r="C64" i="142" s="1"/>
  <c r="C112" i="142" l="1"/>
  <c r="N7" i="143"/>
  <c r="H7" i="143"/>
  <c r="D112" i="142"/>
  <c r="T112" i="142"/>
  <c r="R7" i="142"/>
  <c r="X112" i="142"/>
  <c r="W7" i="142"/>
  <c r="W112" i="142" s="1"/>
  <c r="N112" i="143" l="1"/>
  <c r="M7" i="143"/>
  <c r="M112" i="143" s="1"/>
  <c r="N7" i="142"/>
  <c r="H7" i="142"/>
  <c r="N112" i="142" l="1"/>
  <c r="M7" i="142"/>
  <c r="M112" i="142" s="1"/>
  <c r="D114" i="4" l="1"/>
  <c r="E115" i="4" l="1"/>
  <c r="D3660" i="19"/>
  <c r="D3661" i="19" s="1"/>
  <c r="D3659" i="19"/>
  <c r="D3658" i="19"/>
  <c r="D3657" i="19"/>
  <c r="D3655" i="19"/>
  <c r="D3656" i="19" s="1"/>
  <c r="D3654" i="19"/>
  <c r="D3653" i="19"/>
  <c r="D3652" i="19"/>
  <c r="D3651" i="19"/>
  <c r="D3650" i="19"/>
  <c r="D3649" i="19"/>
  <c r="D3648" i="19"/>
  <c r="D3647" i="19"/>
  <c r="D3646" i="19"/>
  <c r="D3645" i="19"/>
  <c r="D3644" i="19"/>
  <c r="D3643" i="19"/>
  <c r="D3642" i="19"/>
  <c r="D3641" i="19"/>
  <c r="D3640" i="19"/>
  <c r="D3639" i="19"/>
  <c r="D3638" i="19"/>
  <c r="D3637" i="19"/>
  <c r="D3636" i="19"/>
  <c r="D3635" i="19"/>
  <c r="D3633" i="19"/>
  <c r="D3634" i="19" s="1"/>
  <c r="D3632" i="19"/>
  <c r="D3631" i="19"/>
  <c r="D3630" i="19"/>
  <c r="D3629" i="19"/>
  <c r="D3628" i="19"/>
  <c r="D3627" i="19"/>
  <c r="D3626" i="19"/>
  <c r="D3625" i="19"/>
  <c r="D3624" i="19"/>
  <c r="D3623" i="19"/>
  <c r="D3622" i="19"/>
  <c r="D3621" i="19"/>
  <c r="D3620" i="19"/>
  <c r="D3619" i="19"/>
  <c r="D3618" i="19"/>
  <c r="D3617" i="19"/>
  <c r="D3616" i="19"/>
  <c r="D3615" i="19"/>
  <c r="D3614" i="19"/>
  <c r="D3613" i="19"/>
  <c r="D3612" i="19"/>
  <c r="D3611" i="19"/>
  <c r="D3610" i="19"/>
  <c r="D3609" i="19"/>
  <c r="D3608" i="19"/>
  <c r="D3607" i="19"/>
  <c r="D3606" i="19"/>
  <c r="D3605" i="19"/>
  <c r="D3604" i="19"/>
  <c r="D3603" i="19"/>
  <c r="D3602" i="19"/>
  <c r="D3600" i="19"/>
  <c r="D3601" i="19" s="1"/>
  <c r="D3599" i="19"/>
  <c r="D3598" i="19"/>
  <c r="D3597" i="19"/>
  <c r="D3596" i="19"/>
  <c r="D556" i="12" l="1"/>
  <c r="D555" i="12"/>
  <c r="D554" i="12"/>
  <c r="AB9" i="45" l="1"/>
  <c r="AB7" i="45"/>
  <c r="AB6" i="45"/>
  <c r="AA5" i="45"/>
  <c r="AB3" i="45"/>
  <c r="AC3" i="45" s="1"/>
  <c r="AB2" i="45"/>
  <c r="AB5" i="45" s="1"/>
  <c r="AC2" i="45" l="1"/>
  <c r="AC5" i="45" s="1"/>
  <c r="Q5" i="88"/>
  <c r="P5" i="88"/>
  <c r="O5" i="88"/>
  <c r="AB8" i="45"/>
  <c r="AA8" i="45"/>
  <c r="D113" i="4" l="1"/>
  <c r="D112" i="4"/>
  <c r="D111" i="4"/>
  <c r="E111" i="4" s="1"/>
  <c r="D110" i="4"/>
  <c r="D109" i="4"/>
  <c r="E109" i="4" s="1"/>
  <c r="D108" i="4"/>
  <c r="D107" i="4"/>
  <c r="D106" i="4"/>
  <c r="D105" i="4"/>
  <c r="D104" i="4"/>
  <c r="D103" i="4"/>
  <c r="E103" i="4" s="1"/>
  <c r="D102" i="4"/>
  <c r="D101" i="4"/>
  <c r="E101" i="4" s="1"/>
  <c r="D100" i="4"/>
  <c r="D99" i="4"/>
  <c r="D98" i="4"/>
  <c r="E98" i="4" s="1"/>
  <c r="D97" i="4"/>
  <c r="D96" i="4"/>
  <c r="D95" i="4"/>
  <c r="E95" i="4" s="1"/>
  <c r="D94" i="4"/>
  <c r="D93" i="4"/>
  <c r="E93" i="4" s="1"/>
  <c r="D92" i="4"/>
  <c r="D91" i="4"/>
  <c r="D90" i="4"/>
  <c r="D89" i="4"/>
  <c r="D88" i="4"/>
  <c r="D87" i="4"/>
  <c r="E87" i="4" s="1"/>
  <c r="D86" i="4"/>
  <c r="D85" i="4"/>
  <c r="E85" i="4" s="1"/>
  <c r="D84" i="4"/>
  <c r="D83" i="4"/>
  <c r="D82" i="4"/>
  <c r="E82" i="4" s="1"/>
  <c r="D81" i="4"/>
  <c r="D80" i="4"/>
  <c r="D79" i="4"/>
  <c r="E79" i="4" s="1"/>
  <c r="D78" i="4"/>
  <c r="D77" i="4"/>
  <c r="E77" i="4" s="1"/>
  <c r="D76" i="4"/>
  <c r="D75" i="4"/>
  <c r="D74" i="4"/>
  <c r="D73" i="4"/>
  <c r="D72" i="4"/>
  <c r="D71" i="4"/>
  <c r="E71" i="4" s="1"/>
  <c r="D70" i="4"/>
  <c r="D69" i="4"/>
  <c r="E69" i="4" s="1"/>
  <c r="D68" i="4"/>
  <c r="D67" i="4"/>
  <c r="D66" i="4"/>
  <c r="D65" i="4"/>
  <c r="D64" i="4"/>
  <c r="D63" i="4"/>
  <c r="D62" i="4"/>
  <c r="D61" i="4"/>
  <c r="E61" i="4" s="1"/>
  <c r="D60" i="4"/>
  <c r="D59" i="4"/>
  <c r="D58" i="4"/>
  <c r="D57" i="4"/>
  <c r="D56" i="4"/>
  <c r="D55" i="4"/>
  <c r="D54" i="4"/>
  <c r="D53" i="4"/>
  <c r="E53" i="4" s="1"/>
  <c r="D52" i="4"/>
  <c r="D51" i="4"/>
  <c r="D50" i="4"/>
  <c r="E50" i="4" s="1"/>
  <c r="D49" i="4"/>
  <c r="D48" i="4"/>
  <c r="D47" i="4"/>
  <c r="D46" i="4"/>
  <c r="D45" i="4"/>
  <c r="E45" i="4" s="1"/>
  <c r="D44" i="4"/>
  <c r="D43" i="4"/>
  <c r="D42" i="4"/>
  <c r="D41" i="4"/>
  <c r="D40" i="4"/>
  <c r="D39" i="4"/>
  <c r="D38" i="4"/>
  <c r="D37" i="4"/>
  <c r="E37" i="4" s="1"/>
  <c r="D36" i="4"/>
  <c r="D35" i="4"/>
  <c r="D34" i="4"/>
  <c r="D33" i="4"/>
  <c r="D32" i="4"/>
  <c r="D31" i="4"/>
  <c r="D30" i="4"/>
  <c r="D29" i="4"/>
  <c r="E29" i="4" s="1"/>
  <c r="D28" i="4"/>
  <c r="D27" i="4"/>
  <c r="D26" i="4"/>
  <c r="D25" i="4"/>
  <c r="D24" i="4"/>
  <c r="D23" i="4"/>
  <c r="D22" i="4"/>
  <c r="E54" i="4" l="1"/>
  <c r="E62" i="4"/>
  <c r="E70" i="4"/>
  <c r="E78" i="4"/>
  <c r="E86" i="4"/>
  <c r="E94" i="4"/>
  <c r="E102" i="4"/>
  <c r="E110" i="4"/>
  <c r="E38" i="4"/>
  <c r="E56" i="4"/>
  <c r="E72" i="4"/>
  <c r="E88" i="4"/>
  <c r="E96" i="4"/>
  <c r="E104" i="4"/>
  <c r="E32" i="4"/>
  <c r="E33" i="4"/>
  <c r="E49" i="4"/>
  <c r="E46" i="4"/>
  <c r="E24" i="4"/>
  <c r="E40" i="4"/>
  <c r="E25" i="4"/>
  <c r="E58" i="4"/>
  <c r="E90" i="4"/>
  <c r="E48" i="4"/>
  <c r="E41" i="4"/>
  <c r="E30" i="4"/>
  <c r="E64" i="4"/>
  <c r="E113" i="4"/>
  <c r="E114" i="4"/>
  <c r="E31" i="4"/>
  <c r="E112" i="4"/>
  <c r="E39" i="4"/>
  <c r="E57" i="4"/>
  <c r="E65" i="4"/>
  <c r="E73" i="4"/>
  <c r="E81" i="4"/>
  <c r="E89" i="4"/>
  <c r="E97" i="4"/>
  <c r="E105" i="4"/>
  <c r="E23" i="4"/>
  <c r="E26" i="4"/>
  <c r="E35" i="4"/>
  <c r="E43" i="4"/>
  <c r="E51" i="4"/>
  <c r="E59" i="4"/>
  <c r="E67" i="4"/>
  <c r="E75" i="4"/>
  <c r="E83" i="4"/>
  <c r="E91" i="4"/>
  <c r="E99" i="4"/>
  <c r="E107" i="4"/>
  <c r="E55" i="4"/>
  <c r="E34" i="4"/>
  <c r="E66" i="4"/>
  <c r="E47" i="4"/>
  <c r="E28" i="4"/>
  <c r="E36" i="4"/>
  <c r="E44" i="4"/>
  <c r="E52" i="4"/>
  <c r="E60" i="4"/>
  <c r="E68" i="4"/>
  <c r="E76" i="4"/>
  <c r="E84" i="4"/>
  <c r="E92" i="4"/>
  <c r="E100" i="4"/>
  <c r="E108" i="4"/>
  <c r="E63" i="4"/>
  <c r="E42" i="4"/>
  <c r="E74" i="4"/>
  <c r="E106" i="4"/>
  <c r="E80" i="4"/>
  <c r="E27" i="4"/>
  <c r="D3595" i="19" l="1"/>
  <c r="D3594" i="19"/>
  <c r="D3593" i="19"/>
  <c r="D3592" i="19"/>
  <c r="D3591" i="19"/>
  <c r="D3590" i="19"/>
  <c r="D3589" i="19"/>
  <c r="D3588" i="19"/>
  <c r="D3587" i="19"/>
  <c r="D3586" i="19"/>
  <c r="D3585" i="19"/>
  <c r="D3584" i="19"/>
  <c r="D3583" i="19"/>
  <c r="D3582" i="19"/>
  <c r="D3581" i="19"/>
  <c r="D3580" i="19"/>
  <c r="D3579" i="19"/>
  <c r="D3578" i="19"/>
  <c r="D3577" i="19"/>
  <c r="D3576" i="19"/>
  <c r="D3575" i="19"/>
  <c r="D3574" i="19"/>
  <c r="D3573" i="19"/>
  <c r="D3572" i="19"/>
  <c r="D3571" i="19"/>
  <c r="D3570" i="19"/>
  <c r="D3569" i="19"/>
  <c r="D3568" i="19"/>
  <c r="D3567" i="19"/>
  <c r="D3566" i="19"/>
  <c r="D3565" i="19"/>
  <c r="D3564" i="19"/>
  <c r="D3563" i="19"/>
  <c r="D3562" i="19"/>
  <c r="D3561" i="19"/>
  <c r="D3560" i="19"/>
  <c r="D3559" i="19"/>
  <c r="D3558" i="19"/>
  <c r="D3557" i="19"/>
  <c r="D3556" i="19"/>
  <c r="D3555" i="19"/>
  <c r="D3554" i="19"/>
  <c r="D3553" i="19"/>
  <c r="D3552" i="19"/>
  <c r="D3551" i="19"/>
  <c r="D3550" i="19"/>
  <c r="D3549" i="19"/>
  <c r="D3548" i="19"/>
  <c r="D3547" i="19"/>
  <c r="D3546" i="19"/>
  <c r="D3545" i="19"/>
  <c r="D3544" i="19"/>
  <c r="D3543" i="19"/>
  <c r="D3542" i="19"/>
  <c r="D3541" i="19"/>
  <c r="D3540" i="19"/>
  <c r="D3539" i="19"/>
  <c r="D3538" i="19"/>
  <c r="D3537" i="19"/>
  <c r="D3536" i="19"/>
  <c r="D3535" i="19"/>
  <c r="D3534" i="19"/>
  <c r="D3533" i="19"/>
  <c r="D3532" i="19"/>
  <c r="D3531" i="19"/>
  <c r="D3530" i="19"/>
  <c r="D553" i="12" l="1"/>
  <c r="D552" i="12"/>
  <c r="D551" i="12"/>
  <c r="AG9" i="45"/>
  <c r="AG7" i="45"/>
  <c r="AG6" i="45"/>
  <c r="AF5" i="45"/>
  <c r="AG3" i="45"/>
  <c r="AH3" i="45" s="1"/>
  <c r="AG2" i="45"/>
  <c r="R5" i="88"/>
  <c r="S5" i="88"/>
  <c r="T5" i="88"/>
  <c r="AF8" i="45"/>
  <c r="AG5" i="45" l="1"/>
  <c r="AH2" i="45"/>
  <c r="AH5" i="45" s="1"/>
  <c r="AG8" i="45"/>
  <c r="J32" i="11" l="1"/>
  <c r="B3" i="14"/>
  <c r="C9" i="6"/>
  <c r="W1" i="35"/>
  <c r="C3" i="35"/>
  <c r="C24" i="2"/>
  <c r="C25" i="2"/>
  <c r="C3" i="2"/>
  <c r="C3" i="1"/>
  <c r="I9" i="136" l="1"/>
  <c r="I6" i="136" l="1"/>
  <c r="I11" i="136"/>
  <c r="I7" i="136" l="1"/>
  <c r="W2" i="35"/>
  <c r="AC19" i="35" s="1"/>
  <c r="J1" i="14"/>
  <c r="L1" i="6"/>
  <c r="C2" i="48"/>
  <c r="D3529" i="19" l="1"/>
  <c r="D3528" i="19"/>
  <c r="D3527" i="19"/>
  <c r="D3526" i="19"/>
  <c r="D3525" i="19"/>
  <c r="D3524" i="19"/>
  <c r="D3523" i="19"/>
  <c r="D3522" i="19"/>
  <c r="D3520" i="19"/>
  <c r="D3521" i="19" s="1"/>
  <c r="D3519" i="19"/>
  <c r="D3518" i="19"/>
  <c r="D3517" i="19"/>
  <c r="D3516" i="19"/>
  <c r="D3515" i="19"/>
  <c r="D3514" i="19"/>
  <c r="D3513" i="19"/>
  <c r="D3512" i="19"/>
  <c r="D3511" i="19"/>
  <c r="D3510" i="19"/>
  <c r="D3509" i="19"/>
  <c r="D3508" i="19"/>
  <c r="D3507" i="19"/>
  <c r="D3505" i="19"/>
  <c r="D3506" i="19" s="1"/>
  <c r="D3504" i="19"/>
  <c r="D3503" i="19"/>
  <c r="D3502" i="19"/>
  <c r="D3501" i="19"/>
  <c r="D3500" i="19"/>
  <c r="D3499" i="19"/>
  <c r="D3498" i="19"/>
  <c r="D3497" i="19"/>
  <c r="D3496" i="19"/>
  <c r="D3495" i="19"/>
  <c r="D3494" i="19"/>
  <c r="D3493" i="19"/>
  <c r="D3492" i="19"/>
  <c r="D3491" i="19"/>
  <c r="D3490" i="19"/>
  <c r="D3489" i="19"/>
  <c r="D3488" i="19"/>
  <c r="D3487" i="19"/>
  <c r="D3486" i="19"/>
  <c r="D3485" i="19"/>
  <c r="D3484" i="19"/>
  <c r="D3483" i="19"/>
  <c r="D3482" i="19"/>
  <c r="D3481" i="19"/>
  <c r="D3480" i="19"/>
  <c r="D3479" i="19"/>
  <c r="D3478" i="19"/>
  <c r="D3477" i="19"/>
  <c r="D3476" i="19"/>
  <c r="D3475" i="19"/>
  <c r="D3474" i="19"/>
  <c r="D3473" i="19"/>
  <c r="D3472" i="19"/>
  <c r="D3471" i="19"/>
  <c r="D3470" i="19"/>
  <c r="D3469" i="19"/>
  <c r="D3468" i="19"/>
  <c r="D3467" i="19"/>
  <c r="D3466" i="19"/>
  <c r="D550" i="12"/>
  <c r="D549" i="12"/>
  <c r="D548" i="12"/>
  <c r="AL9" i="45" l="1"/>
  <c r="AL7" i="45"/>
  <c r="AL6" i="45"/>
  <c r="AK5" i="45"/>
  <c r="AL3" i="45"/>
  <c r="AM3" i="45" s="1"/>
  <c r="AL2" i="45"/>
  <c r="AM2" i="45" s="1"/>
  <c r="AL5" i="45" l="1"/>
  <c r="AM5" i="45"/>
  <c r="W5" i="88" l="1"/>
  <c r="V5" i="88"/>
  <c r="U5" i="88"/>
  <c r="AL8" i="45"/>
  <c r="AK8" i="45"/>
  <c r="D3465" i="19" l="1"/>
  <c r="D3464" i="19"/>
  <c r="D3463" i="19"/>
  <c r="D3462" i="19"/>
  <c r="D3461" i="19"/>
  <c r="D3460" i="19"/>
  <c r="D3459" i="19"/>
  <c r="D3458" i="19"/>
  <c r="D3457" i="19"/>
  <c r="D3456" i="19"/>
  <c r="D3455" i="19"/>
  <c r="D3454" i="19"/>
  <c r="D3453" i="19"/>
  <c r="D3452" i="19"/>
  <c r="D3451" i="19"/>
  <c r="D3450" i="19"/>
  <c r="D3449" i="19"/>
  <c r="D3448" i="19"/>
  <c r="D3447" i="19"/>
  <c r="D3446" i="19"/>
  <c r="D3445" i="19"/>
  <c r="D3444" i="19"/>
  <c r="D3443" i="19"/>
  <c r="D3442" i="19"/>
  <c r="D3441" i="19"/>
  <c r="D3440" i="19"/>
  <c r="D3439" i="19"/>
  <c r="D3438" i="19"/>
  <c r="D3437" i="19"/>
  <c r="D3435" i="19"/>
  <c r="D3436" i="19" s="1"/>
  <c r="D3434" i="19"/>
  <c r="D3433" i="19"/>
  <c r="D3432" i="19"/>
  <c r="D3431" i="19"/>
  <c r="D3430" i="19"/>
  <c r="D3429" i="19"/>
  <c r="D3428" i="19"/>
  <c r="D3427" i="19"/>
  <c r="D3426" i="19"/>
  <c r="D3425" i="19"/>
  <c r="D3424" i="19"/>
  <c r="D3423" i="19"/>
  <c r="D3422" i="19"/>
  <c r="D3421" i="19"/>
  <c r="D3420" i="19"/>
  <c r="D3419" i="19"/>
  <c r="D3418" i="19"/>
  <c r="D3417" i="19"/>
  <c r="D3416" i="19"/>
  <c r="D3415" i="19"/>
  <c r="D3414" i="19"/>
  <c r="D3413" i="19"/>
  <c r="D3412" i="19"/>
  <c r="D3410" i="19"/>
  <c r="D3411" i="19" s="1"/>
  <c r="D3409" i="19"/>
  <c r="D3408" i="19"/>
  <c r="D3407" i="19"/>
  <c r="D3406" i="19"/>
  <c r="D3405" i="19"/>
  <c r="D3404" i="19"/>
  <c r="D3403" i="19"/>
  <c r="D3402" i="19"/>
  <c r="D547" i="12"/>
  <c r="D546" i="12"/>
  <c r="D545" i="12"/>
  <c r="DH9" i="45" l="1"/>
  <c r="DD9" i="45"/>
  <c r="CZ9" i="45"/>
  <c r="CV9" i="45"/>
  <c r="CR9" i="45"/>
  <c r="CN9" i="45"/>
  <c r="CJ9" i="45"/>
  <c r="CF9" i="45"/>
  <c r="CB9" i="45"/>
  <c r="BX9" i="45"/>
  <c r="BT9" i="45"/>
  <c r="BP9" i="45"/>
  <c r="BK9" i="45"/>
  <c r="BF9" i="45"/>
  <c r="BA9" i="45"/>
  <c r="AV9" i="45"/>
  <c r="DH6" i="45"/>
  <c r="DD6" i="45"/>
  <c r="CZ6" i="45"/>
  <c r="CV6" i="45"/>
  <c r="CR6" i="45"/>
  <c r="CN6" i="45"/>
  <c r="CJ6" i="45"/>
  <c r="CF6" i="45"/>
  <c r="CB6" i="45"/>
  <c r="BX6" i="45"/>
  <c r="BT6" i="45"/>
  <c r="BP6" i="45"/>
  <c r="BK6" i="45"/>
  <c r="BF6" i="45"/>
  <c r="BA6" i="45"/>
  <c r="AV6" i="45"/>
  <c r="AQ9" i="45"/>
  <c r="AQ7" i="45"/>
  <c r="AQ6" i="45"/>
  <c r="AP5" i="45"/>
  <c r="AQ3" i="45"/>
  <c r="AR3" i="45" s="1"/>
  <c r="AQ2" i="45"/>
  <c r="AR2" i="45" s="1"/>
  <c r="Z5" i="88"/>
  <c r="Y5" i="88"/>
  <c r="X5" i="88"/>
  <c r="AP8" i="45"/>
  <c r="AR5" i="45" l="1"/>
  <c r="AQ5" i="45"/>
  <c r="AQ8" i="45"/>
  <c r="D3400" i="19" l="1"/>
  <c r="D3401" i="19" s="1"/>
  <c r="D3399" i="19"/>
  <c r="D3398" i="19"/>
  <c r="D3397" i="19"/>
  <c r="D3395" i="19"/>
  <c r="D3394" i="19"/>
  <c r="D3393" i="19"/>
  <c r="D3392" i="19"/>
  <c r="D3391" i="19"/>
  <c r="D3390" i="19"/>
  <c r="D3389" i="19"/>
  <c r="D3388" i="19"/>
  <c r="D3387" i="19"/>
  <c r="D3386" i="19"/>
  <c r="D3385" i="19"/>
  <c r="D3384" i="19"/>
  <c r="D3383" i="19"/>
  <c r="D3382" i="19"/>
  <c r="D3381" i="19"/>
  <c r="D3380" i="19"/>
  <c r="D3379" i="19"/>
  <c r="D3378" i="19"/>
  <c r="D3377" i="19"/>
  <c r="D3376" i="19"/>
  <c r="D3375" i="19"/>
  <c r="D3373" i="19"/>
  <c r="D3374" i="19" s="1"/>
  <c r="D3372" i="19"/>
  <c r="D3371" i="19"/>
  <c r="D3370" i="19"/>
  <c r="D3369" i="19"/>
  <c r="D3368" i="19"/>
  <c r="D3367" i="19"/>
  <c r="D3366" i="19"/>
  <c r="D3396" i="19" l="1"/>
  <c r="D544" i="12"/>
  <c r="D543" i="12"/>
  <c r="D542" i="12"/>
  <c r="AV7" i="45"/>
  <c r="AU5" i="45"/>
  <c r="AV3" i="45"/>
  <c r="AW3" i="45" s="1"/>
  <c r="AV2" i="45"/>
  <c r="AW2" i="45" s="1"/>
  <c r="AC5" i="88"/>
  <c r="AB5" i="88"/>
  <c r="AA5" i="88"/>
  <c r="AU8" i="45"/>
  <c r="AW5" i="45" l="1"/>
  <c r="AV5" i="45"/>
  <c r="AV8" i="45"/>
  <c r="D3364" i="19" l="1"/>
  <c r="D3365" i="19" s="1"/>
  <c r="D3363" i="19"/>
  <c r="D3362" i="19"/>
  <c r="D3361" i="19"/>
  <c r="D3360" i="19"/>
  <c r="D3359" i="19"/>
  <c r="D3358" i="19"/>
  <c r="D3357" i="19"/>
  <c r="D3356" i="19"/>
  <c r="D3355" i="19"/>
  <c r="D3354" i="19"/>
  <c r="D3353" i="19"/>
  <c r="D3352" i="19"/>
  <c r="D3351" i="19"/>
  <c r="D3350" i="19"/>
  <c r="D3349" i="19"/>
  <c r="D3348" i="19"/>
  <c r="D3347" i="19"/>
  <c r="D3346" i="19"/>
  <c r="D3345" i="19"/>
  <c r="D3344" i="19"/>
  <c r="D3343" i="19"/>
  <c r="D3342" i="19"/>
  <c r="D3340" i="19"/>
  <c r="D3341" i="19" s="1"/>
  <c r="D3339" i="19"/>
  <c r="D3338" i="19"/>
  <c r="D3337" i="19"/>
  <c r="D3336" i="19"/>
  <c r="D3335" i="19"/>
  <c r="D3334" i="19"/>
  <c r="D3333" i="19"/>
  <c r="D3332" i="19"/>
  <c r="D3331" i="19"/>
  <c r="D3330" i="19"/>
  <c r="D3329" i="19"/>
  <c r="D3328" i="19"/>
  <c r="D3327" i="19"/>
  <c r="D3326" i="19"/>
  <c r="D3325" i="19"/>
  <c r="D3324" i="19"/>
  <c r="D3323" i="19"/>
  <c r="D3322" i="19"/>
  <c r="D3321" i="19"/>
  <c r="D3320" i="19"/>
  <c r="D3319" i="19"/>
  <c r="D3318" i="19"/>
  <c r="D3317" i="19"/>
  <c r="D3315" i="19"/>
  <c r="D3316" i="19" s="1"/>
  <c r="D3314" i="19"/>
  <c r="D3313" i="19"/>
  <c r="D3312" i="19"/>
  <c r="D3311" i="19"/>
  <c r="D3310" i="19"/>
  <c r="D3309" i="19"/>
  <c r="D3308" i="19"/>
  <c r="D3307" i="19"/>
  <c r="D3306" i="19"/>
  <c r="D3305" i="19"/>
  <c r="D3304" i="19"/>
  <c r="D3303" i="19"/>
  <c r="D3302" i="19"/>
  <c r="D3301" i="19"/>
  <c r="D3300" i="19"/>
  <c r="D3299" i="19"/>
  <c r="D3298" i="19"/>
  <c r="D3297" i="19"/>
  <c r="D3296" i="19"/>
  <c r="D3295" i="19"/>
  <c r="D3294" i="19"/>
  <c r="D3293" i="19"/>
  <c r="D3292" i="19"/>
  <c r="D3291" i="19"/>
  <c r="D3290" i="19"/>
  <c r="D3289" i="19"/>
  <c r="D3288" i="19"/>
  <c r="D3287" i="19"/>
  <c r="D3286" i="19"/>
  <c r="D3285" i="19"/>
  <c r="D3284" i="19"/>
  <c r="D3283" i="19"/>
  <c r="D3282" i="19"/>
  <c r="D3281" i="19"/>
  <c r="D3280" i="19"/>
  <c r="D3279" i="19"/>
  <c r="D3278" i="19"/>
  <c r="D3277" i="19"/>
  <c r="D3276" i="19"/>
  <c r="D3275" i="19"/>
  <c r="D3274" i="19"/>
  <c r="D3273" i="19"/>
  <c r="D3272" i="19"/>
  <c r="D3270" i="19"/>
  <c r="D3271" i="19" s="1"/>
  <c r="D541" i="12"/>
  <c r="D540" i="12"/>
  <c r="D539" i="12"/>
  <c r="BA7" i="45" l="1"/>
  <c r="AZ5" i="45"/>
  <c r="BA3" i="45"/>
  <c r="BB3" i="45" s="1"/>
  <c r="BA2" i="45"/>
  <c r="AF5" i="88"/>
  <c r="AE5" i="88"/>
  <c r="AD5" i="88"/>
  <c r="AZ8" i="45"/>
  <c r="BA5" i="45" l="1"/>
  <c r="BB2" i="45"/>
  <c r="BB5" i="45" s="1"/>
  <c r="BA8" i="45"/>
  <c r="D3269" i="19" l="1"/>
  <c r="D3268" i="19"/>
  <c r="D3267" i="19"/>
  <c r="D3266" i="19"/>
  <c r="D3265" i="19"/>
  <c r="D3264" i="19"/>
  <c r="D3263" i="19"/>
  <c r="D3262" i="19"/>
  <c r="D3260" i="19"/>
  <c r="D3261" i="19" s="1"/>
  <c r="D3259" i="19"/>
  <c r="D3258" i="19"/>
  <c r="D3257" i="19"/>
  <c r="D3256" i="19"/>
  <c r="D3255" i="19"/>
  <c r="D3254" i="19"/>
  <c r="D3253" i="19"/>
  <c r="D3252" i="19"/>
  <c r="D3251" i="19"/>
  <c r="D3250" i="19"/>
  <c r="D3249" i="19"/>
  <c r="D3248" i="19"/>
  <c r="D3247" i="19"/>
  <c r="D3245" i="19"/>
  <c r="D3246" i="19" s="1"/>
  <c r="D3244" i="19"/>
  <c r="D3243" i="19"/>
  <c r="D3242" i="19"/>
  <c r="D3241" i="19"/>
  <c r="D3240" i="19"/>
  <c r="D3239" i="19"/>
  <c r="D3238" i="19"/>
  <c r="D3237" i="19"/>
  <c r="D3236" i="19"/>
  <c r="D3235" i="19"/>
  <c r="D3234" i="19"/>
  <c r="D3233" i="19"/>
  <c r="D3232" i="19"/>
  <c r="D3231" i="19"/>
  <c r="D3230" i="19"/>
  <c r="D3229" i="19"/>
  <c r="D3228" i="19"/>
  <c r="D3227" i="19"/>
  <c r="D3226" i="19"/>
  <c r="D3225" i="19"/>
  <c r="D3224" i="19"/>
  <c r="D3223" i="19"/>
  <c r="D3222" i="19"/>
  <c r="D3221" i="19"/>
  <c r="D3220" i="19"/>
  <c r="D3219" i="19"/>
  <c r="D3218" i="19"/>
  <c r="D3217" i="19"/>
  <c r="D3216" i="19"/>
  <c r="D3214" i="19"/>
  <c r="D3215" i="19" s="1"/>
  <c r="D3213" i="19"/>
  <c r="D3212" i="19"/>
  <c r="D3211" i="19"/>
  <c r="D3210" i="19"/>
  <c r="D3209" i="19"/>
  <c r="D3208" i="19"/>
  <c r="D3207" i="19"/>
  <c r="D3206" i="19"/>
  <c r="D536" i="12" l="1"/>
  <c r="D537" i="12"/>
  <c r="D538" i="12"/>
  <c r="BF7" i="45"/>
  <c r="BE5" i="45"/>
  <c r="BF3" i="45"/>
  <c r="BG3" i="45" s="1"/>
  <c r="BF2" i="45"/>
  <c r="AI5" i="88"/>
  <c r="AH5" i="88"/>
  <c r="AG5" i="88"/>
  <c r="BE8" i="45"/>
  <c r="BF5" i="45" l="1"/>
  <c r="BG2" i="45"/>
  <c r="BG5" i="45" s="1"/>
  <c r="F38" i="11"/>
  <c r="F36" i="11"/>
  <c r="F34" i="11"/>
  <c r="BF8" i="45"/>
  <c r="D3205" i="19" l="1"/>
  <c r="D3204" i="19"/>
  <c r="D3203" i="19"/>
  <c r="D3202" i="19"/>
  <c r="D3201" i="19"/>
  <c r="D3200" i="19"/>
  <c r="D3199" i="19"/>
  <c r="D3198" i="19"/>
  <c r="D3197" i="19"/>
  <c r="D3196" i="19"/>
  <c r="D3195" i="19"/>
  <c r="D3194" i="19"/>
  <c r="D3193" i="19"/>
  <c r="D3192" i="19"/>
  <c r="D3191" i="19"/>
  <c r="D3190" i="19"/>
  <c r="D3189" i="19"/>
  <c r="D3188" i="19"/>
  <c r="D3187" i="19"/>
  <c r="D3186" i="19"/>
  <c r="D3185" i="19"/>
  <c r="D3184" i="19"/>
  <c r="D3183" i="19"/>
  <c r="D3182" i="19"/>
  <c r="D3181" i="19"/>
  <c r="D3180" i="19"/>
  <c r="D3179" i="19"/>
  <c r="D3178" i="19"/>
  <c r="D3177" i="19"/>
  <c r="D3175" i="19"/>
  <c r="D3176" i="19" s="1"/>
  <c r="D3174" i="19"/>
  <c r="D3173" i="19"/>
  <c r="D3172" i="19"/>
  <c r="D3171" i="19"/>
  <c r="D3170" i="19"/>
  <c r="D3169" i="19"/>
  <c r="D3168" i="19"/>
  <c r="D3167" i="19"/>
  <c r="D3166" i="19"/>
  <c r="D535" i="12"/>
  <c r="D534" i="12"/>
  <c r="D533" i="12"/>
  <c r="I25" i="3" l="1"/>
  <c r="I26" i="3" s="1"/>
  <c r="I23" i="3"/>
  <c r="I24" i="3" s="1"/>
  <c r="I21" i="3"/>
  <c r="I22" i="3" s="1"/>
  <c r="BK7" i="45" l="1"/>
  <c r="BJ5" i="45"/>
  <c r="BK3" i="45"/>
  <c r="BL3" i="45" s="1"/>
  <c r="BK2" i="45"/>
  <c r="BK5" i="45" l="1"/>
  <c r="BL2" i="45"/>
  <c r="BL5" i="45" s="1"/>
  <c r="AJ5" i="88"/>
  <c r="AK5" i="88"/>
  <c r="AL5" i="88"/>
  <c r="BJ8" i="45"/>
  <c r="BK8" i="45"/>
  <c r="D3165" i="19" l="1"/>
  <c r="D3164" i="19"/>
  <c r="D3163" i="19"/>
  <c r="D3162" i="19"/>
  <c r="D3161" i="19"/>
  <c r="D3160" i="19"/>
  <c r="D3159" i="19"/>
  <c r="D3158" i="19"/>
  <c r="D3157" i="19"/>
  <c r="D3156" i="19"/>
  <c r="D3155" i="19"/>
  <c r="D3154" i="19"/>
  <c r="D3153" i="19"/>
  <c r="D3152" i="19"/>
  <c r="D3150" i="19"/>
  <c r="D3151" i="19" s="1"/>
  <c r="D3149" i="19"/>
  <c r="D3148" i="19"/>
  <c r="D3147" i="19"/>
  <c r="D3146" i="19"/>
  <c r="D3145" i="19"/>
  <c r="D3144" i="19"/>
  <c r="D3143" i="19"/>
  <c r="D3142" i="19"/>
  <c r="D3141" i="19"/>
  <c r="D3140" i="19"/>
  <c r="D3139" i="19"/>
  <c r="D3138" i="19"/>
  <c r="D3137" i="19"/>
  <c r="D3136" i="19"/>
  <c r="D3134" i="19"/>
  <c r="D3135" i="19" s="1"/>
  <c r="D3133" i="19"/>
  <c r="D3132" i="19"/>
  <c r="D3131" i="19"/>
  <c r="D3130" i="19"/>
  <c r="D3129" i="19"/>
  <c r="D3128" i="19"/>
  <c r="D3127" i="19"/>
  <c r="D3126" i="19"/>
  <c r="D3125" i="19"/>
  <c r="D3124" i="19"/>
  <c r="D3123" i="19"/>
  <c r="D3122" i="19"/>
  <c r="D3121" i="19"/>
  <c r="D3120" i="19"/>
  <c r="D3119" i="19"/>
  <c r="D3118" i="19"/>
  <c r="D3117" i="19"/>
  <c r="D3116" i="19"/>
  <c r="D3115" i="19"/>
  <c r="D3113" i="19"/>
  <c r="D3114" i="19" s="1"/>
  <c r="D3112" i="19"/>
  <c r="D3111" i="19"/>
  <c r="D3110" i="19"/>
  <c r="D3109" i="19"/>
  <c r="D3108" i="19"/>
  <c r="D3107" i="19"/>
  <c r="D3106" i="19"/>
  <c r="D3105" i="19"/>
  <c r="D3103" i="19"/>
  <c r="D3104" i="19" s="1"/>
  <c r="D3102" i="19"/>
  <c r="D3101" i="19"/>
  <c r="D3100" i="19"/>
  <c r="D3099" i="19"/>
  <c r="D3098" i="19"/>
  <c r="D3097" i="19"/>
  <c r="D3096" i="19"/>
  <c r="D3095" i="19"/>
  <c r="D3094" i="19"/>
  <c r="D3093" i="19"/>
  <c r="D3092" i="19"/>
  <c r="D3091" i="19"/>
  <c r="D3090" i="19"/>
  <c r="D3089" i="19"/>
  <c r="D3088" i="19"/>
  <c r="D3087" i="19"/>
  <c r="D3086" i="19"/>
  <c r="D3085" i="19"/>
  <c r="D3084" i="19"/>
  <c r="D3083" i="19"/>
  <c r="D3082" i="19"/>
  <c r="D3080" i="19"/>
  <c r="D3081" i="19" s="1"/>
  <c r="D3079" i="19"/>
  <c r="D3078" i="19"/>
  <c r="D3077" i="19"/>
  <c r="D3076" i="19"/>
  <c r="D3075" i="19"/>
  <c r="D532" i="12" l="1"/>
  <c r="D531" i="12"/>
  <c r="D530" i="12"/>
  <c r="BP7" i="45"/>
  <c r="BO5" i="45"/>
  <c r="BP3" i="45"/>
  <c r="BQ3" i="45" s="1"/>
  <c r="BP2" i="45"/>
  <c r="AM5" i="88"/>
  <c r="AN5" i="88"/>
  <c r="AO5" i="88"/>
  <c r="BO8" i="45"/>
  <c r="BP5" i="45" l="1"/>
  <c r="BQ2" i="45"/>
  <c r="BQ5" i="45" s="1"/>
  <c r="BP8" i="45"/>
  <c r="D3074" i="19" l="1"/>
  <c r="D3073" i="19"/>
  <c r="D3072" i="19"/>
  <c r="D3071" i="19"/>
  <c r="D3070" i="19"/>
  <c r="D3069" i="19"/>
  <c r="D3068" i="19"/>
  <c r="D3067" i="19"/>
  <c r="D3066" i="19"/>
  <c r="D3065" i="19"/>
  <c r="D3064" i="19"/>
  <c r="D3063" i="19"/>
  <c r="D3062" i="19"/>
  <c r="D3061" i="19"/>
  <c r="D3060" i="19"/>
  <c r="D3059" i="19"/>
  <c r="D3058" i="19"/>
  <c r="D3057" i="19"/>
  <c r="D3055" i="19"/>
  <c r="D3056" i="19" s="1"/>
  <c r="D3054" i="19"/>
  <c r="D3053" i="19"/>
  <c r="D3052" i="19"/>
  <c r="D3051" i="19"/>
  <c r="D3050" i="19"/>
  <c r="D3049" i="19"/>
  <c r="D3048" i="19"/>
  <c r="D3047" i="19"/>
  <c r="D3046" i="19"/>
  <c r="D3045" i="19"/>
  <c r="D3044" i="19"/>
  <c r="D3043" i="19"/>
  <c r="D3042" i="19"/>
  <c r="D3041" i="19"/>
  <c r="D3040" i="19"/>
  <c r="D3039" i="19"/>
  <c r="D3038" i="19"/>
  <c r="D3037" i="19"/>
  <c r="D3036" i="19"/>
  <c r="D3035" i="19"/>
  <c r="D3034" i="19"/>
  <c r="D3033" i="19"/>
  <c r="D3032" i="19"/>
  <c r="D3031" i="19"/>
  <c r="D3030" i="19"/>
  <c r="D3029" i="19"/>
  <c r="D3028" i="19"/>
  <c r="D3027" i="19"/>
  <c r="D3026" i="19"/>
  <c r="D3025" i="19"/>
  <c r="D3024" i="19"/>
  <c r="D3023" i="19"/>
  <c r="D3022" i="19"/>
  <c r="D3021" i="19"/>
  <c r="D3020" i="19"/>
  <c r="D3019" i="19"/>
  <c r="D3018" i="19"/>
  <c r="D3017" i="19"/>
  <c r="D3016" i="19"/>
  <c r="D3015" i="19"/>
  <c r="D3014" i="19"/>
  <c r="D3013" i="19"/>
  <c r="D3012" i="19"/>
  <c r="D3010" i="19"/>
  <c r="D3011" i="19" s="1"/>
  <c r="D527" i="12" l="1"/>
  <c r="D528" i="12"/>
  <c r="D529" i="12"/>
  <c r="BT7" i="45"/>
  <c r="BS5" i="45"/>
  <c r="BT3" i="45"/>
  <c r="BU3" i="45" s="1"/>
  <c r="BT2" i="45"/>
  <c r="BT5" i="45" l="1"/>
  <c r="BU2" i="45"/>
  <c r="BU5" i="45" s="1"/>
  <c r="AP5" i="88" l="1"/>
  <c r="AQ5" i="88"/>
  <c r="AR5" i="88"/>
  <c r="BS8" i="45"/>
  <c r="BT8" i="45"/>
  <c r="D3005" i="19" l="1"/>
  <c r="D3000" i="19"/>
  <c r="D2995" i="19"/>
  <c r="D2990" i="19"/>
  <c r="D2985" i="19"/>
  <c r="D2986" i="19" s="1"/>
  <c r="D2980" i="19"/>
  <c r="D2975" i="19"/>
  <c r="D2970" i="19"/>
  <c r="D2965" i="19"/>
  <c r="D2960" i="19"/>
  <c r="D2955" i="19"/>
  <c r="D2950" i="19"/>
  <c r="D2945" i="19"/>
  <c r="D2940" i="19"/>
  <c r="D2935" i="19"/>
  <c r="D2930" i="19"/>
  <c r="D2925" i="19"/>
  <c r="D2920" i="19"/>
  <c r="D2915" i="19"/>
  <c r="D2910" i="19"/>
  <c r="D2911" i="19" s="1"/>
  <c r="D2905" i="19"/>
  <c r="D2900" i="19"/>
  <c r="D2895" i="19"/>
  <c r="D2890" i="19"/>
  <c r="D2891" i="19" s="1"/>
  <c r="D2885" i="19"/>
  <c r="D3009" i="19"/>
  <c r="D3008" i="19"/>
  <c r="D3007" i="19"/>
  <c r="D3006" i="19"/>
  <c r="D3004" i="19"/>
  <c r="D3003" i="19"/>
  <c r="D3002" i="19"/>
  <c r="D3001" i="19"/>
  <c r="D2999" i="19"/>
  <c r="D2998" i="19"/>
  <c r="D2997" i="19"/>
  <c r="D2996" i="19"/>
  <c r="D2994" i="19"/>
  <c r="D2993" i="19"/>
  <c r="D2992" i="19"/>
  <c r="D2991" i="19"/>
  <c r="D2989" i="19"/>
  <c r="D2988" i="19"/>
  <c r="D2987" i="19"/>
  <c r="D2984" i="19"/>
  <c r="D2983" i="19"/>
  <c r="D2982" i="19"/>
  <c r="D2981" i="19"/>
  <c r="D2979" i="19"/>
  <c r="D2978" i="19"/>
  <c r="D2977" i="19"/>
  <c r="D2976" i="19"/>
  <c r="D2974" i="19"/>
  <c r="D2973" i="19"/>
  <c r="D2972" i="19"/>
  <c r="D2971" i="19"/>
  <c r="D2969" i="19"/>
  <c r="D2968" i="19"/>
  <c r="D2967" i="19"/>
  <c r="D2966" i="19"/>
  <c r="D2964" i="19"/>
  <c r="D2963" i="19"/>
  <c r="D2962" i="19"/>
  <c r="D2961" i="19"/>
  <c r="D2959" i="19"/>
  <c r="D2958" i="19"/>
  <c r="D2957" i="19"/>
  <c r="D2956" i="19"/>
  <c r="D2954" i="19"/>
  <c r="D2953" i="19"/>
  <c r="D2952" i="19"/>
  <c r="D2951" i="19"/>
  <c r="D2949" i="19"/>
  <c r="D2948" i="19"/>
  <c r="D2947" i="19"/>
  <c r="D2946" i="19"/>
  <c r="D2944" i="19"/>
  <c r="BX7" i="45" l="1"/>
  <c r="BW5" i="45"/>
  <c r="BX3" i="45"/>
  <c r="BY3" i="45" s="1"/>
  <c r="BX2" i="45"/>
  <c r="AS5" i="88"/>
  <c r="AT5" i="88"/>
  <c r="AU5" i="88"/>
  <c r="BW8" i="45"/>
  <c r="BX5" i="45" l="1"/>
  <c r="BY2" i="45"/>
  <c r="BY5" i="45" s="1"/>
  <c r="BX8" i="45"/>
  <c r="D2943" i="19" l="1"/>
  <c r="D2942" i="19"/>
  <c r="D2941" i="19"/>
  <c r="D2939" i="19"/>
  <c r="D2938" i="19"/>
  <c r="D2937" i="19"/>
  <c r="D2936" i="19"/>
  <c r="D2934" i="19"/>
  <c r="D2933" i="19"/>
  <c r="D2932" i="19"/>
  <c r="D2931" i="19"/>
  <c r="D2929" i="19"/>
  <c r="D2928" i="19"/>
  <c r="D2927" i="19"/>
  <c r="D2926" i="19"/>
  <c r="D2924" i="19"/>
  <c r="D2923" i="19"/>
  <c r="D2922" i="19"/>
  <c r="D2921" i="19"/>
  <c r="D2919" i="19"/>
  <c r="D2918" i="19"/>
  <c r="D2917" i="19"/>
  <c r="D2916" i="19"/>
  <c r="D2914" i="19"/>
  <c r="D2913" i="19"/>
  <c r="D2912" i="19"/>
  <c r="D2909" i="19"/>
  <c r="D2908" i="19"/>
  <c r="D2907" i="19"/>
  <c r="D2906" i="19"/>
  <c r="D2904" i="19"/>
  <c r="D2903" i="19"/>
  <c r="D2902" i="19"/>
  <c r="D2901" i="19"/>
  <c r="D2899" i="19"/>
  <c r="D2898" i="19"/>
  <c r="D2897" i="19"/>
  <c r="D2896" i="19"/>
  <c r="D2894" i="19"/>
  <c r="D2893" i="19"/>
  <c r="D2892" i="19"/>
  <c r="D2889" i="19"/>
  <c r="D2888" i="19"/>
  <c r="D2887" i="19"/>
  <c r="D2886" i="19"/>
  <c r="D2884" i="19"/>
  <c r="D2883" i="19"/>
  <c r="D2882" i="19"/>
  <c r="D2881" i="19"/>
  <c r="D521" i="12" l="1"/>
  <c r="D522" i="12"/>
  <c r="D523" i="12"/>
  <c r="D524" i="12"/>
  <c r="D525" i="12"/>
  <c r="D526" i="12"/>
  <c r="CB7" i="45" l="1"/>
  <c r="CA5" i="45"/>
  <c r="CB3" i="45"/>
  <c r="CC3" i="45" s="1"/>
  <c r="CB2" i="45"/>
  <c r="CB5" i="45" l="1"/>
  <c r="CC2" i="45"/>
  <c r="CC5" i="45" s="1"/>
  <c r="AV5" i="88"/>
  <c r="AW5" i="88"/>
  <c r="AX5" i="88"/>
  <c r="CB8" i="45"/>
  <c r="CA8" i="45"/>
  <c r="D2879" i="19" l="1"/>
  <c r="D2880" i="19" s="1"/>
  <c r="D2878" i="19"/>
  <c r="D2877" i="19"/>
  <c r="D2876" i="19"/>
  <c r="D2874" i="19"/>
  <c r="D2875" i="19" s="1"/>
  <c r="D2873" i="19"/>
  <c r="D2872" i="19"/>
  <c r="D2871" i="19"/>
  <c r="D2870" i="19"/>
  <c r="D2869" i="19"/>
  <c r="D2868" i="19"/>
  <c r="D2867" i="19"/>
  <c r="D2866" i="19"/>
  <c r="D2865" i="19"/>
  <c r="D2864" i="19"/>
  <c r="D2863" i="19"/>
  <c r="D2862" i="19"/>
  <c r="D2861" i="19"/>
  <c r="D2860" i="19"/>
  <c r="D2859" i="19"/>
  <c r="D2858" i="19"/>
  <c r="D2857" i="19"/>
  <c r="D2856" i="19"/>
  <c r="D2855" i="19"/>
  <c r="D2853" i="19"/>
  <c r="D2854" i="19" s="1"/>
  <c r="D2852" i="19"/>
  <c r="D2851" i="19"/>
  <c r="D2850" i="19"/>
  <c r="D2849" i="19"/>
  <c r="D2848" i="19"/>
  <c r="D2847" i="19"/>
  <c r="D2846" i="19"/>
  <c r="D2845" i="19"/>
  <c r="D2844" i="19"/>
  <c r="D2842" i="19"/>
  <c r="D2843" i="19" s="1"/>
  <c r="D2841" i="19"/>
  <c r="D2840" i="19"/>
  <c r="D2839" i="19"/>
  <c r="D2838" i="19"/>
  <c r="D2837" i="19"/>
  <c r="D2836" i="19"/>
  <c r="D2835" i="19"/>
  <c r="D2834" i="19"/>
  <c r="D2833" i="19"/>
  <c r="D2832" i="19"/>
  <c r="D2831" i="19"/>
  <c r="D2830" i="19"/>
  <c r="D2829" i="19"/>
  <c r="D2828" i="19"/>
  <c r="D2827" i="19"/>
  <c r="D2826" i="19"/>
  <c r="D2825" i="19"/>
  <c r="D2824" i="19"/>
  <c r="D2823" i="19"/>
  <c r="D2822" i="19"/>
  <c r="D2820" i="19"/>
  <c r="D2821" i="19" s="1"/>
  <c r="D2819" i="19"/>
  <c r="D2818" i="19"/>
  <c r="D2817" i="19"/>
  <c r="D2816" i="19"/>
  <c r="D2815" i="19"/>
  <c r="D518" i="12"/>
  <c r="D519" i="12"/>
  <c r="D520" i="12"/>
  <c r="CF7" i="45"/>
  <c r="CE5" i="45"/>
  <c r="CF3" i="45"/>
  <c r="CG3" i="45" s="1"/>
  <c r="CF2" i="45"/>
  <c r="CF5" i="45" l="1"/>
  <c r="CG2" i="45"/>
  <c r="CG5" i="45" s="1"/>
  <c r="AY5" i="88" l="1"/>
  <c r="AZ5" i="88"/>
  <c r="BA5" i="88"/>
  <c r="CF8" i="45"/>
  <c r="CE8" i="45"/>
  <c r="D2814" i="19" l="1"/>
  <c r="D2813" i="19"/>
  <c r="D2812" i="19"/>
  <c r="D2811" i="19"/>
  <c r="D2810" i="19"/>
  <c r="D2809" i="19"/>
  <c r="D2808" i="19"/>
  <c r="D2807" i="19"/>
  <c r="D2806" i="19"/>
  <c r="D2805" i="19"/>
  <c r="D2804" i="19"/>
  <c r="D2803" i="19"/>
  <c r="D2802" i="19"/>
  <c r="D2801" i="19"/>
  <c r="D2800" i="19"/>
  <c r="D2799" i="19"/>
  <c r="D2798" i="19"/>
  <c r="D2797" i="19"/>
  <c r="D2795" i="19"/>
  <c r="D2796" i="19" s="1"/>
  <c r="D2794" i="19"/>
  <c r="D2793" i="19"/>
  <c r="D2792" i="19"/>
  <c r="D2791" i="19"/>
  <c r="D2790" i="19"/>
  <c r="D2789" i="19"/>
  <c r="D2788" i="19"/>
  <c r="D2787" i="19"/>
  <c r="D2786" i="19"/>
  <c r="D2785" i="19"/>
  <c r="D2784" i="19"/>
  <c r="D2783" i="19"/>
  <c r="D2782" i="19"/>
  <c r="D2781" i="19"/>
  <c r="D2780" i="19"/>
  <c r="D2779" i="19"/>
  <c r="D2778" i="19"/>
  <c r="D2777" i="19"/>
  <c r="D2776" i="19"/>
  <c r="D2775" i="19"/>
  <c r="D2774" i="19"/>
  <c r="D2773" i="19"/>
  <c r="D2772" i="19"/>
  <c r="D2771" i="19"/>
  <c r="D2770" i="19"/>
  <c r="D2769" i="19"/>
  <c r="D2768" i="19"/>
  <c r="D2767" i="19"/>
  <c r="D2766" i="19"/>
  <c r="D2765" i="19"/>
  <c r="D2764" i="19"/>
  <c r="D2763" i="19"/>
  <c r="D2762" i="19"/>
  <c r="D2761" i="19"/>
  <c r="D2760" i="19"/>
  <c r="D2759" i="19"/>
  <c r="D2758" i="19"/>
  <c r="D2757" i="19"/>
  <c r="D2756" i="19"/>
  <c r="D2755" i="19"/>
  <c r="D2754" i="19"/>
  <c r="D2753" i="19"/>
  <c r="D2752" i="19"/>
  <c r="D2751" i="19"/>
  <c r="D2749" i="19"/>
  <c r="D2750" i="19" s="1"/>
  <c r="D2748" i="19"/>
  <c r="D515" i="12" l="1"/>
  <c r="D516" i="12"/>
  <c r="D517" i="12"/>
  <c r="CJ7" i="45" l="1"/>
  <c r="CI5" i="45"/>
  <c r="CJ3" i="45"/>
  <c r="CK3" i="45" s="1"/>
  <c r="CJ2" i="45"/>
  <c r="CJ5" i="45" s="1"/>
  <c r="CK2" i="45" l="1"/>
  <c r="CK5" i="45" s="1"/>
  <c r="BB5" i="88"/>
  <c r="BC5" i="88"/>
  <c r="BD5" i="88"/>
  <c r="CI8" i="45"/>
  <c r="CJ8" i="45"/>
  <c r="D2686" i="19" l="1"/>
  <c r="D2687" i="19"/>
  <c r="D2688" i="19"/>
  <c r="D2689" i="19"/>
  <c r="D2690" i="19" s="1"/>
  <c r="D2691" i="19"/>
  <c r="D2692" i="19"/>
  <c r="D2693" i="19"/>
  <c r="D2694" i="19"/>
  <c r="D2695" i="19"/>
  <c r="D2696" i="19"/>
  <c r="D2697" i="19"/>
  <c r="D2698" i="19"/>
  <c r="D2699" i="19"/>
  <c r="D2700" i="19"/>
  <c r="D2701" i="19"/>
  <c r="D2702" i="19"/>
  <c r="D2703" i="19"/>
  <c r="D2704" i="19"/>
  <c r="D2705" i="19"/>
  <c r="D2706" i="19"/>
  <c r="D2707" i="19"/>
  <c r="D2708" i="19"/>
  <c r="D2709" i="19"/>
  <c r="D2710" i="19"/>
  <c r="D2711" i="19"/>
  <c r="D2712" i="19"/>
  <c r="D2713" i="19"/>
  <c r="D2714" i="19"/>
  <c r="D2715" i="19"/>
  <c r="D2716" i="19"/>
  <c r="D2717" i="19"/>
  <c r="D2718" i="19"/>
  <c r="D2719" i="19"/>
  <c r="D2720" i="19"/>
  <c r="D2721" i="19" s="1"/>
  <c r="D2722" i="19"/>
  <c r="D2723" i="19"/>
  <c r="D2724" i="19"/>
  <c r="D2725" i="19"/>
  <c r="D2726" i="19"/>
  <c r="D2727" i="19"/>
  <c r="D2728" i="19"/>
  <c r="D2729" i="19"/>
  <c r="D2730" i="19"/>
  <c r="D2731" i="19"/>
  <c r="D2732" i="19"/>
  <c r="D2733" i="19"/>
  <c r="D2734" i="19"/>
  <c r="D2735" i="19"/>
  <c r="D2736" i="19"/>
  <c r="D2737" i="19"/>
  <c r="D2738" i="19"/>
  <c r="D2739" i="19"/>
  <c r="D2740" i="19"/>
  <c r="D2741" i="19"/>
  <c r="D2742" i="19"/>
  <c r="D2743" i="19"/>
  <c r="D2744" i="19"/>
  <c r="D2745" i="19"/>
  <c r="D2746" i="19"/>
  <c r="D2747" i="19"/>
  <c r="D2685" i="19"/>
  <c r="D2683" i="19"/>
  <c r="D2684" i="19"/>
  <c r="D514" i="12"/>
  <c r="D512" i="12"/>
  <c r="D513" i="12"/>
  <c r="CN7" i="45" l="1"/>
  <c r="CM5" i="45"/>
  <c r="CN3" i="45"/>
  <c r="CN2" i="45"/>
  <c r="CO2" i="45" s="1"/>
  <c r="CN5" i="45" l="1"/>
  <c r="CO3" i="45"/>
  <c r="CO5" i="45" s="1"/>
  <c r="BE5" i="88" l="1"/>
  <c r="BF5" i="88"/>
  <c r="BG5" i="88"/>
  <c r="CN8" i="45"/>
  <c r="CM8" i="45"/>
  <c r="D2682" i="19" l="1"/>
  <c r="D2681" i="19"/>
  <c r="D2680" i="19"/>
  <c r="D2679" i="19"/>
  <c r="D2678" i="19"/>
  <c r="D2677" i="19"/>
  <c r="D2676" i="19"/>
  <c r="D2675" i="19"/>
  <c r="D2674" i="19"/>
  <c r="D2673" i="19"/>
  <c r="D2672" i="19"/>
  <c r="D2671" i="19"/>
  <c r="D2670" i="19"/>
  <c r="D2669" i="19"/>
  <c r="D2668" i="19"/>
  <c r="D2667" i="19"/>
  <c r="D2666" i="19"/>
  <c r="D2665" i="19"/>
  <c r="D2664" i="19"/>
  <c r="D2663" i="19"/>
  <c r="D2662" i="19"/>
  <c r="D2661" i="19"/>
  <c r="D2660" i="19"/>
  <c r="D2659" i="19"/>
  <c r="D2658" i="19"/>
  <c r="D2657" i="19"/>
  <c r="D2656" i="19"/>
  <c r="D2655" i="19"/>
  <c r="D2654" i="19"/>
  <c r="D2653" i="19"/>
  <c r="D2652" i="19"/>
  <c r="D2650" i="19"/>
  <c r="D2651" i="19" s="1"/>
  <c r="D2649" i="19"/>
  <c r="D2648" i="19"/>
  <c r="D2647" i="19"/>
  <c r="D2646" i="19"/>
  <c r="D509" i="12"/>
  <c r="D510" i="12"/>
  <c r="D511" i="12"/>
  <c r="CR7" i="45" l="1"/>
  <c r="CQ5" i="45"/>
  <c r="CR3" i="45"/>
  <c r="CS3" i="45" s="1"/>
  <c r="CR2" i="45"/>
  <c r="CS2" i="45" s="1"/>
  <c r="CS5" i="45" l="1"/>
  <c r="CR5" i="45"/>
  <c r="BJ5" i="88"/>
  <c r="BI5" i="88"/>
  <c r="BH5" i="88"/>
  <c r="CR8" i="45"/>
  <c r="CQ8" i="45"/>
  <c r="D2645" i="19" l="1"/>
  <c r="D2644" i="19"/>
  <c r="D2643" i="19"/>
  <c r="D2642" i="19"/>
  <c r="D2641" i="19"/>
  <c r="D2640" i="19"/>
  <c r="D2639" i="19"/>
  <c r="D2638" i="19"/>
  <c r="D2637" i="19"/>
  <c r="D2636" i="19"/>
  <c r="D2635" i="19"/>
  <c r="D2634" i="19"/>
  <c r="D2633" i="19"/>
  <c r="D2632" i="19"/>
  <c r="D2630" i="19"/>
  <c r="D2631" i="19" s="1"/>
  <c r="D2629" i="19"/>
  <c r="D2628" i="19"/>
  <c r="D2627" i="19"/>
  <c r="D2626" i="19"/>
  <c r="D2625" i="19"/>
  <c r="D2624" i="19"/>
  <c r="D2623" i="19"/>
  <c r="D2622" i="19"/>
  <c r="D2621" i="19"/>
  <c r="D2620" i="19"/>
  <c r="D2619" i="19"/>
  <c r="D2617" i="19"/>
  <c r="D2618" i="19" s="1"/>
  <c r="D2616" i="19"/>
  <c r="D2615" i="19"/>
  <c r="D2614" i="19"/>
  <c r="D2612" i="19"/>
  <c r="D2613" i="19" s="1"/>
  <c r="D2611" i="19"/>
  <c r="D2610" i="19"/>
  <c r="D2609" i="19"/>
  <c r="D2608" i="19"/>
  <c r="D2607" i="19"/>
  <c r="D2606" i="19"/>
  <c r="D2605" i="19"/>
  <c r="D2604" i="19"/>
  <c r="D2603" i="19"/>
  <c r="D2602" i="19"/>
  <c r="D2601" i="19"/>
  <c r="D2600" i="19"/>
  <c r="D2599" i="19"/>
  <c r="D2598" i="19"/>
  <c r="D2597" i="19"/>
  <c r="D2596" i="19"/>
  <c r="D2595" i="19"/>
  <c r="D2593" i="19"/>
  <c r="D2594" i="19" s="1"/>
  <c r="D2592" i="19"/>
  <c r="D2591" i="19"/>
  <c r="D2590" i="19"/>
  <c r="D2589" i="19"/>
  <c r="D2588" i="19"/>
  <c r="D2587" i="19"/>
  <c r="D2586" i="19"/>
  <c r="D506" i="12"/>
  <c r="D507" i="12"/>
  <c r="D508" i="12"/>
  <c r="CV7" i="45" l="1"/>
  <c r="CU5" i="45"/>
  <c r="CV3" i="45"/>
  <c r="CW3" i="45" s="1"/>
  <c r="CV2" i="45"/>
  <c r="CW2" i="45" s="1"/>
  <c r="BM5" i="88"/>
  <c r="BL5" i="88"/>
  <c r="BK5" i="88"/>
  <c r="CU8" i="45"/>
  <c r="CV5" i="45" l="1"/>
  <c r="CW5" i="45"/>
  <c r="CV8" i="45"/>
  <c r="D2501" i="19" l="1"/>
  <c r="D2487" i="19"/>
  <c r="D2486" i="19"/>
  <c r="D2585" i="19"/>
  <c r="D2584" i="19"/>
  <c r="D2583" i="19"/>
  <c r="D2582" i="19"/>
  <c r="D2580" i="19"/>
  <c r="D2581" i="19" s="1"/>
  <c r="D2579" i="19"/>
  <c r="D2578" i="19"/>
  <c r="D2577" i="19"/>
  <c r="D2576" i="19"/>
  <c r="D2575" i="19"/>
  <c r="D2574" i="19"/>
  <c r="D2573" i="19"/>
  <c r="D2572" i="19"/>
  <c r="D2571" i="19"/>
  <c r="D2570" i="19"/>
  <c r="D2569" i="19"/>
  <c r="D2568" i="19"/>
  <c r="D2567" i="19"/>
  <c r="D2566" i="19"/>
  <c r="D2565" i="19"/>
  <c r="D2564" i="19"/>
  <c r="D2563" i="19"/>
  <c r="D2562" i="19"/>
  <c r="D2560" i="19"/>
  <c r="D2561" i="19" s="1"/>
  <c r="D2559" i="19"/>
  <c r="D2558" i="19"/>
  <c r="D2557" i="19"/>
  <c r="D2556" i="19"/>
  <c r="D2555" i="19"/>
  <c r="D2554" i="19"/>
  <c r="D2553" i="19"/>
  <c r="D2552" i="19"/>
  <c r="D2551" i="19"/>
  <c r="D2550" i="19"/>
  <c r="D2549" i="19"/>
  <c r="D2548" i="19"/>
  <c r="D2547" i="19"/>
  <c r="D2546" i="19"/>
  <c r="D2545" i="19"/>
  <c r="D2544" i="19"/>
  <c r="D2543" i="19"/>
  <c r="D2542" i="19"/>
  <c r="D2541" i="19"/>
  <c r="D2540" i="19"/>
  <c r="D2539" i="19"/>
  <c r="D2538" i="19"/>
  <c r="D2537" i="19"/>
  <c r="D2536" i="19"/>
  <c r="D503" i="12"/>
  <c r="D504" i="12"/>
  <c r="D505" i="12"/>
  <c r="CZ7" i="45"/>
  <c r="CY5" i="45"/>
  <c r="CZ3" i="45"/>
  <c r="DA3" i="45" s="1"/>
  <c r="CZ2" i="45"/>
  <c r="CZ5" i="45" l="1"/>
  <c r="DA2" i="45"/>
  <c r="DA5" i="45" s="1"/>
  <c r="BP5" i="88"/>
  <c r="BO5" i="88"/>
  <c r="BN5" i="88"/>
  <c r="CY8" i="45"/>
  <c r="CZ8" i="45"/>
  <c r="D500" i="12" l="1"/>
  <c r="D501" i="12"/>
  <c r="D502" i="12"/>
  <c r="DD7" i="45" l="1"/>
  <c r="DC5" i="45"/>
  <c r="DD3" i="45"/>
  <c r="DE3" i="45" s="1"/>
  <c r="DD2" i="45"/>
  <c r="DD5" i="45" l="1"/>
  <c r="DE2" i="45"/>
  <c r="DE5" i="45" s="1"/>
  <c r="BS5" i="88"/>
  <c r="BR5" i="88"/>
  <c r="BQ5" i="88"/>
  <c r="DC8" i="45"/>
  <c r="DD8" i="45"/>
  <c r="D2535" i="19" l="1"/>
  <c r="D2534" i="19"/>
  <c r="D2533" i="19"/>
  <c r="D2532" i="19"/>
  <c r="D2530" i="19"/>
  <c r="D2531" i="19" s="1"/>
  <c r="D2529" i="19"/>
  <c r="D2528" i="19"/>
  <c r="D2527" i="19"/>
  <c r="D2526" i="19"/>
  <c r="D2525" i="19"/>
  <c r="D2524" i="19"/>
  <c r="D2523" i="19"/>
  <c r="D2522" i="19"/>
  <c r="D2521" i="19"/>
  <c r="D2520" i="19"/>
  <c r="D2519" i="19"/>
  <c r="D2518" i="19"/>
  <c r="D2517" i="19"/>
  <c r="D2516" i="19"/>
  <c r="D2515" i="19"/>
  <c r="D2514" i="19"/>
  <c r="D2513" i="19"/>
  <c r="D2512" i="19"/>
  <c r="D2511" i="19"/>
  <c r="D2510" i="19"/>
  <c r="D2509" i="19"/>
  <c r="D2508" i="19"/>
  <c r="D2507" i="19"/>
  <c r="D2506" i="19"/>
  <c r="D2505" i="19"/>
  <c r="D2504" i="19"/>
  <c r="D2503" i="19"/>
  <c r="D2502" i="19"/>
  <c r="D2500" i="19"/>
  <c r="D2499" i="19"/>
  <c r="D2498" i="19"/>
  <c r="D2497" i="19"/>
  <c r="D2496" i="19"/>
  <c r="D2495" i="19"/>
  <c r="D2494" i="19"/>
  <c r="D2493" i="19"/>
  <c r="D2492" i="19"/>
  <c r="D2491" i="19"/>
  <c r="D2490" i="19"/>
  <c r="D2488" i="19"/>
  <c r="D2485" i="19"/>
  <c r="D2484" i="19"/>
  <c r="D2483" i="19"/>
  <c r="D2482" i="19"/>
  <c r="D2481" i="19"/>
  <c r="D2480" i="19"/>
  <c r="D2479" i="19"/>
  <c r="D2478" i="19"/>
  <c r="D2477" i="19"/>
  <c r="D2476" i="19"/>
  <c r="D2475" i="19"/>
  <c r="D2474" i="19"/>
  <c r="D2473" i="19"/>
  <c r="D2472" i="19"/>
  <c r="D2471" i="19"/>
  <c r="D2470" i="19"/>
  <c r="D2469" i="19"/>
  <c r="D2468" i="19"/>
  <c r="D2467" i="19"/>
  <c r="D2466" i="19"/>
  <c r="D2465" i="19"/>
  <c r="D2464" i="19"/>
  <c r="D2463" i="19"/>
  <c r="D2462" i="19"/>
  <c r="D2460" i="19"/>
  <c r="D2461" i="19" s="1"/>
  <c r="D2459" i="19"/>
  <c r="D2458" i="19"/>
  <c r="D2457" i="19"/>
  <c r="D2456" i="19"/>
  <c r="D2455" i="19"/>
  <c r="D2454" i="19"/>
  <c r="D2453" i="19"/>
  <c r="D2452" i="19"/>
  <c r="D2451" i="19"/>
  <c r="D2450" i="19"/>
  <c r="D2449" i="19"/>
  <c r="D2448" i="19"/>
  <c r="D2447" i="19"/>
  <c r="D2446" i="19"/>
  <c r="D2445" i="19"/>
  <c r="D2444" i="19"/>
  <c r="D2443" i="19"/>
  <c r="D2442" i="19"/>
  <c r="D2441" i="19"/>
  <c r="D2440" i="19"/>
  <c r="D2439" i="19"/>
  <c r="D2438" i="19"/>
  <c r="D2437" i="19"/>
  <c r="D2436" i="19"/>
  <c r="D2434" i="19"/>
  <c r="D2435" i="19" s="1"/>
  <c r="D2433" i="19"/>
  <c r="D2432" i="19"/>
  <c r="D2431" i="19"/>
  <c r="D2430" i="19"/>
  <c r="D2429" i="19"/>
  <c r="D2428" i="19"/>
  <c r="D2427" i="19"/>
  <c r="D2426" i="19"/>
  <c r="D2425" i="19"/>
  <c r="D2424" i="19"/>
  <c r="D2423" i="19"/>
  <c r="D2422" i="19"/>
  <c r="D2421" i="19"/>
  <c r="D2420" i="19"/>
  <c r="D2419" i="19"/>
  <c r="D2418" i="19"/>
  <c r="D2417" i="19"/>
  <c r="D2416" i="19"/>
  <c r="D2415" i="19"/>
  <c r="D2414" i="19"/>
  <c r="D2413" i="19"/>
  <c r="D2412" i="19"/>
  <c r="D2411" i="19"/>
  <c r="D2410" i="19"/>
  <c r="D2409" i="19"/>
  <c r="D2408" i="19"/>
  <c r="D2407" i="19"/>
  <c r="D2406" i="19"/>
  <c r="D2405" i="19"/>
  <c r="D2404" i="19"/>
  <c r="D2403" i="19"/>
  <c r="D2402" i="19"/>
  <c r="D2401" i="19"/>
  <c r="D2400" i="19"/>
  <c r="D2399" i="19"/>
  <c r="D2398" i="19"/>
  <c r="D2397" i="19"/>
  <c r="D2396" i="19"/>
  <c r="D496" i="12"/>
  <c r="D497" i="12"/>
  <c r="D498" i="12"/>
  <c r="D499" i="12"/>
  <c r="D2489" i="19" l="1"/>
  <c r="DH7" i="45"/>
  <c r="DG5" i="45"/>
  <c r="DH3" i="45"/>
  <c r="DI3" i="45" s="1"/>
  <c r="DH2" i="45"/>
  <c r="BV5" i="88"/>
  <c r="BU5" i="88"/>
  <c r="BT5" i="88"/>
  <c r="DG8" i="45"/>
  <c r="DH5" i="45" l="1"/>
  <c r="DI2" i="45"/>
  <c r="DI5" i="45" s="1"/>
  <c r="DH8" i="45"/>
  <c r="D2360" i="19" l="1"/>
  <c r="D2292" i="19"/>
  <c r="D2285" i="19"/>
  <c r="D2291" i="19"/>
  <c r="D2394" i="19"/>
  <c r="D2395" i="19" s="1"/>
  <c r="D2393" i="19"/>
  <c r="D2392" i="19"/>
  <c r="D2390" i="19"/>
  <c r="D2391" i="19" s="1"/>
  <c r="D2389" i="19"/>
  <c r="D2388" i="19"/>
  <c r="D2387" i="19"/>
  <c r="D2386" i="19"/>
  <c r="D2385" i="19"/>
  <c r="D2384" i="19"/>
  <c r="D2383" i="19"/>
  <c r="D2382" i="19"/>
  <c r="D2381" i="19"/>
  <c r="D2380" i="19"/>
  <c r="D2379" i="19"/>
  <c r="D2378" i="19"/>
  <c r="D2377" i="19"/>
  <c r="D2376" i="19"/>
  <c r="D2374" i="19"/>
  <c r="D2375" i="19" s="1"/>
  <c r="D2373" i="19"/>
  <c r="D2372" i="19"/>
  <c r="D2370" i="19"/>
  <c r="D2371" i="19" s="1"/>
  <c r="D2369" i="19"/>
  <c r="D2368" i="19"/>
  <c r="D2367" i="19"/>
  <c r="D2366" i="19"/>
  <c r="D2365" i="19"/>
  <c r="D2364" i="19"/>
  <c r="D2363" i="19"/>
  <c r="D2362" i="19"/>
  <c r="D2361" i="19"/>
  <c r="D2359" i="19"/>
  <c r="D2358" i="19"/>
  <c r="D2356" i="19"/>
  <c r="D2355" i="19"/>
  <c r="D2354" i="19"/>
  <c r="D2353" i="19"/>
  <c r="D2351" i="19"/>
  <c r="D2350" i="19"/>
  <c r="D2349" i="19"/>
  <c r="D2348" i="19"/>
  <c r="D2347" i="19"/>
  <c r="D2346" i="19"/>
  <c r="D2345" i="19"/>
  <c r="D2344" i="19"/>
  <c r="D2343" i="19"/>
  <c r="D2342" i="19"/>
  <c r="D2341" i="19"/>
  <c r="D2340" i="19"/>
  <c r="D2339" i="19"/>
  <c r="D2337" i="19"/>
  <c r="D2338" i="19" s="1"/>
  <c r="D2336" i="19"/>
  <c r="D2335" i="19"/>
  <c r="D2334" i="19"/>
  <c r="D2333" i="19"/>
  <c r="D2332" i="19"/>
  <c r="D2331" i="19"/>
  <c r="D2330" i="19"/>
  <c r="D2328" i="19"/>
  <c r="D2329" i="19" s="1"/>
  <c r="D2327" i="19"/>
  <c r="D2326" i="19"/>
  <c r="D494" i="12"/>
  <c r="D495" i="12"/>
  <c r="D2357" i="19" l="1"/>
  <c r="D2352" i="19"/>
  <c r="DL9" i="45"/>
  <c r="DL7" i="45"/>
  <c r="DL6" i="45"/>
  <c r="DK5" i="45"/>
  <c r="DL3" i="45"/>
  <c r="DM3" i="45" s="1"/>
  <c r="DL2" i="45"/>
  <c r="BY5" i="88"/>
  <c r="BX5" i="88"/>
  <c r="BW5" i="88"/>
  <c r="DK8" i="45"/>
  <c r="DL5" i="45" l="1"/>
  <c r="DM2" i="45"/>
  <c r="DM5" i="45" s="1"/>
  <c r="DL8" i="45"/>
  <c r="D2325" i="19" l="1"/>
  <c r="D2324" i="19"/>
  <c r="D2323" i="19"/>
  <c r="D2322" i="19"/>
  <c r="D2320" i="19"/>
  <c r="D2321" i="19" s="1"/>
  <c r="D2319" i="19"/>
  <c r="D2318" i="19"/>
  <c r="D2317" i="19"/>
  <c r="D2316" i="19"/>
  <c r="D2315" i="19"/>
  <c r="D2314" i="19"/>
  <c r="D2313" i="19"/>
  <c r="D2312" i="19"/>
  <c r="D2311" i="19"/>
  <c r="D2310" i="19"/>
  <c r="D2309" i="19"/>
  <c r="D2308" i="19"/>
  <c r="D2307" i="19"/>
  <c r="D2306" i="19"/>
  <c r="D2305" i="19"/>
  <c r="D2304" i="19"/>
  <c r="D2303" i="19"/>
  <c r="D2302" i="19"/>
  <c r="D2301" i="19"/>
  <c r="D2300" i="19"/>
  <c r="D2299" i="19"/>
  <c r="D2298" i="19"/>
  <c r="D2297" i="19"/>
  <c r="D2295" i="19"/>
  <c r="D2296" i="19" s="1"/>
  <c r="D2294" i="19"/>
  <c r="D2293" i="19"/>
  <c r="D2290" i="19"/>
  <c r="D2289" i="19"/>
  <c r="D2288" i="19"/>
  <c r="D2287" i="19"/>
  <c r="D2286" i="19"/>
  <c r="D2284" i="19"/>
  <c r="D2283" i="19"/>
  <c r="D2282" i="19"/>
  <c r="D2281" i="19"/>
  <c r="D2280" i="19"/>
  <c r="D2279" i="19"/>
  <c r="D2278" i="19"/>
  <c r="D2277" i="19"/>
  <c r="D2276" i="19"/>
  <c r="D2275" i="19"/>
  <c r="D2274" i="19"/>
  <c r="D2273" i="19"/>
  <c r="D2272" i="19"/>
  <c r="D2270" i="19"/>
  <c r="D2271" i="19" s="1"/>
  <c r="D2269" i="19"/>
  <c r="D2268" i="19"/>
  <c r="D2267" i="19"/>
  <c r="D2266" i="19"/>
  <c r="D2265" i="19"/>
  <c r="D2264" i="19"/>
  <c r="D2263" i="19"/>
  <c r="D2262" i="19"/>
  <c r="D2261" i="19"/>
  <c r="D2260" i="19"/>
  <c r="D2259" i="19"/>
  <c r="D2258" i="19"/>
  <c r="D2257" i="19"/>
  <c r="D2256" i="19"/>
  <c r="D2255" i="19"/>
  <c r="D2254" i="19"/>
  <c r="D2253" i="19"/>
  <c r="D2252" i="19"/>
  <c r="D2251" i="19"/>
  <c r="D2250" i="19"/>
  <c r="D2249" i="19"/>
  <c r="D2248" i="19"/>
  <c r="D2247" i="19"/>
  <c r="D2246" i="19"/>
  <c r="D491" i="12"/>
  <c r="D492" i="12"/>
  <c r="D493" i="12"/>
  <c r="DP9" i="45"/>
  <c r="DP7" i="45"/>
  <c r="DP6" i="45"/>
  <c r="DO5" i="45"/>
  <c r="DP3" i="45"/>
  <c r="DQ3" i="45" s="1"/>
  <c r="DP2" i="45"/>
  <c r="DP5" i="45" l="1"/>
  <c r="DQ2" i="45"/>
  <c r="DQ5" i="45" s="1"/>
  <c r="CB5" i="88"/>
  <c r="CA5" i="88"/>
  <c r="BZ5" i="88"/>
  <c r="DP8" i="45"/>
  <c r="DO8" i="45"/>
  <c r="D2245" i="19" l="1"/>
  <c r="D2244" i="19"/>
  <c r="D2243" i="19"/>
  <c r="D2242" i="19"/>
  <c r="D2241" i="19"/>
  <c r="D2240" i="19"/>
  <c r="D2239" i="19"/>
  <c r="D2238" i="19"/>
  <c r="D2237" i="19"/>
  <c r="D2236" i="19"/>
  <c r="D2235" i="19"/>
  <c r="D2234" i="19"/>
  <c r="D2233" i="19"/>
  <c r="D2232" i="19"/>
  <c r="D2231" i="19"/>
  <c r="D2230" i="19"/>
  <c r="D2229" i="19"/>
  <c r="D2227" i="19"/>
  <c r="D2228" i="19" s="1"/>
  <c r="D2226" i="19"/>
  <c r="D2225" i="19"/>
  <c r="D2224" i="19"/>
  <c r="D2223" i="19"/>
  <c r="D2222" i="19"/>
  <c r="D2221" i="19"/>
  <c r="D2220" i="19"/>
  <c r="D2219" i="19"/>
  <c r="D2218" i="19"/>
  <c r="D2217" i="19"/>
  <c r="D2216" i="19"/>
  <c r="D2215" i="19"/>
  <c r="D2214" i="19"/>
  <c r="D2213" i="19"/>
  <c r="D2212" i="19"/>
  <c r="D2211" i="19"/>
  <c r="D2210" i="19"/>
  <c r="D2209" i="19"/>
  <c r="D2208" i="19"/>
  <c r="D2207" i="19"/>
  <c r="D2206" i="19"/>
  <c r="D2205" i="19"/>
  <c r="D2204" i="19"/>
  <c r="D2203" i="19"/>
  <c r="D2202" i="19"/>
  <c r="D2200" i="19"/>
  <c r="D2201" i="19" s="1"/>
  <c r="D2199" i="19"/>
  <c r="D2198" i="19"/>
  <c r="D2197" i="19"/>
  <c r="D2196" i="19"/>
  <c r="D2195" i="19"/>
  <c r="D2194" i="19"/>
  <c r="D2193" i="19"/>
  <c r="D2192" i="19"/>
  <c r="D2191" i="19"/>
  <c r="D2190" i="19"/>
  <c r="D2189" i="19"/>
  <c r="D2188" i="19"/>
  <c r="D2187" i="19"/>
  <c r="D2186" i="19"/>
  <c r="D488" i="12"/>
  <c r="D489" i="12"/>
  <c r="D490" i="12"/>
  <c r="DT9" i="45" l="1"/>
  <c r="DT7" i="45"/>
  <c r="DT6" i="45"/>
  <c r="DS5" i="45"/>
  <c r="DT3" i="45"/>
  <c r="DU3" i="45" s="1"/>
  <c r="DT2" i="45"/>
  <c r="DT5" i="45" l="1"/>
  <c r="DU2" i="45"/>
  <c r="DU5" i="45" s="1"/>
  <c r="CE5" i="88"/>
  <c r="CD5" i="88"/>
  <c r="CC5" i="88"/>
  <c r="DS8" i="45"/>
  <c r="DT8" i="45"/>
  <c r="D2185" i="19" l="1"/>
  <c r="D2184" i="19"/>
  <c r="D2183" i="19"/>
  <c r="D2182" i="19"/>
  <c r="D2181" i="19"/>
  <c r="D2180" i="19"/>
  <c r="D2179" i="19"/>
  <c r="D2178" i="19"/>
  <c r="D2177" i="19"/>
  <c r="D2176" i="19"/>
  <c r="D2175" i="19"/>
  <c r="D2174" i="19"/>
  <c r="D2173" i="19"/>
  <c r="D2172" i="19"/>
  <c r="D2171" i="19"/>
  <c r="D2170" i="19"/>
  <c r="D2169" i="19"/>
  <c r="D2168" i="19"/>
  <c r="D2167" i="19"/>
  <c r="D2166" i="19"/>
  <c r="D2165" i="19"/>
  <c r="D2164" i="19"/>
  <c r="D2163" i="19"/>
  <c r="D2162" i="19"/>
  <c r="D2161" i="19"/>
  <c r="D2159" i="19"/>
  <c r="D2160" i="19" s="1"/>
  <c r="D2158" i="19"/>
  <c r="D2157" i="19"/>
  <c r="D2156" i="19"/>
  <c r="D2155" i="19"/>
  <c r="D2154" i="19"/>
  <c r="D2153" i="19"/>
  <c r="D2152" i="19"/>
  <c r="D2151" i="19"/>
  <c r="D2150" i="19"/>
  <c r="D2149" i="19"/>
  <c r="D2148" i="19"/>
  <c r="D2147" i="19"/>
  <c r="D2146" i="19"/>
  <c r="D2145" i="19"/>
  <c r="D2144" i="19"/>
  <c r="D2143" i="19"/>
  <c r="D2142" i="19"/>
  <c r="D2141" i="19"/>
  <c r="D2140" i="19"/>
  <c r="D2139" i="19"/>
  <c r="D2138" i="19"/>
  <c r="D2137" i="19"/>
  <c r="D2136" i="19"/>
  <c r="D2135" i="19"/>
  <c r="D2134" i="19"/>
  <c r="D2133" i="19"/>
  <c r="D2132" i="19"/>
  <c r="D2130" i="19"/>
  <c r="D2131" i="19" s="1"/>
  <c r="D2129" i="19"/>
  <c r="D2128" i="19"/>
  <c r="D2127" i="19"/>
  <c r="D2126" i="19"/>
  <c r="D2125" i="19"/>
  <c r="D2124" i="19"/>
  <c r="D2123" i="19"/>
  <c r="D2122" i="19"/>
  <c r="D2121" i="19"/>
  <c r="D2120" i="19"/>
  <c r="D2119" i="19"/>
  <c r="D2118" i="19"/>
  <c r="D2117" i="19"/>
  <c r="D2116" i="19"/>
  <c r="D2115" i="19"/>
  <c r="D2114" i="19"/>
  <c r="D2113" i="19"/>
  <c r="D2112" i="19"/>
  <c r="D2111" i="19"/>
  <c r="D485" i="12"/>
  <c r="D486" i="12"/>
  <c r="D487" i="12"/>
  <c r="CH5" i="88" l="1"/>
  <c r="CG5" i="88"/>
  <c r="CF5" i="88"/>
  <c r="LA232" i="88"/>
  <c r="KZ232" i="88"/>
  <c r="LA231" i="88"/>
  <c r="KZ231" i="88"/>
  <c r="LA230" i="88"/>
  <c r="KZ230" i="88"/>
  <c r="LA229" i="88"/>
  <c r="KZ229" i="88"/>
  <c r="LA228" i="88"/>
  <c r="KZ228" i="88"/>
  <c r="LA226" i="88"/>
  <c r="KZ226" i="88"/>
  <c r="LA225" i="88"/>
  <c r="KZ225" i="88"/>
  <c r="LA224" i="88"/>
  <c r="KZ224" i="88"/>
  <c r="LA223" i="88"/>
  <c r="KZ223" i="88"/>
  <c r="LA222" i="88"/>
  <c r="KZ222" i="88"/>
  <c r="LA221" i="88"/>
  <c r="KZ221" i="88"/>
  <c r="LA220" i="88"/>
  <c r="KZ220" i="88"/>
  <c r="LA219" i="88"/>
  <c r="KZ219" i="88"/>
  <c r="LA218" i="88"/>
  <c r="KZ218" i="88"/>
  <c r="LA217" i="88"/>
  <c r="KZ217" i="88"/>
  <c r="LA216" i="88"/>
  <c r="KZ216" i="88"/>
  <c r="LA215" i="88"/>
  <c r="KZ215" i="88"/>
  <c r="LA214" i="88"/>
  <c r="KZ214" i="88"/>
  <c r="LA213" i="88"/>
  <c r="KZ213" i="88"/>
  <c r="LA212" i="88"/>
  <c r="KZ212" i="88"/>
  <c r="LA211" i="88"/>
  <c r="KZ211" i="88"/>
  <c r="LA209" i="88"/>
  <c r="KZ209" i="88"/>
  <c r="KZ207" i="88"/>
  <c r="LA206" i="88"/>
  <c r="KZ206" i="88"/>
  <c r="LA205" i="88"/>
  <c r="KZ205" i="88"/>
  <c r="LA204" i="88"/>
  <c r="KZ204" i="88"/>
  <c r="LA203" i="88"/>
  <c r="KZ203" i="88"/>
  <c r="LA202" i="88"/>
  <c r="KZ202" i="88"/>
  <c r="LA201" i="88"/>
  <c r="KZ201" i="88"/>
  <c r="LA200" i="88"/>
  <c r="KZ200" i="88"/>
  <c r="LA199" i="88"/>
  <c r="KZ199" i="88"/>
  <c r="LA198" i="88"/>
  <c r="KZ198" i="88"/>
  <c r="LA197" i="88"/>
  <c r="KZ197" i="88"/>
  <c r="LA196" i="88"/>
  <c r="KZ196" i="88"/>
  <c r="LA195" i="88"/>
  <c r="KZ195" i="88"/>
  <c r="LA194" i="88"/>
  <c r="KZ194" i="88"/>
  <c r="LA193" i="88"/>
  <c r="KZ193" i="88"/>
  <c r="LA192" i="88"/>
  <c r="KZ192" i="88"/>
  <c r="LA191" i="88"/>
  <c r="KZ191" i="88"/>
  <c r="LA190" i="88"/>
  <c r="KZ190" i="88"/>
  <c r="LA189" i="88"/>
  <c r="KZ189" i="88"/>
  <c r="LA188" i="88"/>
  <c r="KZ188" i="88"/>
  <c r="LA187" i="88"/>
  <c r="KZ187" i="88"/>
  <c r="LA186" i="88"/>
  <c r="KZ186" i="88"/>
  <c r="LA185" i="88"/>
  <c r="KZ185" i="88"/>
  <c r="LA184" i="88"/>
  <c r="KZ184" i="88"/>
  <c r="LA183" i="88"/>
  <c r="KZ183" i="88"/>
  <c r="LA182" i="88"/>
  <c r="KZ182" i="88"/>
  <c r="LA181" i="88"/>
  <c r="KZ181" i="88"/>
  <c r="LA180" i="88"/>
  <c r="KZ180" i="88"/>
  <c r="LA179" i="88"/>
  <c r="KZ179" i="88"/>
  <c r="LA178" i="88"/>
  <c r="KZ178" i="88"/>
  <c r="LA177" i="88"/>
  <c r="KZ177" i="88"/>
  <c r="LA176" i="88"/>
  <c r="KZ176" i="88"/>
  <c r="LA175" i="88"/>
  <c r="KZ175" i="88"/>
  <c r="LA174" i="88"/>
  <c r="KZ174" i="88"/>
  <c r="LA173" i="88"/>
  <c r="KZ173" i="88"/>
  <c r="LA172" i="88"/>
  <c r="KZ172" i="88"/>
  <c r="LA171" i="88"/>
  <c r="KZ171" i="88"/>
  <c r="LA170" i="88"/>
  <c r="KZ170" i="88"/>
  <c r="LA169" i="88"/>
  <c r="KZ169" i="88"/>
  <c r="LA168" i="88"/>
  <c r="KZ168" i="88"/>
  <c r="LA167" i="88"/>
  <c r="KZ167" i="88"/>
  <c r="LA166" i="88"/>
  <c r="KZ166" i="88"/>
  <c r="LA165" i="88"/>
  <c r="KZ165" i="88"/>
  <c r="LA164" i="88"/>
  <c r="KZ164" i="88"/>
  <c r="LA163" i="88"/>
  <c r="KZ163" i="88"/>
  <c r="LA162" i="88"/>
  <c r="KZ162" i="88"/>
  <c r="LA161" i="88"/>
  <c r="KZ161" i="88"/>
  <c r="LA159" i="88"/>
  <c r="KZ159" i="88"/>
  <c r="LA158" i="88"/>
  <c r="KZ158" i="88"/>
  <c r="LA157" i="88"/>
  <c r="KZ157" i="88"/>
  <c r="LA156" i="88"/>
  <c r="KZ156" i="88"/>
  <c r="LA155" i="88"/>
  <c r="KZ155" i="88"/>
  <c r="LA154" i="88"/>
  <c r="KZ154" i="88"/>
  <c r="LA153" i="88"/>
  <c r="KZ153" i="88"/>
  <c r="LA152" i="88"/>
  <c r="KZ152" i="88"/>
  <c r="LA151" i="88"/>
  <c r="KZ151" i="88"/>
  <c r="LA150" i="88"/>
  <c r="KZ150" i="88"/>
  <c r="LA149" i="88"/>
  <c r="KZ149" i="88"/>
  <c r="LA148" i="88"/>
  <c r="KZ148" i="88"/>
  <c r="LA147" i="88"/>
  <c r="KZ147" i="88"/>
  <c r="LA146" i="88"/>
  <c r="KZ146" i="88"/>
  <c r="LA145" i="88"/>
  <c r="KZ145" i="88"/>
  <c r="LA144" i="88"/>
  <c r="KZ144" i="88"/>
  <c r="LA143" i="88"/>
  <c r="KZ143" i="88"/>
  <c r="LA142" i="88"/>
  <c r="KZ142" i="88"/>
  <c r="LA141" i="88"/>
  <c r="KZ141" i="88"/>
  <c r="LA140" i="88"/>
  <c r="KZ140" i="88"/>
  <c r="LA139" i="88"/>
  <c r="KZ139" i="88"/>
  <c r="LA138" i="88"/>
  <c r="KZ138" i="88"/>
  <c r="LA137" i="88"/>
  <c r="KZ137" i="88"/>
  <c r="LA136" i="88"/>
  <c r="KZ136" i="88"/>
  <c r="LA135" i="88"/>
  <c r="KZ135" i="88"/>
  <c r="LA134" i="88"/>
  <c r="KZ134" i="88"/>
  <c r="LA133" i="88"/>
  <c r="KZ133" i="88"/>
  <c r="LA132" i="88"/>
  <c r="KZ132" i="88"/>
  <c r="LA131" i="88"/>
  <c r="KZ131" i="88"/>
  <c r="LA130" i="88"/>
  <c r="KZ130" i="88"/>
  <c r="KV122" i="88"/>
  <c r="KU122" i="88"/>
  <c r="HY111" i="88"/>
  <c r="IB110" i="88"/>
  <c r="IA110" i="88"/>
  <c r="HZ110" i="88"/>
  <c r="HY110" i="88"/>
  <c r="HX110" i="88"/>
  <c r="HW110" i="88"/>
  <c r="HV110" i="88"/>
  <c r="HU110" i="88"/>
  <c r="HT110" i="88"/>
  <c r="HS110" i="88"/>
  <c r="HR110" i="88"/>
  <c r="HQ110" i="88"/>
  <c r="HP110" i="88"/>
  <c r="HO110" i="88"/>
  <c r="HN110" i="88"/>
  <c r="HM110" i="88"/>
  <c r="HL110" i="88"/>
  <c r="HK110" i="88"/>
  <c r="HJ110" i="88"/>
  <c r="HI110" i="88"/>
  <c r="HH110" i="88"/>
  <c r="HG110" i="88"/>
  <c r="HF110" i="88"/>
  <c r="HE110" i="88"/>
  <c r="HD110" i="88"/>
  <c r="HC110" i="88"/>
  <c r="HB110" i="88"/>
  <c r="HA110" i="88"/>
  <c r="GZ110" i="88"/>
  <c r="GY110" i="88"/>
  <c r="GX110" i="88"/>
  <c r="GW110" i="88"/>
  <c r="GV110" i="88"/>
  <c r="GU110" i="88"/>
  <c r="GT110" i="88"/>
  <c r="GS110" i="88"/>
  <c r="GR110" i="88"/>
  <c r="GQ110" i="88"/>
  <c r="GP110" i="88"/>
  <c r="GO110" i="88"/>
  <c r="GN110" i="88"/>
  <c r="GM110" i="88"/>
  <c r="GL110" i="88"/>
  <c r="GK110" i="88"/>
  <c r="GJ110" i="88"/>
  <c r="GI110" i="88"/>
  <c r="GH110" i="88"/>
  <c r="GG110" i="88"/>
  <c r="GF110" i="88"/>
  <c r="GE110" i="88"/>
  <c r="GD110" i="88"/>
  <c r="GC110" i="88"/>
  <c r="GB110" i="88"/>
  <c r="GA110" i="88"/>
  <c r="FZ110" i="88"/>
  <c r="FY110" i="88"/>
  <c r="FX110" i="88"/>
  <c r="FW110" i="88"/>
  <c r="FV110" i="88"/>
  <c r="FU110" i="88"/>
  <c r="FT110" i="88"/>
  <c r="FS110" i="88"/>
  <c r="FR110" i="88"/>
  <c r="FQ110" i="88"/>
  <c r="FP110" i="88"/>
  <c r="FO110" i="88"/>
  <c r="HY109" i="88"/>
  <c r="HY108" i="88"/>
  <c r="FS108" i="88"/>
  <c r="FR108" i="88"/>
  <c r="FQ108" i="88"/>
  <c r="FP108" i="88"/>
  <c r="FO108" i="88"/>
  <c r="FN108" i="88"/>
  <c r="FM108" i="88"/>
  <c r="FL108" i="88"/>
  <c r="FK108" i="88"/>
  <c r="FJ108" i="88"/>
  <c r="FI108" i="88"/>
  <c r="FH108" i="88"/>
  <c r="FG108" i="88"/>
  <c r="FF108" i="88"/>
  <c r="FE108" i="88"/>
  <c r="FD108" i="88"/>
  <c r="FC108" i="88"/>
  <c r="FB108" i="88"/>
  <c r="FA108" i="88"/>
  <c r="EZ108" i="88"/>
  <c r="EY108" i="88"/>
  <c r="EX108" i="88"/>
  <c r="EW108" i="88"/>
  <c r="EV108" i="88"/>
  <c r="EU108" i="88"/>
  <c r="ET108" i="88"/>
  <c r="ES108" i="88"/>
  <c r="ER108" i="88"/>
  <c r="EQ108" i="88"/>
  <c r="EP108" i="88"/>
  <c r="EO108" i="88"/>
  <c r="EN108" i="88"/>
  <c r="EM108" i="88"/>
  <c r="EL108" i="88"/>
  <c r="EK108" i="88"/>
  <c r="EJ108" i="88"/>
  <c r="EI108" i="88"/>
  <c r="EH108" i="88"/>
  <c r="EG108" i="88"/>
  <c r="EF108" i="88"/>
  <c r="EE108" i="88"/>
  <c r="ED108" i="88"/>
  <c r="EC108" i="88"/>
  <c r="EB108" i="88"/>
  <c r="EA108" i="88"/>
  <c r="DZ108" i="88"/>
  <c r="DY108" i="88"/>
  <c r="DX108" i="88"/>
  <c r="DW108" i="88"/>
  <c r="DV108" i="88"/>
  <c r="DU108" i="88"/>
  <c r="DT108" i="88"/>
  <c r="DS108" i="88"/>
  <c r="DR108" i="88"/>
  <c r="DQ108" i="88"/>
  <c r="DP108" i="88"/>
  <c r="DO108" i="88"/>
  <c r="DN108" i="88"/>
  <c r="DM108" i="88"/>
  <c r="DL108" i="88"/>
  <c r="DK108" i="88"/>
  <c r="DJ108" i="88"/>
  <c r="DI108" i="88"/>
  <c r="DH108" i="88"/>
  <c r="DG108" i="88"/>
  <c r="DF108" i="88"/>
  <c r="DE108" i="88"/>
  <c r="DD108" i="88"/>
  <c r="OV107" i="88"/>
  <c r="OU107" i="88"/>
  <c r="OT107" i="88"/>
  <c r="OS107" i="88"/>
  <c r="OR107" i="88"/>
  <c r="OQ107" i="88"/>
  <c r="OP107" i="88"/>
  <c r="OO107" i="88"/>
  <c r="ON107" i="88"/>
  <c r="OM107" i="88"/>
  <c r="OL107" i="88"/>
  <c r="OK107" i="88"/>
  <c r="OJ107" i="88"/>
  <c r="OI107" i="88"/>
  <c r="OH107" i="88"/>
  <c r="OG107" i="88"/>
  <c r="OF107" i="88"/>
  <c r="OE107" i="88"/>
  <c r="OD107" i="88"/>
  <c r="OC107" i="88"/>
  <c r="OB107" i="88"/>
  <c r="OA107" i="88"/>
  <c r="NZ107" i="88"/>
  <c r="NY107" i="88"/>
  <c r="NX107" i="88"/>
  <c r="NW107" i="88"/>
  <c r="NV107" i="88"/>
  <c r="NU107" i="88"/>
  <c r="NT107" i="88"/>
  <c r="NS107" i="88"/>
  <c r="NR107" i="88"/>
  <c r="NQ107" i="88"/>
  <c r="NP107" i="88"/>
  <c r="NO107" i="88"/>
  <c r="NN107" i="88"/>
  <c r="NM107" i="88"/>
  <c r="NL107" i="88"/>
  <c r="NK107" i="88"/>
  <c r="NJ107" i="88"/>
  <c r="NI107" i="88"/>
  <c r="NH107" i="88"/>
  <c r="NG107" i="88"/>
  <c r="NF107" i="88"/>
  <c r="NE107" i="88"/>
  <c r="ND107" i="88"/>
  <c r="NC107" i="88"/>
  <c r="NB107" i="88"/>
  <c r="NA107" i="88"/>
  <c r="MZ107" i="88"/>
  <c r="MY107" i="88"/>
  <c r="MX107" i="88"/>
  <c r="MW107" i="88"/>
  <c r="MV107" i="88"/>
  <c r="MU107" i="88"/>
  <c r="MT107" i="88"/>
  <c r="MS107" i="88"/>
  <c r="MR107" i="88"/>
  <c r="MQ107" i="88"/>
  <c r="MP107" i="88"/>
  <c r="MO107" i="88"/>
  <c r="MN107" i="88"/>
  <c r="MM107" i="88"/>
  <c r="ML107" i="88"/>
  <c r="MK107" i="88"/>
  <c r="MJ107" i="88"/>
  <c r="MI107" i="88"/>
  <c r="MH107" i="88"/>
  <c r="MG107" i="88"/>
  <c r="MF107" i="88"/>
  <c r="ME107" i="88"/>
  <c r="MD107" i="88"/>
  <c r="MC107" i="88"/>
  <c r="MB107" i="88"/>
  <c r="MA107" i="88"/>
  <c r="LZ107" i="88"/>
  <c r="LY107" i="88"/>
  <c r="LX107" i="88"/>
  <c r="LW107" i="88"/>
  <c r="LV107" i="88"/>
  <c r="LU107" i="88"/>
  <c r="LT107" i="88"/>
  <c r="LS107" i="88"/>
  <c r="LR107" i="88"/>
  <c r="LQ107" i="88"/>
  <c r="LP107" i="88"/>
  <c r="LO107" i="88"/>
  <c r="LM107" i="88"/>
  <c r="LL107" i="88"/>
  <c r="LJ107" i="88"/>
  <c r="LI107" i="88"/>
  <c r="LG107" i="88"/>
  <c r="LF107" i="88"/>
  <c r="LD107" i="88"/>
  <c r="LC107" i="88"/>
  <c r="LB107" i="88"/>
  <c r="KZ107" i="88"/>
  <c r="KZ227" i="88" s="1"/>
  <c r="KY107" i="88"/>
  <c r="HY106" i="88"/>
  <c r="HY104" i="88"/>
  <c r="HY103" i="88"/>
  <c r="JU100" i="88"/>
  <c r="JT100" i="88"/>
  <c r="JS100" i="88"/>
  <c r="JR100" i="88"/>
  <c r="JQ100" i="88"/>
  <c r="JP100" i="88"/>
  <c r="JO100" i="88"/>
  <c r="JN100" i="88"/>
  <c r="JM100" i="88"/>
  <c r="JL100" i="88"/>
  <c r="JK100" i="88"/>
  <c r="JJ100" i="88"/>
  <c r="JI100" i="88"/>
  <c r="JH100" i="88"/>
  <c r="JG100" i="88"/>
  <c r="JF100" i="88"/>
  <c r="JE100" i="88"/>
  <c r="JD100" i="88"/>
  <c r="JC100" i="88"/>
  <c r="JB100" i="88"/>
  <c r="JA100" i="88"/>
  <c r="IZ100" i="88"/>
  <c r="IY100" i="88"/>
  <c r="IX100" i="88"/>
  <c r="IW100" i="88"/>
  <c r="IV100" i="88"/>
  <c r="IU100" i="88"/>
  <c r="IT100" i="88"/>
  <c r="IS100" i="88"/>
  <c r="IR100" i="88"/>
  <c r="IQ100" i="88"/>
  <c r="IP100" i="88"/>
  <c r="IO100" i="88"/>
  <c r="IN100" i="88"/>
  <c r="IM100" i="88"/>
  <c r="IL100" i="88"/>
  <c r="IK100" i="88"/>
  <c r="IJ100" i="88"/>
  <c r="II100" i="88"/>
  <c r="IH100" i="88"/>
  <c r="IG100" i="88"/>
  <c r="IF100" i="88"/>
  <c r="IE100" i="88"/>
  <c r="ID100" i="88"/>
  <c r="IC100" i="88"/>
  <c r="IB100" i="88"/>
  <c r="IA100" i="88"/>
  <c r="HZ100" i="88"/>
  <c r="HY100" i="88"/>
  <c r="HX100" i="88"/>
  <c r="HW100" i="88"/>
  <c r="HV100" i="88"/>
  <c r="HU100" i="88"/>
  <c r="HT100" i="88"/>
  <c r="HS100" i="88"/>
  <c r="HR100" i="88"/>
  <c r="HQ100" i="88"/>
  <c r="HP100" i="88"/>
  <c r="HO100" i="88"/>
  <c r="HN100" i="88"/>
  <c r="HM100" i="88"/>
  <c r="HL100" i="88"/>
  <c r="HK100" i="88"/>
  <c r="HJ100" i="88"/>
  <c r="HI100" i="88"/>
  <c r="HH100" i="88"/>
  <c r="HG100" i="88"/>
  <c r="HF100" i="88"/>
  <c r="HE100" i="88"/>
  <c r="HD100" i="88"/>
  <c r="HC100" i="88"/>
  <c r="HB100" i="88"/>
  <c r="HA100" i="88"/>
  <c r="GZ100" i="88"/>
  <c r="GY100" i="88"/>
  <c r="HY99" i="88"/>
  <c r="HY97" i="88"/>
  <c r="HY93" i="88"/>
  <c r="MV92" i="88"/>
  <c r="HY92" i="88"/>
  <c r="OV90" i="88"/>
  <c r="OU90" i="88"/>
  <c r="OT90" i="88"/>
  <c r="OS90" i="88"/>
  <c r="OR90" i="88"/>
  <c r="OQ90" i="88"/>
  <c r="OP90" i="88"/>
  <c r="OO90" i="88"/>
  <c r="ON90" i="88"/>
  <c r="OM90" i="88"/>
  <c r="OL90" i="88"/>
  <c r="OK90" i="88"/>
  <c r="OJ90" i="88"/>
  <c r="OI90" i="88"/>
  <c r="OH90" i="88"/>
  <c r="OG90" i="88"/>
  <c r="OF90" i="88"/>
  <c r="OE90" i="88"/>
  <c r="OD90" i="88"/>
  <c r="OC90" i="88"/>
  <c r="OB90" i="88"/>
  <c r="OA90" i="88"/>
  <c r="NZ90" i="88"/>
  <c r="NY90" i="88"/>
  <c r="NX90" i="88"/>
  <c r="NW90" i="88"/>
  <c r="NV90" i="88"/>
  <c r="NU90" i="88"/>
  <c r="NT90" i="88"/>
  <c r="NS90" i="88"/>
  <c r="NR90" i="88"/>
  <c r="NQ90" i="88"/>
  <c r="NP90" i="88"/>
  <c r="NO90" i="88"/>
  <c r="NN90" i="88"/>
  <c r="NM90" i="88"/>
  <c r="NL90" i="88"/>
  <c r="NK90" i="88"/>
  <c r="NJ90" i="88"/>
  <c r="NI90" i="88"/>
  <c r="NH90" i="88"/>
  <c r="NG90" i="88"/>
  <c r="NF90" i="88"/>
  <c r="NE90" i="88"/>
  <c r="ND90" i="88"/>
  <c r="NC90" i="88"/>
  <c r="NB90" i="88"/>
  <c r="NA90" i="88"/>
  <c r="MZ90" i="88"/>
  <c r="MY90" i="88"/>
  <c r="MX90" i="88"/>
  <c r="MW90" i="88"/>
  <c r="MV90" i="88"/>
  <c r="MU90" i="88"/>
  <c r="MT90" i="88"/>
  <c r="MS90" i="88"/>
  <c r="MR90" i="88"/>
  <c r="MQ90" i="88"/>
  <c r="MP90" i="88"/>
  <c r="MO90" i="88"/>
  <c r="MN90" i="88"/>
  <c r="MM90" i="88"/>
  <c r="ML90" i="88"/>
  <c r="MK90" i="88"/>
  <c r="MJ90" i="88"/>
  <c r="MI90" i="88"/>
  <c r="MH90" i="88"/>
  <c r="MG90" i="88"/>
  <c r="MF90" i="88"/>
  <c r="ME90" i="88"/>
  <c r="MD90" i="88"/>
  <c r="MC90" i="88"/>
  <c r="MB90" i="88"/>
  <c r="MA90" i="88"/>
  <c r="LZ90" i="88"/>
  <c r="LY90" i="88"/>
  <c r="LX90" i="88"/>
  <c r="LW90" i="88"/>
  <c r="LV90" i="88"/>
  <c r="LU90" i="88"/>
  <c r="LT90" i="88"/>
  <c r="LS90" i="88"/>
  <c r="LR90" i="88"/>
  <c r="LQ90" i="88"/>
  <c r="LP90" i="88"/>
  <c r="LO90" i="88"/>
  <c r="LN90" i="88"/>
  <c r="LM90" i="88"/>
  <c r="LL90" i="88"/>
  <c r="LK90" i="88"/>
  <c r="LJ90" i="88"/>
  <c r="LI90" i="88"/>
  <c r="LH90" i="88"/>
  <c r="LG90" i="88"/>
  <c r="LF90" i="88"/>
  <c r="LE90" i="88"/>
  <c r="LD90" i="88"/>
  <c r="LC90" i="88"/>
  <c r="LB90" i="88"/>
  <c r="LA90" i="88"/>
  <c r="KZ90" i="88"/>
  <c r="HY90" i="88"/>
  <c r="HY89" i="88"/>
  <c r="OV88" i="88"/>
  <c r="OU88" i="88"/>
  <c r="OT88" i="88"/>
  <c r="OS88" i="88"/>
  <c r="OR88" i="88"/>
  <c r="OQ88" i="88"/>
  <c r="OP88" i="88"/>
  <c r="OO88" i="88"/>
  <c r="ON88" i="88"/>
  <c r="OM88" i="88"/>
  <c r="OL88" i="88"/>
  <c r="OK88" i="88"/>
  <c r="OJ88" i="88"/>
  <c r="OI88" i="88"/>
  <c r="OH88" i="88"/>
  <c r="OG88" i="88"/>
  <c r="OF88" i="88"/>
  <c r="OE88" i="88"/>
  <c r="OD88" i="88"/>
  <c r="OC88" i="88"/>
  <c r="OB88" i="88"/>
  <c r="OA88" i="88"/>
  <c r="NZ88" i="88"/>
  <c r="NY88" i="88"/>
  <c r="NX88" i="88"/>
  <c r="NW88" i="88"/>
  <c r="NV88" i="88"/>
  <c r="NU88" i="88"/>
  <c r="NT88" i="88"/>
  <c r="NS88" i="88"/>
  <c r="NR88" i="88"/>
  <c r="NQ88" i="88"/>
  <c r="NP88" i="88"/>
  <c r="NO88" i="88"/>
  <c r="NN88" i="88"/>
  <c r="NM88" i="88"/>
  <c r="NL88" i="88"/>
  <c r="NK88" i="88"/>
  <c r="NJ88" i="88"/>
  <c r="NI88" i="88"/>
  <c r="NH88" i="88"/>
  <c r="NG88" i="88"/>
  <c r="NF88" i="88"/>
  <c r="NE88" i="88"/>
  <c r="ND88" i="88"/>
  <c r="NC88" i="88"/>
  <c r="NB88" i="88"/>
  <c r="NA88" i="88"/>
  <c r="MZ88" i="88"/>
  <c r="MY88" i="88"/>
  <c r="MX88" i="88"/>
  <c r="MW88" i="88"/>
  <c r="MV88" i="88"/>
  <c r="MU88" i="88"/>
  <c r="MT88" i="88"/>
  <c r="MS88" i="88"/>
  <c r="MR88" i="88"/>
  <c r="MQ88" i="88"/>
  <c r="MP88" i="88"/>
  <c r="MO88" i="88"/>
  <c r="MN88" i="88"/>
  <c r="MM88" i="88"/>
  <c r="ML88" i="88"/>
  <c r="MK88" i="88"/>
  <c r="MJ88" i="88"/>
  <c r="MI88" i="88"/>
  <c r="MH88" i="88"/>
  <c r="MG88" i="88"/>
  <c r="MF88" i="88"/>
  <c r="ME88" i="88"/>
  <c r="MD88" i="88"/>
  <c r="MC88" i="88"/>
  <c r="MB88" i="88"/>
  <c r="MA88" i="88"/>
  <c r="LZ88" i="88"/>
  <c r="LY88" i="88"/>
  <c r="LX88" i="88"/>
  <c r="LW88" i="88"/>
  <c r="LV88" i="88"/>
  <c r="LU88" i="88"/>
  <c r="LT88" i="88"/>
  <c r="LS88" i="88"/>
  <c r="LR88" i="88"/>
  <c r="LQ88" i="88"/>
  <c r="LP88" i="88"/>
  <c r="LO88" i="88"/>
  <c r="LN88" i="88"/>
  <c r="LM88" i="88"/>
  <c r="LL88" i="88"/>
  <c r="LK88" i="88"/>
  <c r="LJ88" i="88"/>
  <c r="LI88" i="88"/>
  <c r="LH88" i="88"/>
  <c r="LG88" i="88"/>
  <c r="LF88" i="88"/>
  <c r="LE88" i="88"/>
  <c r="LD88" i="88"/>
  <c r="LC88" i="88"/>
  <c r="LB88" i="88"/>
  <c r="LA88" i="88"/>
  <c r="KZ88" i="88"/>
  <c r="KY88" i="88"/>
  <c r="KY122" i="88" s="1"/>
  <c r="KX88" i="88"/>
  <c r="KX122" i="88" s="1"/>
  <c r="KW88" i="88"/>
  <c r="KW122" i="88" s="1"/>
  <c r="KT88" i="88"/>
  <c r="KT122" i="88" s="1"/>
  <c r="OV87" i="88"/>
  <c r="OS87" i="88"/>
  <c r="OR87" i="88"/>
  <c r="OP87" i="88"/>
  <c r="OO87" i="88"/>
  <c r="OM87" i="88"/>
  <c r="OL87" i="88"/>
  <c r="OJ87" i="88"/>
  <c r="OI87" i="88"/>
  <c r="OH87" i="88"/>
  <c r="OG87" i="88"/>
  <c r="OF87" i="88"/>
  <c r="OE87" i="88"/>
  <c r="OD87" i="88"/>
  <c r="OC87" i="88"/>
  <c r="OB87" i="88"/>
  <c r="OA87" i="88"/>
  <c r="NZ87" i="88"/>
  <c r="NY87" i="88"/>
  <c r="NX87" i="88"/>
  <c r="NW87" i="88"/>
  <c r="NV87" i="88"/>
  <c r="NU87" i="88"/>
  <c r="NT87" i="88"/>
  <c r="NS87" i="88"/>
  <c r="NR87" i="88"/>
  <c r="NQ87" i="88"/>
  <c r="NP87" i="88"/>
  <c r="NO87" i="88"/>
  <c r="NM87" i="88"/>
  <c r="NL87" i="88"/>
  <c r="NJ87" i="88"/>
  <c r="NI87" i="88"/>
  <c r="NG87" i="88"/>
  <c r="NF87" i="88"/>
  <c r="NE87" i="88"/>
  <c r="ND87" i="88"/>
  <c r="NC87" i="88"/>
  <c r="NB87" i="88"/>
  <c r="NA87" i="88"/>
  <c r="MZ87" i="88"/>
  <c r="MY87" i="88"/>
  <c r="MX87" i="88"/>
  <c r="MW87" i="88"/>
  <c r="MV87" i="88"/>
  <c r="MU87" i="88"/>
  <c r="MT87" i="88"/>
  <c r="MS87" i="88"/>
  <c r="MR87" i="88"/>
  <c r="MQ87" i="88"/>
  <c r="MP87" i="88"/>
  <c r="MO87" i="88"/>
  <c r="MN87" i="88"/>
  <c r="MM87" i="88"/>
  <c r="ML87" i="88"/>
  <c r="MK87" i="88"/>
  <c r="MJ87" i="88"/>
  <c r="MI87" i="88"/>
  <c r="MH87" i="88"/>
  <c r="MG87" i="88"/>
  <c r="MF87" i="88"/>
  <c r="ME87" i="88"/>
  <c r="MD87" i="88"/>
  <c r="MC87" i="88"/>
  <c r="MB87" i="88"/>
  <c r="MA87" i="88"/>
  <c r="LY87" i="88"/>
  <c r="LX87" i="88"/>
  <c r="LV87" i="88"/>
  <c r="LU87" i="88"/>
  <c r="LS87" i="88"/>
  <c r="LR87" i="88"/>
  <c r="LP87" i="88"/>
  <c r="LO87" i="88"/>
  <c r="LM87" i="88"/>
  <c r="LL87" i="88"/>
  <c r="LJ87" i="88"/>
  <c r="LG87" i="88"/>
  <c r="HY87" i="88"/>
  <c r="HY85" i="88"/>
  <c r="GO85" i="88"/>
  <c r="GN85" i="88"/>
  <c r="GM85" i="88"/>
  <c r="GL85" i="88"/>
  <c r="GK85" i="88"/>
  <c r="GJ85" i="88"/>
  <c r="GI85" i="88"/>
  <c r="GH85" i="88"/>
  <c r="GG85" i="88"/>
  <c r="GF85" i="88"/>
  <c r="GE85" i="88"/>
  <c r="GD85" i="88"/>
  <c r="GC85" i="88"/>
  <c r="GB85" i="88"/>
  <c r="GA85" i="88"/>
  <c r="FZ85" i="88"/>
  <c r="FY85" i="88"/>
  <c r="FX85" i="88"/>
  <c r="FW85" i="88"/>
  <c r="FV85" i="88"/>
  <c r="FU85" i="88"/>
  <c r="FT85" i="88"/>
  <c r="FS85" i="88"/>
  <c r="FR85" i="88"/>
  <c r="FQ85" i="88"/>
  <c r="FP85" i="88"/>
  <c r="FO85" i="88"/>
  <c r="FN85" i="88"/>
  <c r="FM85" i="88"/>
  <c r="FL85" i="88"/>
  <c r="FK85" i="88"/>
  <c r="FJ85" i="88"/>
  <c r="FI85" i="88"/>
  <c r="FH85" i="88"/>
  <c r="FG85" i="88"/>
  <c r="FF85" i="88"/>
  <c r="FE85" i="88"/>
  <c r="FD85" i="88"/>
  <c r="FC85" i="88"/>
  <c r="FB85" i="88"/>
  <c r="FA85" i="88"/>
  <c r="EZ85" i="88"/>
  <c r="EY85" i="88"/>
  <c r="EX85" i="88"/>
  <c r="EW85" i="88"/>
  <c r="EV85" i="88"/>
  <c r="EU85" i="88"/>
  <c r="ET85" i="88"/>
  <c r="ES85" i="88"/>
  <c r="ER85" i="88"/>
  <c r="EQ85" i="88"/>
  <c r="EP85" i="88"/>
  <c r="EO85" i="88"/>
  <c r="EN85" i="88"/>
  <c r="EM85" i="88"/>
  <c r="EL85" i="88"/>
  <c r="EK85" i="88"/>
  <c r="EJ85" i="88"/>
  <c r="EI85" i="88"/>
  <c r="EH85" i="88"/>
  <c r="EG85" i="88"/>
  <c r="EF85" i="88"/>
  <c r="EE85" i="88"/>
  <c r="HY84" i="88"/>
  <c r="HY77" i="88"/>
  <c r="HY76" i="88"/>
  <c r="HY74" i="88"/>
  <c r="HY72" i="88"/>
  <c r="HY69" i="88"/>
  <c r="HY67" i="88"/>
  <c r="HY65" i="88"/>
  <c r="HY64" i="88"/>
  <c r="HY63" i="88"/>
  <c r="HY61" i="88"/>
  <c r="HY59" i="88"/>
  <c r="HY57" i="88"/>
  <c r="HY56" i="88"/>
  <c r="HY54" i="88"/>
  <c r="HY53" i="88"/>
  <c r="HY51" i="88"/>
  <c r="HY50" i="88"/>
  <c r="GS50" i="88"/>
  <c r="GP50" i="88"/>
  <c r="GO50" i="88"/>
  <c r="GN50" i="88"/>
  <c r="GM50" i="88"/>
  <c r="GL50" i="88"/>
  <c r="GK50" i="88"/>
  <c r="GJ50" i="88"/>
  <c r="GI50" i="88"/>
  <c r="GH50" i="88"/>
  <c r="GG50" i="88"/>
  <c r="GF50" i="88"/>
  <c r="GE50" i="88"/>
  <c r="GD50" i="88"/>
  <c r="GC50" i="88"/>
  <c r="GB50" i="88"/>
  <c r="GA50" i="88"/>
  <c r="FZ50" i="88"/>
  <c r="FY50" i="88"/>
  <c r="FX50" i="88"/>
  <c r="FW50" i="88"/>
  <c r="FV50" i="88"/>
  <c r="FU50" i="88"/>
  <c r="FT50" i="88"/>
  <c r="FS50" i="88"/>
  <c r="FR50" i="88"/>
  <c r="FQ50" i="88"/>
  <c r="FP50" i="88"/>
  <c r="FO50" i="88"/>
  <c r="FN50" i="88"/>
  <c r="FM50" i="88"/>
  <c r="FL50" i="88"/>
  <c r="FK50" i="88"/>
  <c r="FJ50" i="88"/>
  <c r="FI50" i="88"/>
  <c r="FH50" i="88"/>
  <c r="FG50" i="88"/>
  <c r="FF50" i="88"/>
  <c r="FE50" i="88"/>
  <c r="FD50" i="88"/>
  <c r="FC50" i="88"/>
  <c r="FB50" i="88"/>
  <c r="FA50" i="88"/>
  <c r="EZ50" i="88"/>
  <c r="EY50" i="88"/>
  <c r="EX50" i="88"/>
  <c r="EW50" i="88"/>
  <c r="EV50" i="88"/>
  <c r="EU50" i="88"/>
  <c r="ET50" i="88"/>
  <c r="ES50" i="88"/>
  <c r="ER50" i="88"/>
  <c r="EQ50" i="88"/>
  <c r="EP50" i="88"/>
  <c r="EO50" i="88"/>
  <c r="EN50" i="88"/>
  <c r="EM50" i="88"/>
  <c r="EL50" i="88"/>
  <c r="EK50" i="88"/>
  <c r="HY49" i="88"/>
  <c r="HY48" i="88"/>
  <c r="HY45" i="88"/>
  <c r="HY43" i="88"/>
  <c r="HY42" i="88"/>
  <c r="OV40" i="88"/>
  <c r="OU40" i="88"/>
  <c r="OS40" i="88"/>
  <c r="OR40" i="88"/>
  <c r="OP40" i="88"/>
  <c r="OO40" i="88"/>
  <c r="OM40" i="88"/>
  <c r="OL40" i="88"/>
  <c r="OJ40" i="88"/>
  <c r="OI40" i="88"/>
  <c r="OG40" i="88"/>
  <c r="OF40" i="88"/>
  <c r="OD40" i="88"/>
  <c r="OC40" i="88"/>
  <c r="OA40" i="88"/>
  <c r="NZ40" i="88"/>
  <c r="NW40" i="88"/>
  <c r="NU40" i="88"/>
  <c r="NT40" i="88"/>
  <c r="NR40" i="88"/>
  <c r="NQ40" i="88"/>
  <c r="NO40" i="88"/>
  <c r="NN40" i="88"/>
  <c r="NL40" i="88"/>
  <c r="NK40" i="88"/>
  <c r="NJ40" i="88"/>
  <c r="NI40" i="88"/>
  <c r="NH40" i="88"/>
  <c r="NG40" i="88"/>
  <c r="NF40" i="88"/>
  <c r="NE40" i="88"/>
  <c r="ND40" i="88"/>
  <c r="NB40" i="88"/>
  <c r="NA40" i="88"/>
  <c r="MY40" i="88"/>
  <c r="LA160" i="88" s="1"/>
  <c r="MW40" i="88"/>
  <c r="MV40" i="88"/>
  <c r="MT40" i="88"/>
  <c r="MS40" i="88"/>
  <c r="MQ40" i="88"/>
  <c r="MP40" i="88"/>
  <c r="MN40" i="88"/>
  <c r="MM40" i="88"/>
  <c r="ML40" i="88"/>
  <c r="MK40" i="88"/>
  <c r="MJ40" i="88"/>
  <c r="MI40" i="88"/>
  <c r="MH40" i="88"/>
  <c r="MG40" i="88"/>
  <c r="MF40" i="88"/>
  <c r="ME40" i="88"/>
  <c r="MD40" i="88"/>
  <c r="MC40" i="88"/>
  <c r="MB40" i="88"/>
  <c r="MA40" i="88"/>
  <c r="LZ40" i="88"/>
  <c r="LY40" i="88"/>
  <c r="LX40" i="88"/>
  <c r="LW40" i="88"/>
  <c r="LV40" i="88"/>
  <c r="LU40" i="88"/>
  <c r="LT40" i="88"/>
  <c r="LS40" i="88"/>
  <c r="LR40" i="88"/>
  <c r="LQ40" i="88"/>
  <c r="LP40" i="88"/>
  <c r="LO40" i="88"/>
  <c r="LN40" i="88"/>
  <c r="LM40" i="88"/>
  <c r="LL40" i="88"/>
  <c r="LK40" i="88"/>
  <c r="LJ40" i="88"/>
  <c r="LI40" i="88"/>
  <c r="LH40" i="88"/>
  <c r="LG40" i="88"/>
  <c r="LF40" i="88"/>
  <c r="LE40" i="88"/>
  <c r="LD40" i="88"/>
  <c r="LC40" i="88"/>
  <c r="KZ40" i="88"/>
  <c r="KZ160" i="88" s="1"/>
  <c r="HY39" i="88"/>
  <c r="HY38" i="88"/>
  <c r="HY37" i="88"/>
  <c r="HY35" i="88"/>
  <c r="HY32" i="88"/>
  <c r="HY31" i="88"/>
  <c r="HY30" i="88"/>
  <c r="KC26" i="88"/>
  <c r="JZ26" i="88"/>
  <c r="JW26" i="88"/>
  <c r="JT26" i="88"/>
  <c r="JQ26" i="88"/>
  <c r="JN26" i="88"/>
  <c r="JK26" i="88"/>
  <c r="JH26" i="88"/>
  <c r="JE26" i="88"/>
  <c r="JB26" i="88"/>
  <c r="IY26" i="88"/>
  <c r="IV26" i="88"/>
  <c r="IS26" i="88"/>
  <c r="IP26" i="88"/>
  <c r="IM26" i="88"/>
  <c r="IJ26" i="88"/>
  <c r="IG26" i="88"/>
  <c r="ID26" i="88"/>
  <c r="IA26" i="88"/>
  <c r="HY26" i="88"/>
  <c r="HX26" i="88"/>
  <c r="HU26" i="88"/>
  <c r="HR26" i="88"/>
  <c r="HQ26" i="88"/>
  <c r="HO26" i="88"/>
  <c r="EY26" i="88"/>
  <c r="EX26" i="88"/>
  <c r="EW26" i="88"/>
  <c r="ET26" i="88"/>
  <c r="KS25" i="88"/>
  <c r="KR25" i="88"/>
  <c r="KQ25" i="88"/>
  <c r="KP25" i="88"/>
  <c r="KO25" i="88"/>
  <c r="KN25" i="88"/>
  <c r="KM25" i="88"/>
  <c r="KL25" i="88"/>
  <c r="KK25" i="88"/>
  <c r="KJ25" i="88"/>
  <c r="KI25" i="88"/>
  <c r="KH25" i="88"/>
  <c r="KG25" i="88"/>
  <c r="KF25" i="88"/>
  <c r="KE25" i="88"/>
  <c r="KD25" i="88"/>
  <c r="KC25" i="88"/>
  <c r="KB25" i="88"/>
  <c r="KA25" i="88"/>
  <c r="JZ25" i="88"/>
  <c r="JY25" i="88"/>
  <c r="JX25" i="88"/>
  <c r="JW25" i="88"/>
  <c r="JV25" i="88"/>
  <c r="JU25" i="88"/>
  <c r="JT25" i="88"/>
  <c r="JS25" i="88"/>
  <c r="JR25" i="88"/>
  <c r="JQ25" i="88"/>
  <c r="JP25" i="88"/>
  <c r="JO25" i="88"/>
  <c r="JN25" i="88"/>
  <c r="JM25" i="88"/>
  <c r="JL25" i="88"/>
  <c r="JK25" i="88"/>
  <c r="JJ25" i="88"/>
  <c r="JI25" i="88"/>
  <c r="JH25" i="88"/>
  <c r="JG25" i="88"/>
  <c r="JF25" i="88"/>
  <c r="JE25" i="88"/>
  <c r="JD25" i="88"/>
  <c r="JC25" i="88"/>
  <c r="JB25" i="88"/>
  <c r="JA25" i="88"/>
  <c r="IZ25" i="88"/>
  <c r="IY25" i="88"/>
  <c r="IX25" i="88"/>
  <c r="IW25" i="88"/>
  <c r="IV25" i="88"/>
  <c r="IU25" i="88"/>
  <c r="IT25" i="88"/>
  <c r="IS25" i="88"/>
  <c r="IR25" i="88"/>
  <c r="IQ25" i="88"/>
  <c r="IP25" i="88"/>
  <c r="IO25" i="88"/>
  <c r="IN25" i="88"/>
  <c r="IM25" i="88"/>
  <c r="IL25" i="88"/>
  <c r="IK25" i="88"/>
  <c r="IJ25" i="88"/>
  <c r="II25" i="88"/>
  <c r="IH25" i="88"/>
  <c r="IG25" i="88"/>
  <c r="IF25" i="88"/>
  <c r="IE25" i="88"/>
  <c r="ID25" i="88"/>
  <c r="IC25" i="88"/>
  <c r="IB25" i="88"/>
  <c r="IA25" i="88"/>
  <c r="HZ25" i="88"/>
  <c r="HY25" i="88"/>
  <c r="HX25" i="88"/>
  <c r="HW25" i="88"/>
  <c r="HV25" i="88"/>
  <c r="HU25" i="88"/>
  <c r="HT25" i="88"/>
  <c r="HS25" i="88"/>
  <c r="HR25" i="88"/>
  <c r="HQ25" i="88"/>
  <c r="HP25" i="88"/>
  <c r="HO25" i="88"/>
  <c r="HN25" i="88"/>
  <c r="HM25" i="88"/>
  <c r="HL25" i="88"/>
  <c r="HK25" i="88"/>
  <c r="HJ25" i="88"/>
  <c r="HI25" i="88"/>
  <c r="HH25" i="88"/>
  <c r="HG25" i="88"/>
  <c r="HF25" i="88"/>
  <c r="HE25" i="88"/>
  <c r="HD25" i="88"/>
  <c r="HC25" i="88"/>
  <c r="HB25" i="88"/>
  <c r="GY25" i="88"/>
  <c r="HY24" i="88"/>
  <c r="HY23" i="88"/>
  <c r="HY21" i="88"/>
  <c r="HY19" i="88"/>
  <c r="HY16" i="88"/>
  <c r="KP15" i="88"/>
  <c r="KO15" i="88"/>
  <c r="KN15" i="88"/>
  <c r="KM15" i="88"/>
  <c r="KL15" i="88"/>
  <c r="KK15" i="88"/>
  <c r="KJ15" i="88"/>
  <c r="KI15" i="88"/>
  <c r="KH15" i="88"/>
  <c r="KG15" i="88"/>
  <c r="KF15" i="88"/>
  <c r="KE15" i="88"/>
  <c r="KD15" i="88"/>
  <c r="KC15" i="88"/>
  <c r="KB15" i="88"/>
  <c r="KA15" i="88"/>
  <c r="JZ15" i="88"/>
  <c r="JY15" i="88"/>
  <c r="JX15" i="88"/>
  <c r="JW15" i="88"/>
  <c r="JV15" i="88"/>
  <c r="JU15" i="88"/>
  <c r="JT15" i="88"/>
  <c r="JS15" i="88"/>
  <c r="JR15" i="88"/>
  <c r="JQ15" i="88"/>
  <c r="JP15" i="88"/>
  <c r="JO15" i="88"/>
  <c r="JN15" i="88"/>
  <c r="JM15" i="88"/>
  <c r="JL15" i="88"/>
  <c r="JK15" i="88"/>
  <c r="JJ15" i="88"/>
  <c r="JI15" i="88"/>
  <c r="JH15" i="88"/>
  <c r="JG15" i="88"/>
  <c r="JF15" i="88"/>
  <c r="JE15" i="88"/>
  <c r="JD15" i="88"/>
  <c r="JC15" i="88"/>
  <c r="JB15" i="88"/>
  <c r="JA15" i="88"/>
  <c r="IZ15" i="88"/>
  <c r="IY15" i="88"/>
  <c r="IX15" i="88"/>
  <c r="IW15" i="88"/>
  <c r="IV15" i="88"/>
  <c r="IU15" i="88"/>
  <c r="IT15" i="88"/>
  <c r="IS15" i="88"/>
  <c r="IR15" i="88"/>
  <c r="IQ15" i="88"/>
  <c r="IP15" i="88"/>
  <c r="IO15" i="88"/>
  <c r="IN15" i="88"/>
  <c r="IM15" i="88"/>
  <c r="IL15" i="88"/>
  <c r="IK15" i="88"/>
  <c r="IJ15" i="88"/>
  <c r="II15" i="88"/>
  <c r="IG15" i="88"/>
  <c r="IF15" i="88"/>
  <c r="HY15" i="88"/>
  <c r="FE15" i="88"/>
  <c r="HY14" i="88"/>
  <c r="HY11" i="88"/>
  <c r="OV5" i="88"/>
  <c r="OU5" i="88"/>
  <c r="OT5" i="88"/>
  <c r="OS5" i="88"/>
  <c r="OR5" i="88"/>
  <c r="OQ5" i="88"/>
  <c r="OP5" i="88"/>
  <c r="OO5" i="88"/>
  <c r="ON5" i="88"/>
  <c r="OM5" i="88"/>
  <c r="OL5" i="88"/>
  <c r="OK5" i="88"/>
  <c r="OJ5" i="88"/>
  <c r="OI5" i="88"/>
  <c r="OH5" i="88"/>
  <c r="OG5" i="88"/>
  <c r="OF5" i="88"/>
  <c r="OE5" i="88"/>
  <c r="OD5" i="88"/>
  <c r="OC5" i="88"/>
  <c r="OB5" i="88"/>
  <c r="OA5" i="88"/>
  <c r="NZ5" i="88"/>
  <c r="NY5" i="88"/>
  <c r="NX5" i="88"/>
  <c r="NW5" i="88"/>
  <c r="NV5" i="88"/>
  <c r="NU5" i="88"/>
  <c r="NT5" i="88"/>
  <c r="NS5" i="88"/>
  <c r="NR5" i="88"/>
  <c r="NQ5" i="88"/>
  <c r="NP5" i="88"/>
  <c r="NO5" i="88"/>
  <c r="NN5" i="88"/>
  <c r="NM5" i="88"/>
  <c r="NL5" i="88"/>
  <c r="NK5" i="88"/>
  <c r="NJ5" i="88"/>
  <c r="NI5" i="88"/>
  <c r="NH5" i="88"/>
  <c r="NG5" i="88"/>
  <c r="NF5" i="88"/>
  <c r="NE5" i="88"/>
  <c r="ND5" i="88"/>
  <c r="NC5" i="88"/>
  <c r="NB5" i="88"/>
  <c r="NA5" i="88"/>
  <c r="MZ5" i="88"/>
  <c r="MY5" i="88"/>
  <c r="MX5" i="88"/>
  <c r="MW5" i="88"/>
  <c r="MV5" i="88"/>
  <c r="MU5" i="88"/>
  <c r="MT5" i="88"/>
  <c r="MS5" i="88"/>
  <c r="MR5" i="88"/>
  <c r="MQ5" i="88"/>
  <c r="MP5" i="88"/>
  <c r="MO5" i="88"/>
  <c r="MN5" i="88"/>
  <c r="MM5" i="88"/>
  <c r="ML5" i="88"/>
  <c r="MK5" i="88"/>
  <c r="MJ5" i="88"/>
  <c r="MI5" i="88"/>
  <c r="MH5" i="88"/>
  <c r="MG5" i="88"/>
  <c r="MF5" i="88"/>
  <c r="ME5" i="88"/>
  <c r="MD5" i="88"/>
  <c r="MC5" i="88"/>
  <c r="MB5" i="88"/>
  <c r="MA5" i="88"/>
  <c r="LZ5" i="88"/>
  <c r="LY5" i="88"/>
  <c r="LX5" i="88"/>
  <c r="LW5" i="88"/>
  <c r="LV5" i="88"/>
  <c r="LU5" i="88"/>
  <c r="LT5" i="88"/>
  <c r="LS5" i="88"/>
  <c r="LR5" i="88"/>
  <c r="LQ5" i="88"/>
  <c r="LP5" i="88"/>
  <c r="LO5" i="88"/>
  <c r="LN5" i="88"/>
  <c r="LM5" i="88"/>
  <c r="LL5" i="88"/>
  <c r="LK5" i="88"/>
  <c r="LJ5" i="88"/>
  <c r="LI5" i="88"/>
  <c r="LH5" i="88"/>
  <c r="LG5" i="88"/>
  <c r="LF5" i="88"/>
  <c r="LE5" i="88"/>
  <c r="LD5" i="88"/>
  <c r="LC5" i="88"/>
  <c r="LB5" i="88"/>
  <c r="LA5" i="88"/>
  <c r="KZ5" i="88"/>
  <c r="KY5" i="88"/>
  <c r="KX5" i="88"/>
  <c r="KW5" i="88"/>
  <c r="KV5" i="88"/>
  <c r="KU5" i="88"/>
  <c r="KT5" i="88"/>
  <c r="KS5" i="88"/>
  <c r="KR5" i="88"/>
  <c r="KQ5" i="88"/>
  <c r="KP5" i="88"/>
  <c r="KO5" i="88"/>
  <c r="KN5" i="88"/>
  <c r="KM5" i="88"/>
  <c r="KL5" i="88"/>
  <c r="KK5" i="88"/>
  <c r="KJ5" i="88"/>
  <c r="KI5" i="88"/>
  <c r="KH5" i="88"/>
  <c r="KG5" i="88"/>
  <c r="KF5" i="88"/>
  <c r="KE5" i="88"/>
  <c r="KD5" i="88"/>
  <c r="KC5" i="88"/>
  <c r="KB5" i="88"/>
  <c r="KA5" i="88"/>
  <c r="JZ5" i="88"/>
  <c r="JY5" i="88"/>
  <c r="JX5" i="88"/>
  <c r="JW5" i="88"/>
  <c r="JV5" i="88"/>
  <c r="JU5" i="88"/>
  <c r="JT5" i="88"/>
  <c r="JS5" i="88"/>
  <c r="JR5" i="88"/>
  <c r="JQ5" i="88"/>
  <c r="JP5" i="88"/>
  <c r="JO5" i="88"/>
  <c r="JN5" i="88"/>
  <c r="JM5" i="88"/>
  <c r="JL5" i="88"/>
  <c r="JK5" i="88"/>
  <c r="JJ5" i="88"/>
  <c r="JI5" i="88"/>
  <c r="JH5" i="88"/>
  <c r="JG5" i="88"/>
  <c r="JF5" i="88"/>
  <c r="JE5" i="88"/>
  <c r="JD5" i="88"/>
  <c r="JC5" i="88"/>
  <c r="JB5" i="88"/>
  <c r="JA5" i="88"/>
  <c r="IZ5" i="88"/>
  <c r="IY5" i="88"/>
  <c r="IX5" i="88"/>
  <c r="IW5" i="88"/>
  <c r="IV5" i="88"/>
  <c r="IU5" i="88"/>
  <c r="IT5" i="88"/>
  <c r="IS5" i="88"/>
  <c r="IR5" i="88"/>
  <c r="IQ5" i="88"/>
  <c r="IP5" i="88"/>
  <c r="IO5" i="88"/>
  <c r="IN5" i="88"/>
  <c r="IM5" i="88"/>
  <c r="IL5" i="88"/>
  <c r="IK5" i="88"/>
  <c r="IJ5" i="88"/>
  <c r="II5" i="88"/>
  <c r="IH5" i="88"/>
  <c r="IG5" i="88"/>
  <c r="IF5" i="88"/>
  <c r="IE5" i="88"/>
  <c r="ID5" i="88"/>
  <c r="IC5" i="88"/>
  <c r="IB5" i="88"/>
  <c r="IA5" i="88"/>
  <c r="HZ5" i="88"/>
  <c r="HY5" i="88"/>
  <c r="HX5" i="88"/>
  <c r="HW5" i="88"/>
  <c r="HV5" i="88"/>
  <c r="HU5" i="88"/>
  <c r="HT5" i="88"/>
  <c r="HS5" i="88"/>
  <c r="HR5" i="88"/>
  <c r="HQ5" i="88"/>
  <c r="HP5" i="88"/>
  <c r="HO5" i="88"/>
  <c r="HN5" i="88"/>
  <c r="HM5" i="88"/>
  <c r="HL5" i="88"/>
  <c r="HK5" i="88"/>
  <c r="HJ5" i="88"/>
  <c r="HI5" i="88"/>
  <c r="HH5" i="88"/>
  <c r="HG5" i="88"/>
  <c r="HF5" i="88"/>
  <c r="HE5" i="88"/>
  <c r="HD5" i="88"/>
  <c r="HC5" i="88"/>
  <c r="HB5" i="88"/>
  <c r="HA5" i="88"/>
  <c r="GZ5" i="88"/>
  <c r="GY5" i="88"/>
  <c r="GX5" i="88"/>
  <c r="GW5" i="88"/>
  <c r="GV5" i="88"/>
  <c r="GU5" i="88"/>
  <c r="GT5" i="88"/>
  <c r="GS5" i="88"/>
  <c r="GR5" i="88"/>
  <c r="GQ5" i="88"/>
  <c r="GP5" i="88"/>
  <c r="GO5" i="88"/>
  <c r="GN5" i="88"/>
  <c r="GM5" i="88"/>
  <c r="GL5" i="88"/>
  <c r="GK5" i="88"/>
  <c r="GJ5" i="88"/>
  <c r="GI5" i="88"/>
  <c r="GH5" i="88"/>
  <c r="GG5" i="88"/>
  <c r="GF5" i="88"/>
  <c r="GE5" i="88"/>
  <c r="GD5" i="88"/>
  <c r="GC5" i="88"/>
  <c r="GB5" i="88"/>
  <c r="GA5" i="88"/>
  <c r="FZ5" i="88"/>
  <c r="FY5" i="88"/>
  <c r="FX5" i="88"/>
  <c r="FW5" i="88"/>
  <c r="FV5" i="88"/>
  <c r="FU5" i="88"/>
  <c r="FT5" i="88"/>
  <c r="FS5" i="88"/>
  <c r="FR5" i="88"/>
  <c r="FQ5" i="88"/>
  <c r="FP5" i="88"/>
  <c r="FO5" i="88"/>
  <c r="FN5" i="88"/>
  <c r="FM5" i="88"/>
  <c r="FL5" i="88"/>
  <c r="FK5" i="88"/>
  <c r="FJ5" i="88"/>
  <c r="FI5" i="88"/>
  <c r="FH5" i="88"/>
  <c r="FG5" i="88"/>
  <c r="FF5" i="88"/>
  <c r="FE5" i="88"/>
  <c r="FD5" i="88"/>
  <c r="FC5" i="88"/>
  <c r="FB5" i="88"/>
  <c r="FA5" i="88"/>
  <c r="EZ5" i="88"/>
  <c r="EY5" i="88"/>
  <c r="EX5" i="88"/>
  <c r="EW5" i="88"/>
  <c r="EV5" i="88"/>
  <c r="EU5" i="88"/>
  <c r="ET5" i="88"/>
  <c r="ES5" i="88"/>
  <c r="ER5" i="88"/>
  <c r="EQ5" i="88"/>
  <c r="EP5" i="88"/>
  <c r="EO5" i="88"/>
  <c r="EN5" i="88"/>
  <c r="EM5" i="88"/>
  <c r="EL5" i="88"/>
  <c r="EK5" i="88"/>
  <c r="EJ5" i="88"/>
  <c r="EI5" i="88"/>
  <c r="EH5" i="88"/>
  <c r="EG5" i="88"/>
  <c r="EF5" i="88"/>
  <c r="EE5" i="88"/>
  <c r="ED5" i="88"/>
  <c r="EC5" i="88"/>
  <c r="EB5" i="88"/>
  <c r="EA5" i="88"/>
  <c r="DZ5" i="88"/>
  <c r="DY5" i="88"/>
  <c r="DX5" i="88"/>
  <c r="DW5" i="88"/>
  <c r="DV5" i="88"/>
  <c r="DU5" i="88"/>
  <c r="DT5" i="88"/>
  <c r="DS5" i="88"/>
  <c r="DR5" i="88"/>
  <c r="DQ5" i="88"/>
  <c r="DP5" i="88"/>
  <c r="DO5" i="88"/>
  <c r="DN5" i="88"/>
  <c r="DM5" i="88"/>
  <c r="DL5" i="88"/>
  <c r="DK5" i="88"/>
  <c r="DJ5" i="88"/>
  <c r="DI5" i="88"/>
  <c r="DH5" i="88"/>
  <c r="DG5" i="88"/>
  <c r="DF5" i="88"/>
  <c r="DE5" i="88"/>
  <c r="DD5" i="88"/>
  <c r="DC5" i="88"/>
  <c r="DB5" i="88"/>
  <c r="DA5" i="88"/>
  <c r="CZ5" i="88"/>
  <c r="CY5" i="88"/>
  <c r="CX5" i="88"/>
  <c r="CW5" i="88"/>
  <c r="CV5" i="88"/>
  <c r="CU5" i="88"/>
  <c r="CT5" i="88"/>
  <c r="CS5" i="88"/>
  <c r="CR5" i="88"/>
  <c r="CQ5" i="88"/>
  <c r="CP5" i="88"/>
  <c r="CO5" i="88"/>
  <c r="CN5" i="88"/>
  <c r="CM5" i="88"/>
  <c r="CL5" i="88"/>
  <c r="CK5" i="88"/>
  <c r="CJ5" i="88"/>
  <c r="CI5" i="88"/>
  <c r="LI122" i="88" l="1"/>
  <c r="KZ208" i="88"/>
  <c r="LD122" i="88"/>
  <c r="LA208" i="88"/>
  <c r="LA122" i="88"/>
  <c r="LE122" i="88"/>
  <c r="LF122" i="88"/>
  <c r="EZ115" i="88"/>
  <c r="LA207" i="88"/>
  <c r="LC122" i="88"/>
  <c r="KZ210" i="88"/>
  <c r="LA210" i="88"/>
  <c r="LA227" i="88"/>
  <c r="LB122" i="88"/>
  <c r="KZ122" i="88"/>
  <c r="DX9" i="45"/>
  <c r="DX7" i="45"/>
  <c r="DX6" i="45"/>
  <c r="DW5" i="45"/>
  <c r="DX3" i="45"/>
  <c r="DY3" i="45" s="1"/>
  <c r="DX2" i="45"/>
  <c r="DW8" i="45"/>
  <c r="DX5" i="45" l="1"/>
  <c r="DY2" i="45"/>
  <c r="DY5" i="45" s="1"/>
  <c r="DX8" i="45"/>
  <c r="D2110" i="19" l="1"/>
  <c r="D2109" i="19"/>
  <c r="D2108" i="19"/>
  <c r="D2107" i="19"/>
  <c r="D2105" i="19"/>
  <c r="D2106" i="19" s="1"/>
  <c r="D2104" i="19"/>
  <c r="D2103" i="19"/>
  <c r="D2102" i="19"/>
  <c r="D2101" i="19"/>
  <c r="D2100" i="19"/>
  <c r="D2099" i="19"/>
  <c r="D2098" i="19"/>
  <c r="D2097" i="19"/>
  <c r="D2095" i="19"/>
  <c r="D2096" i="19" s="1"/>
  <c r="D2094" i="19"/>
  <c r="D2093" i="19"/>
  <c r="D2092" i="19"/>
  <c r="D2090" i="19"/>
  <c r="D2091" i="19" s="1"/>
  <c r="D2089" i="19"/>
  <c r="D2088" i="19"/>
  <c r="D2087" i="19"/>
  <c r="D2086" i="19"/>
  <c r="D482" i="12"/>
  <c r="D483" i="12"/>
  <c r="D484" i="12"/>
  <c r="EB9" i="45" l="1"/>
  <c r="EB7" i="45"/>
  <c r="EB6" i="45"/>
  <c r="EA5" i="45"/>
  <c r="EB3" i="45"/>
  <c r="EC3" i="45" s="1"/>
  <c r="EB2" i="45"/>
  <c r="EC2" i="45" s="1"/>
  <c r="EA8" i="45"/>
  <c r="EC5" i="45" l="1"/>
  <c r="EB5" i="45"/>
  <c r="EB8" i="45"/>
  <c r="D2008" i="19" l="1"/>
  <c r="D2066" i="19"/>
  <c r="D2085" i="19"/>
  <c r="D2084" i="19"/>
  <c r="D2083" i="19"/>
  <c r="D2082" i="19"/>
  <c r="D2081" i="19"/>
  <c r="D2080" i="19"/>
  <c r="D2079" i="19"/>
  <c r="D2078" i="19"/>
  <c r="D2077" i="19"/>
  <c r="D2076" i="19"/>
  <c r="D2075" i="19"/>
  <c r="D2074" i="19"/>
  <c r="D2073" i="19"/>
  <c r="D2072" i="19"/>
  <c r="D2071" i="19"/>
  <c r="D2070" i="19"/>
  <c r="D2068" i="19"/>
  <c r="D2067" i="19"/>
  <c r="D2065" i="19"/>
  <c r="D2064" i="19"/>
  <c r="D2063" i="19"/>
  <c r="D2062" i="19"/>
  <c r="D2061" i="19"/>
  <c r="D2060" i="19"/>
  <c r="D2059" i="19"/>
  <c r="D2058" i="19"/>
  <c r="D2057" i="19"/>
  <c r="D2056" i="19"/>
  <c r="D2055" i="19"/>
  <c r="D2054" i="19"/>
  <c r="D2053" i="19"/>
  <c r="D2052" i="19"/>
  <c r="D2051" i="19"/>
  <c r="D2050" i="19"/>
  <c r="D2049" i="19"/>
  <c r="D2048" i="19"/>
  <c r="D2047" i="19"/>
  <c r="D2046" i="19"/>
  <c r="D2045" i="19"/>
  <c r="D2044" i="19"/>
  <c r="D2043" i="19"/>
  <c r="D2042" i="19"/>
  <c r="D2041" i="19"/>
  <c r="D2040" i="19"/>
  <c r="D2039" i="19"/>
  <c r="D2038" i="19"/>
  <c r="D2037" i="19"/>
  <c r="D2035" i="19"/>
  <c r="D2036" i="19" s="1"/>
  <c r="D2034" i="19"/>
  <c r="D2033" i="19"/>
  <c r="D2032" i="19"/>
  <c r="D2031" i="19"/>
  <c r="D2030" i="19"/>
  <c r="D2029" i="19"/>
  <c r="D2028" i="19"/>
  <c r="D2027" i="19"/>
  <c r="D2026" i="19"/>
  <c r="D2025" i="19"/>
  <c r="D2024" i="19"/>
  <c r="D2023" i="19"/>
  <c r="D2022" i="19"/>
  <c r="D2021" i="19"/>
  <c r="D2020" i="19"/>
  <c r="D2019" i="19"/>
  <c r="D2018" i="19"/>
  <c r="D2017" i="19"/>
  <c r="D2016" i="19"/>
  <c r="D2015" i="19"/>
  <c r="D2014" i="19"/>
  <c r="D2013" i="19"/>
  <c r="D2012" i="19"/>
  <c r="D2010" i="19"/>
  <c r="D2011" i="19" s="1"/>
  <c r="D2009" i="19"/>
  <c r="D2007" i="19"/>
  <c r="D2006" i="19"/>
  <c r="D2005" i="19"/>
  <c r="D2004" i="19"/>
  <c r="D2003" i="19"/>
  <c r="D2002" i="19"/>
  <c r="D2001" i="19"/>
  <c r="D2000" i="19"/>
  <c r="D1999" i="19"/>
  <c r="D1998" i="19"/>
  <c r="D1997" i="19"/>
  <c r="D1996" i="19"/>
  <c r="D1995" i="19"/>
  <c r="D1994" i="19"/>
  <c r="D1993" i="19"/>
  <c r="D1992" i="19"/>
  <c r="D1991" i="19"/>
  <c r="D1990" i="19"/>
  <c r="D1989" i="19"/>
  <c r="D1988" i="19"/>
  <c r="D1987" i="19"/>
  <c r="D1986" i="19"/>
  <c r="D1985" i="19"/>
  <c r="D1984" i="19"/>
  <c r="D1983" i="19"/>
  <c r="D1982" i="19"/>
  <c r="D1981" i="19"/>
  <c r="D1980" i="19"/>
  <c r="D1979" i="19"/>
  <c r="D1978" i="19"/>
  <c r="D1977" i="19"/>
  <c r="D1976" i="19"/>
  <c r="D479" i="12"/>
  <c r="D480" i="12"/>
  <c r="D481" i="12"/>
  <c r="EF9" i="45"/>
  <c r="EF7" i="45"/>
  <c r="EF6" i="45"/>
  <c r="EE5" i="45"/>
  <c r="EF3" i="45"/>
  <c r="EG3" i="45" s="1"/>
  <c r="EF2" i="45"/>
  <c r="EE8" i="45"/>
  <c r="D2069" i="19" l="1"/>
  <c r="EF5" i="45"/>
  <c r="EG2" i="45"/>
  <c r="EG5" i="45" s="1"/>
  <c r="EF8" i="45"/>
  <c r="D1975" i="19" l="1"/>
  <c r="D1974" i="19"/>
  <c r="D1973" i="19"/>
  <c r="D1972" i="19"/>
  <c r="D1971" i="19"/>
  <c r="D1970" i="19"/>
  <c r="D1969" i="19"/>
  <c r="D1968" i="19"/>
  <c r="D1966" i="19"/>
  <c r="D1967" i="19" s="1"/>
  <c r="D1965" i="19"/>
  <c r="D1964" i="19"/>
  <c r="D1963" i="19"/>
  <c r="D1962" i="19"/>
  <c r="D1961" i="19"/>
  <c r="D1960" i="19"/>
  <c r="D1959" i="19"/>
  <c r="D1958" i="19"/>
  <c r="D1957" i="19"/>
  <c r="D1956" i="19"/>
  <c r="D1955" i="19"/>
  <c r="D1954" i="19"/>
  <c r="D1953" i="19"/>
  <c r="D1952" i="19"/>
  <c r="D1951" i="19"/>
  <c r="D1950" i="19"/>
  <c r="D1949" i="19"/>
  <c r="D1948" i="19"/>
  <c r="D1947" i="19"/>
  <c r="D1946" i="19"/>
  <c r="D1945" i="19"/>
  <c r="D1944" i="19"/>
  <c r="D1943" i="19"/>
  <c r="D1942" i="19"/>
  <c r="D1940" i="19"/>
  <c r="D1941" i="19" s="1"/>
  <c r="D1939" i="19"/>
  <c r="D1938" i="19"/>
  <c r="D1937" i="19"/>
  <c r="D1936" i="19"/>
  <c r="D1935" i="19"/>
  <c r="D1934" i="19"/>
  <c r="D1933" i="19"/>
  <c r="D1932" i="19"/>
  <c r="D1931" i="19"/>
  <c r="D1930" i="19"/>
  <c r="D1929" i="19"/>
  <c r="D1928" i="19"/>
  <c r="D1927" i="19"/>
  <c r="D1926" i="19"/>
  <c r="D476" i="12"/>
  <c r="D477" i="12"/>
  <c r="D478" i="12"/>
  <c r="EJ9" i="45"/>
  <c r="EJ7" i="45"/>
  <c r="EJ6" i="45"/>
  <c r="EI5" i="45"/>
  <c r="EJ3" i="45"/>
  <c r="EK3" i="45" s="1"/>
  <c r="EJ2" i="45"/>
  <c r="EI8" i="45"/>
  <c r="EJ5" i="45" l="1"/>
  <c r="EK2" i="45"/>
  <c r="EK5" i="45" s="1"/>
  <c r="EJ8" i="45"/>
  <c r="D1925" i="19" l="1"/>
  <c r="D1924" i="19"/>
  <c r="D1923" i="19"/>
  <c r="D1922" i="19"/>
  <c r="D1921" i="19"/>
  <c r="D1920" i="19"/>
  <c r="D1919" i="19"/>
  <c r="D1918" i="19"/>
  <c r="D1917" i="19"/>
  <c r="D1916" i="19"/>
  <c r="D1915" i="19"/>
  <c r="D1914" i="19"/>
  <c r="D1913" i="19"/>
  <c r="D1912" i="19"/>
  <c r="D1911" i="19"/>
  <c r="D1909" i="19"/>
  <c r="D1910" i="19" s="1"/>
  <c r="D1908" i="19"/>
  <c r="D1907" i="19"/>
  <c r="D1906" i="19"/>
  <c r="D1905" i="19"/>
  <c r="D1904" i="19"/>
  <c r="D1903" i="19"/>
  <c r="D1902" i="19"/>
  <c r="D1901" i="19"/>
  <c r="D1900" i="19"/>
  <c r="D1899" i="19"/>
  <c r="D1898" i="19"/>
  <c r="D1897" i="19"/>
  <c r="D1896" i="19"/>
  <c r="D1895" i="19"/>
  <c r="D1894" i="19"/>
  <c r="D1893" i="19"/>
  <c r="D1892" i="19"/>
  <c r="D1891" i="19"/>
  <c r="D1890" i="19"/>
  <c r="D1889" i="19"/>
  <c r="D1888" i="19"/>
  <c r="D1887" i="19"/>
  <c r="D1886" i="19"/>
  <c r="D1885" i="19"/>
  <c r="D1884" i="19"/>
  <c r="D1883" i="19"/>
  <c r="D1882" i="19"/>
  <c r="D1881" i="19"/>
  <c r="D1880" i="19"/>
  <c r="D1879" i="19"/>
  <c r="D1878" i="19"/>
  <c r="D1877" i="19"/>
  <c r="D1876" i="19"/>
  <c r="D1875" i="19"/>
  <c r="D1874" i="19"/>
  <c r="D1873" i="19"/>
  <c r="D1872" i="19"/>
  <c r="D1870" i="19"/>
  <c r="D1871" i="19" s="1"/>
  <c r="D1869" i="19"/>
  <c r="D1868" i="19"/>
  <c r="D1867" i="19"/>
  <c r="D1866" i="19"/>
  <c r="D1865" i="19"/>
  <c r="D1864" i="19"/>
  <c r="D1863" i="19"/>
  <c r="D1862" i="19"/>
  <c r="D1861" i="19"/>
  <c r="D1860" i="19"/>
  <c r="D1859" i="19"/>
  <c r="D1858" i="19"/>
  <c r="D1857" i="19"/>
  <c r="D1856" i="19"/>
  <c r="D1855" i="19"/>
  <c r="D1854" i="19"/>
  <c r="D1853" i="19"/>
  <c r="D1852" i="19"/>
  <c r="D1851" i="19"/>
  <c r="D1850" i="19"/>
  <c r="D1849" i="19"/>
  <c r="D1848" i="19"/>
  <c r="D1847" i="19"/>
  <c r="D1845" i="19"/>
  <c r="D1846" i="19" s="1"/>
  <c r="D1844" i="19"/>
  <c r="D1843" i="19"/>
  <c r="D1842" i="19"/>
  <c r="D1841" i="19"/>
  <c r="D1840" i="19"/>
  <c r="D1839" i="19"/>
  <c r="D1838" i="19"/>
  <c r="D1837" i="19"/>
  <c r="D473" i="12"/>
  <c r="D474" i="12"/>
  <c r="D475" i="12"/>
  <c r="EN9" i="45" l="1"/>
  <c r="EN7" i="45"/>
  <c r="EN6" i="45"/>
  <c r="EM5" i="45"/>
  <c r="EN3" i="45"/>
  <c r="EO3" i="45" s="1"/>
  <c r="EN2" i="45"/>
  <c r="EN5" i="45" l="1"/>
  <c r="EO2" i="45"/>
  <c r="EO5" i="45" s="1"/>
  <c r="EM8" i="45"/>
  <c r="EN8" i="45"/>
  <c r="D1835" i="19" l="1"/>
  <c r="D1836" i="19" s="1"/>
  <c r="D1834" i="19"/>
  <c r="D1833" i="19"/>
  <c r="D1832" i="19"/>
  <c r="D1830" i="19"/>
  <c r="D1831" i="19" s="1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8" i="19"/>
  <c r="D1809" i="19" s="1"/>
  <c r="D1807" i="19"/>
  <c r="D1806" i="19"/>
  <c r="D1805" i="19"/>
  <c r="D1804" i="19"/>
  <c r="D1803" i="19"/>
  <c r="D1802" i="19"/>
  <c r="D1801" i="19"/>
  <c r="D1799" i="19"/>
  <c r="D1800" i="19" s="1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5" i="19"/>
  <c r="D1776" i="19" s="1"/>
  <c r="D1774" i="19"/>
  <c r="D1773" i="19"/>
  <c r="D1772" i="19"/>
  <c r="D1771" i="19"/>
  <c r="D470" i="12"/>
  <c r="D471" i="12"/>
  <c r="D472" i="12"/>
  <c r="ER9" i="45"/>
  <c r="ER7" i="45"/>
  <c r="ER6" i="45"/>
  <c r="EQ5" i="45"/>
  <c r="ER3" i="45"/>
  <c r="ES3" i="45" s="1"/>
  <c r="ER2" i="45"/>
  <c r="EQ8" i="45"/>
  <c r="ER5" i="45" l="1"/>
  <c r="ES2" i="45"/>
  <c r="ES5" i="45" s="1"/>
  <c r="ER8" i="45"/>
  <c r="D1770" i="19" l="1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0" i="19"/>
  <c r="D1751" i="19" s="1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5" i="19"/>
  <c r="D1706" i="19" s="1"/>
  <c r="D1704" i="19"/>
  <c r="D469" i="12"/>
  <c r="D467" i="12"/>
  <c r="D468" i="12"/>
  <c r="EV9" i="45" l="1"/>
  <c r="EV7" i="45"/>
  <c r="EV6" i="45"/>
  <c r="EU5" i="45"/>
  <c r="EV3" i="45"/>
  <c r="EW3" i="45" s="1"/>
  <c r="EV2" i="45"/>
  <c r="EU8" i="45"/>
  <c r="EV5" i="45" l="1"/>
  <c r="EW2" i="45"/>
  <c r="EW5" i="45" s="1"/>
  <c r="EV8" i="45"/>
  <c r="EZ9" i="45" l="1"/>
  <c r="EZ7" i="45"/>
  <c r="EZ6" i="45"/>
  <c r="EY5" i="45"/>
  <c r="EZ3" i="45"/>
  <c r="FA3" i="45" s="1"/>
  <c r="EZ2" i="45"/>
  <c r="EY8" i="45"/>
  <c r="EZ5" i="45" l="1"/>
  <c r="FA2" i="45"/>
  <c r="FA5" i="45" s="1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0" i="19"/>
  <c r="D1681" i="19" s="1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464" i="12"/>
  <c r="D465" i="12"/>
  <c r="D466" i="12"/>
  <c r="EZ8" i="45"/>
  <c r="D1639" i="19" l="1"/>
  <c r="D1638" i="19"/>
  <c r="D1637" i="19"/>
  <c r="D1636" i="19"/>
  <c r="D1634" i="19"/>
  <c r="D1635" i="19" s="1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5" i="19"/>
  <c r="D1606" i="19" s="1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5" i="19"/>
  <c r="D1586" i="19" s="1"/>
  <c r="D1584" i="19"/>
  <c r="D1583" i="19"/>
  <c r="D1582" i="19"/>
  <c r="D1581" i="19"/>
  <c r="D1580" i="19"/>
  <c r="D1579" i="19"/>
  <c r="D1578" i="19"/>
  <c r="D1577" i="19"/>
  <c r="D1576" i="19"/>
  <c r="D461" i="12"/>
  <c r="D462" i="12"/>
  <c r="D463" i="12"/>
  <c r="FD9" i="45" l="1"/>
  <c r="FD7" i="45"/>
  <c r="FD6" i="45"/>
  <c r="FC5" i="45"/>
  <c r="FD3" i="45"/>
  <c r="FE3" i="45" s="1"/>
  <c r="FD2" i="45"/>
  <c r="FD5" i="45" l="1"/>
  <c r="FE2" i="45"/>
  <c r="FE5" i="45" s="1"/>
  <c r="D1514" i="19" l="1"/>
  <c r="D1515" i="19"/>
  <c r="D1516" i="19" s="1"/>
  <c r="D1517" i="19"/>
  <c r="D1518" i="19"/>
  <c r="D1519" i="19"/>
  <c r="D1520" i="19"/>
  <c r="D1521" i="19"/>
  <c r="D1522" i="19"/>
  <c r="D1523" i="19"/>
  <c r="D1524" i="19"/>
  <c r="D1525" i="19"/>
  <c r="D1526" i="19"/>
  <c r="D1527" i="19"/>
  <c r="D1528" i="19"/>
  <c r="D1529" i="19"/>
  <c r="D1530" i="19"/>
  <c r="D1531" i="19"/>
  <c r="D1532" i="19"/>
  <c r="D1533" i="19"/>
  <c r="D1534" i="19"/>
  <c r="D1535" i="19"/>
  <c r="D1536" i="19"/>
  <c r="D1537" i="19"/>
  <c r="D1538" i="19" s="1"/>
  <c r="D1539" i="19"/>
  <c r="D1540" i="19"/>
  <c r="D1541" i="19"/>
  <c r="D1542" i="19"/>
  <c r="D1543" i="19"/>
  <c r="D1544" i="19"/>
  <c r="D1545" i="19"/>
  <c r="D1546" i="19"/>
  <c r="D1547" i="19"/>
  <c r="D1548" i="19"/>
  <c r="D1549" i="19" s="1"/>
  <c r="D1550" i="19"/>
  <c r="D1551" i="19"/>
  <c r="D1552" i="19"/>
  <c r="D1553" i="19"/>
  <c r="D1554" i="19"/>
  <c r="D1555" i="19"/>
  <c r="D1556" i="19"/>
  <c r="D1557" i="19"/>
  <c r="D1558" i="19"/>
  <c r="D1559" i="19"/>
  <c r="D1560" i="19"/>
  <c r="D1561" i="19"/>
  <c r="D1562" i="19"/>
  <c r="D1563" i="19"/>
  <c r="D1564" i="19"/>
  <c r="D1565" i="19"/>
  <c r="D1566" i="19"/>
  <c r="D1567" i="19"/>
  <c r="D1568" i="19"/>
  <c r="D1569" i="19"/>
  <c r="D1570" i="19" s="1"/>
  <c r="D1571" i="19"/>
  <c r="D1572" i="19"/>
  <c r="D1573" i="19"/>
  <c r="D1574" i="19"/>
  <c r="D1575" i="19" s="1"/>
  <c r="D1513" i="19"/>
  <c r="D1512" i="19"/>
  <c r="D1511" i="19"/>
  <c r="D1510" i="19"/>
  <c r="D1509" i="19"/>
  <c r="D458" i="12"/>
  <c r="D459" i="12"/>
  <c r="D460" i="12"/>
  <c r="FH9" i="45"/>
  <c r="FH7" i="45"/>
  <c r="FH6" i="45"/>
  <c r="FG5" i="45"/>
  <c r="FH3" i="45"/>
  <c r="FI3" i="45" s="1"/>
  <c r="FH2" i="45"/>
  <c r="FC8" i="45"/>
  <c r="FD8" i="45"/>
  <c r="FH5" i="45" l="1"/>
  <c r="FI2" i="45"/>
  <c r="FI5" i="45" s="1"/>
  <c r="D1443" i="19" l="1"/>
  <c r="D1444" i="19"/>
  <c r="D1445" i="19" s="1"/>
  <c r="D1446" i="19"/>
  <c r="D1447" i="19"/>
  <c r="D1448" i="19"/>
  <c r="D1449" i="19"/>
  <c r="D1450" i="19"/>
  <c r="D1451" i="19"/>
  <c r="D1452" i="19"/>
  <c r="D1453" i="19"/>
  <c r="D1454" i="19"/>
  <c r="D1455" i="19"/>
  <c r="D1456" i="19"/>
  <c r="D1457" i="19"/>
  <c r="D1458" i="19"/>
  <c r="D1459" i="19"/>
  <c r="D1460" i="19"/>
  <c r="D1461" i="19"/>
  <c r="D1462" i="19"/>
  <c r="D1463" i="19"/>
  <c r="D1464" i="19"/>
  <c r="D1465" i="19"/>
  <c r="D1466" i="19"/>
  <c r="D1467" i="19"/>
  <c r="D1468" i="19"/>
  <c r="D1469" i="19"/>
  <c r="D1470" i="19"/>
  <c r="D1471" i="19"/>
  <c r="D1472" i="19"/>
  <c r="D1473" i="19"/>
  <c r="D1474" i="19"/>
  <c r="D1475" i="19"/>
  <c r="D1476" i="19"/>
  <c r="D1477" i="19"/>
  <c r="D1478" i="19"/>
  <c r="D1479" i="19"/>
  <c r="D1480" i="19"/>
  <c r="D1481" i="19"/>
  <c r="D1482" i="19"/>
  <c r="D1483" i="19"/>
  <c r="D1484" i="19"/>
  <c r="D1485" i="19"/>
  <c r="D1486" i="19"/>
  <c r="D1487" i="19"/>
  <c r="D1488" i="19"/>
  <c r="D1489" i="19"/>
  <c r="D1490" i="19"/>
  <c r="D1491" i="19" s="1"/>
  <c r="D1492" i="19"/>
  <c r="D1493" i="19"/>
  <c r="D1494" i="19"/>
  <c r="D1495" i="19"/>
  <c r="D1496" i="19"/>
  <c r="D1497" i="19"/>
  <c r="D1498" i="19"/>
  <c r="D1499" i="19"/>
  <c r="D1500" i="19"/>
  <c r="D1501" i="19"/>
  <c r="D1502" i="19"/>
  <c r="D1503" i="19"/>
  <c r="D1504" i="19"/>
  <c r="D1505" i="19"/>
  <c r="D1506" i="19"/>
  <c r="D1507" i="19"/>
  <c r="D1508" i="19"/>
  <c r="D455" i="12"/>
  <c r="D456" i="12"/>
  <c r="D457" i="12"/>
  <c r="FG8" i="45"/>
  <c r="FH8" i="45"/>
  <c r="FL9" i="45" l="1"/>
  <c r="FL7" i="45"/>
  <c r="FL6" i="45"/>
  <c r="FK5" i="45"/>
  <c r="FL3" i="45"/>
  <c r="FM3" i="45" s="1"/>
  <c r="FL2" i="45"/>
  <c r="FM2" i="45" s="1"/>
  <c r="FL5" i="45" l="1"/>
  <c r="FM5" i="45"/>
  <c r="D1387" i="19" l="1"/>
  <c r="D1388" i="19"/>
  <c r="D1389" i="19"/>
  <c r="D1390" i="19"/>
  <c r="D1391" i="19"/>
  <c r="D1392" i="19"/>
  <c r="D1393" i="19"/>
  <c r="D1394" i="19"/>
  <c r="D1395" i="19"/>
  <c r="D1396" i="19"/>
  <c r="D1397" i="19"/>
  <c r="D1398" i="19"/>
  <c r="D1399" i="19"/>
  <c r="D1400" i="19"/>
  <c r="D1401" i="19"/>
  <c r="D1402" i="19"/>
  <c r="D1403" i="19"/>
  <c r="D1404" i="19"/>
  <c r="D1405" i="19"/>
  <c r="D1406" i="19"/>
  <c r="D1407" i="19"/>
  <c r="D1408" i="19"/>
  <c r="D1409" i="19"/>
  <c r="D1410" i="19"/>
  <c r="D1411" i="19"/>
  <c r="D1412" i="19"/>
  <c r="D1413" i="19"/>
  <c r="D1414" i="19"/>
  <c r="D1415" i="19"/>
  <c r="D1416" i="19" s="1"/>
  <c r="D1417" i="19"/>
  <c r="D1418" i="19"/>
  <c r="D1419" i="19"/>
  <c r="D1420" i="19"/>
  <c r="D1421" i="19"/>
  <c r="D1422" i="19"/>
  <c r="D1423" i="19"/>
  <c r="D1424" i="19"/>
  <c r="D1425" i="19"/>
  <c r="D1426" i="19"/>
  <c r="D1427" i="19"/>
  <c r="D1428" i="19"/>
  <c r="D1429" i="19"/>
  <c r="D1430" i="19"/>
  <c r="D1431" i="19"/>
  <c r="D1432" i="19"/>
  <c r="D1433" i="19"/>
  <c r="D1434" i="19"/>
  <c r="D1435" i="19"/>
  <c r="D1436" i="19"/>
  <c r="D1437" i="19"/>
  <c r="D1438" i="19"/>
  <c r="D1439" i="19"/>
  <c r="D1440" i="19"/>
  <c r="D1441" i="19"/>
  <c r="D1442" i="19"/>
  <c r="D452" i="12"/>
  <c r="D453" i="12"/>
  <c r="D454" i="12"/>
  <c r="FP9" i="45"/>
  <c r="FP7" i="45"/>
  <c r="FP6" i="45"/>
  <c r="FO5" i="45"/>
  <c r="FP3" i="45"/>
  <c r="FQ3" i="45" s="1"/>
  <c r="FP2" i="45"/>
  <c r="FP5" i="45" l="1"/>
  <c r="FQ2" i="45"/>
  <c r="FQ5" i="45" s="1"/>
  <c r="FL8" i="45"/>
  <c r="FK8" i="45"/>
  <c r="D1378" i="19" l="1"/>
  <c r="D1379" i="19"/>
  <c r="D1380" i="19"/>
  <c r="D1381" i="19"/>
  <c r="D1382" i="19"/>
  <c r="D1383" i="19"/>
  <c r="D1384" i="19"/>
  <c r="D1385" i="19"/>
  <c r="D1386" i="19"/>
  <c r="D1325" i="19"/>
  <c r="D1326" i="19" s="1"/>
  <c r="D1328" i="19"/>
  <c r="D1329" i="19"/>
  <c r="D1330" i="19"/>
  <c r="D1331" i="19"/>
  <c r="D1332" i="19"/>
  <c r="D1333" i="19"/>
  <c r="D1334" i="19"/>
  <c r="D1335" i="19"/>
  <c r="D1336" i="19"/>
  <c r="D1337" i="19"/>
  <c r="D1338" i="19"/>
  <c r="D1339" i="19"/>
  <c r="D1340" i="19"/>
  <c r="D1341" i="19"/>
  <c r="D1342" i="19"/>
  <c r="D1343" i="19"/>
  <c r="D1344" i="19"/>
  <c r="D1345" i="19"/>
  <c r="D1346" i="19" s="1"/>
  <c r="D1347" i="19" s="1"/>
  <c r="D1348" i="19"/>
  <c r="D1349" i="19"/>
  <c r="D1350" i="19"/>
  <c r="D1351" i="19"/>
  <c r="D1352" i="19"/>
  <c r="D1353" i="19"/>
  <c r="D1354" i="19"/>
  <c r="D1355" i="19"/>
  <c r="D1356" i="19"/>
  <c r="D1357" i="19"/>
  <c r="D1358" i="19"/>
  <c r="D1359" i="19"/>
  <c r="D1360" i="19"/>
  <c r="D1361" i="19"/>
  <c r="D1362" i="19"/>
  <c r="D1363" i="19"/>
  <c r="D1364" i="19"/>
  <c r="D1365" i="19"/>
  <c r="D1366" i="19"/>
  <c r="D1367" i="19"/>
  <c r="D1368" i="19"/>
  <c r="D1369" i="19"/>
  <c r="D1370" i="19"/>
  <c r="D1371" i="19"/>
  <c r="D1372" i="19"/>
  <c r="D1373" i="19"/>
  <c r="D1374" i="19"/>
  <c r="D1375" i="19"/>
  <c r="D1376" i="19"/>
  <c r="D1377" i="19"/>
  <c r="D449" i="12"/>
  <c r="D450" i="12"/>
  <c r="D451" i="12"/>
  <c r="D1327" i="19" l="1"/>
  <c r="FT9" i="45"/>
  <c r="FT7" i="45"/>
  <c r="FT6" i="45"/>
  <c r="FS5" i="45"/>
  <c r="FT3" i="45"/>
  <c r="FU3" i="45" s="1"/>
  <c r="FT2" i="45"/>
  <c r="FT5" i="45" l="1"/>
  <c r="FU2" i="45"/>
  <c r="FU5" i="45" s="1"/>
  <c r="D447" i="12" l="1"/>
  <c r="D446" i="12"/>
  <c r="D445" i="12"/>
  <c r="D1324" i="19"/>
  <c r="D1323" i="19"/>
  <c r="D1322" i="19"/>
  <c r="D1321" i="19"/>
  <c r="D1320" i="19"/>
  <c r="D1319" i="19"/>
  <c r="D1318" i="19"/>
  <c r="D1317" i="19"/>
  <c r="D1316" i="19"/>
  <c r="D1315" i="19"/>
  <c r="D1313" i="19"/>
  <c r="D1314" i="19" s="1"/>
  <c r="D1312" i="19"/>
  <c r="D1311" i="19"/>
  <c r="D1310" i="19"/>
  <c r="D1308" i="19"/>
  <c r="D1309" i="19" s="1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8" i="19"/>
  <c r="D1289" i="19" s="1"/>
  <c r="D1287" i="19"/>
  <c r="D1286" i="19"/>
  <c r="D1285" i="19"/>
  <c r="D1284" i="19"/>
  <c r="D1283" i="19"/>
  <c r="D1282" i="19"/>
  <c r="D1281" i="19"/>
  <c r="D1280" i="19"/>
  <c r="D1279" i="19"/>
  <c r="D1278" i="19"/>
  <c r="D1276" i="19"/>
  <c r="D1277" i="19" s="1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5" i="19"/>
  <c r="D1256" i="19" s="1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5" i="19"/>
  <c r="D1226" i="19" s="1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4" i="19"/>
  <c r="D1185" i="19" s="1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5" i="19"/>
  <c r="D1156" i="19" s="1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29" i="19"/>
  <c r="D1130" i="19" s="1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5" i="19"/>
  <c r="D1086" i="19" s="1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5" i="19"/>
  <c r="D1066" i="19" s="1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2" i="19"/>
  <c r="D1053" i="19" s="1"/>
  <c r="D1051" i="19"/>
  <c r="D1050" i="19"/>
  <c r="D1049" i="19"/>
  <c r="D1047" i="19"/>
  <c r="D1048" i="19" s="1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8" i="19"/>
  <c r="D1029" i="19" s="1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5" i="19"/>
  <c r="D1016" i="19" s="1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5" i="19"/>
  <c r="D996" i="19" s="1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5" i="19"/>
  <c r="D966" i="19" s="1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3" i="19"/>
  <c r="D924" i="19" s="1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5" i="19"/>
  <c r="D896" i="19" s="1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4" i="19"/>
  <c r="D855" i="19" s="1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5" i="19"/>
  <c r="D826" i="19" s="1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5" i="19"/>
  <c r="D806" i="19" s="1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1" i="19"/>
  <c r="D792" i="19" s="1"/>
  <c r="D790" i="19"/>
  <c r="D789" i="19"/>
  <c r="D788" i="19"/>
  <c r="D786" i="19"/>
  <c r="D787" i="19" s="1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3" i="19"/>
  <c r="D764" i="19" s="1"/>
  <c r="D762" i="19"/>
  <c r="D761" i="19"/>
  <c r="D760" i="19"/>
  <c r="D759" i="19"/>
  <c r="D758" i="19"/>
  <c r="D757" i="19"/>
  <c r="D755" i="19"/>
  <c r="D756" i="19" s="1"/>
  <c r="D754" i="19"/>
  <c r="D753" i="19"/>
  <c r="D752" i="19"/>
  <c r="D751" i="19"/>
  <c r="D750" i="19"/>
  <c r="D749" i="19"/>
  <c r="D748" i="19"/>
  <c r="D746" i="19"/>
  <c r="D747" i="19" s="1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0" i="19"/>
  <c r="D731" i="19" s="1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5" i="19"/>
  <c r="D706" i="19" s="1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2" i="19"/>
  <c r="D663" i="19" s="1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5" i="19"/>
  <c r="D636" i="19" s="1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5" i="19"/>
  <c r="D566" i="19" s="1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0" i="19"/>
  <c r="D541" i="19" s="1"/>
  <c r="D539" i="19"/>
  <c r="D538" i="19"/>
  <c r="D537" i="19"/>
  <c r="D536" i="19"/>
  <c r="D535" i="19"/>
  <c r="D534" i="19"/>
  <c r="D533" i="19"/>
  <c r="D532" i="19"/>
  <c r="D530" i="19"/>
  <c r="D531" i="19" s="1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FO8" i="45"/>
  <c r="FP8" i="45"/>
  <c r="FX9" i="45" l="1"/>
  <c r="FX7" i="45"/>
  <c r="FX6" i="45"/>
  <c r="FW5" i="45"/>
  <c r="FX3" i="45"/>
  <c r="FY3" i="45" s="1"/>
  <c r="FX2" i="45"/>
  <c r="FW8" i="45"/>
  <c r="FT8" i="45"/>
  <c r="FS8" i="45"/>
  <c r="FX5" i="45" l="1"/>
  <c r="FY2" i="45"/>
  <c r="FY5" i="45" s="1"/>
  <c r="FX8" i="45"/>
  <c r="D444" i="12" l="1"/>
  <c r="D443" i="12"/>
  <c r="D442" i="12"/>
  <c r="GF9" i="45" l="1"/>
  <c r="GF7" i="45"/>
  <c r="GF6" i="45"/>
  <c r="GE5" i="45"/>
  <c r="GF3" i="45"/>
  <c r="GG3" i="45" s="1"/>
  <c r="GF2" i="45"/>
  <c r="GE8" i="45"/>
  <c r="GF5" i="45" l="1"/>
  <c r="GG2" i="45"/>
  <c r="GG5" i="45" s="1"/>
  <c r="GF8" i="45"/>
  <c r="D448" i="12" l="1"/>
  <c r="D441" i="12"/>
  <c r="D440" i="12"/>
  <c r="D439" i="12"/>
  <c r="D438" i="12"/>
  <c r="D437" i="12"/>
  <c r="GB9" i="45"/>
  <c r="GB7" i="45"/>
  <c r="GB6" i="45"/>
  <c r="GA5" i="45"/>
  <c r="GB3" i="45"/>
  <c r="GC3" i="45" s="1"/>
  <c r="GB2" i="45"/>
  <c r="GJ9" i="45"/>
  <c r="GJ7" i="45"/>
  <c r="GJ6" i="45"/>
  <c r="GI5" i="45"/>
  <c r="GJ3" i="45"/>
  <c r="GK3" i="45" s="1"/>
  <c r="GJ2" i="45"/>
  <c r="GK2" i="45" s="1"/>
  <c r="GA8" i="45"/>
  <c r="GI8" i="45"/>
  <c r="GK5" i="45" l="1"/>
  <c r="GJ5" i="45"/>
  <c r="GB5" i="45"/>
  <c r="GC2" i="45"/>
  <c r="GC5" i="45" s="1"/>
  <c r="GB8" i="45"/>
  <c r="GJ8" i="45"/>
  <c r="GR9" i="45" l="1"/>
  <c r="GR7" i="45"/>
  <c r="GR6" i="45"/>
  <c r="GQ5" i="45"/>
  <c r="GR3" i="45"/>
  <c r="GS3" i="45" s="1"/>
  <c r="GR2" i="45"/>
  <c r="GR5" i="45" l="1"/>
  <c r="GS2" i="45"/>
  <c r="GS5" i="45" s="1"/>
  <c r="D435" i="12"/>
  <c r="D434" i="12"/>
  <c r="D433" i="12"/>
  <c r="GV9" i="45" l="1"/>
  <c r="GV7" i="45"/>
  <c r="GV6" i="45"/>
  <c r="GU5" i="45"/>
  <c r="GV3" i="45"/>
  <c r="GW3" i="45" s="1"/>
  <c r="GV2" i="45"/>
  <c r="GW2" i="45" s="1"/>
  <c r="GQ8" i="45"/>
  <c r="GU8" i="45"/>
  <c r="GR8" i="45"/>
  <c r="GW5" i="45" l="1"/>
  <c r="GV5" i="45"/>
  <c r="D432" i="12"/>
  <c r="D431" i="12"/>
  <c r="D430" i="12"/>
  <c r="GV8" i="45"/>
  <c r="D427" i="12" l="1"/>
  <c r="D429" i="12"/>
  <c r="D428" i="12"/>
  <c r="GN9" i="45"/>
  <c r="GN7" i="45"/>
  <c r="GN6" i="45"/>
  <c r="GM5" i="45"/>
  <c r="GN3" i="45"/>
  <c r="GO3" i="45" s="1"/>
  <c r="GN2" i="45"/>
  <c r="GM8" i="45"/>
  <c r="GN5" i="45" l="1"/>
  <c r="GO2" i="45"/>
  <c r="GO5" i="45" s="1"/>
  <c r="GN8" i="45"/>
  <c r="GZ9" i="45" l="1"/>
  <c r="GZ7" i="45"/>
  <c r="GZ6" i="45"/>
  <c r="GY5" i="45"/>
  <c r="GZ3" i="45"/>
  <c r="HA3" i="45" s="1"/>
  <c r="GZ2" i="45"/>
  <c r="HA2" i="45" s="1"/>
  <c r="GY8" i="45"/>
  <c r="HA5" i="45" l="1"/>
  <c r="GZ5" i="45"/>
  <c r="GZ8" i="45"/>
  <c r="D426" i="12" l="1"/>
  <c r="D425" i="12"/>
  <c r="D424" i="12"/>
  <c r="HD9" i="45" l="1"/>
  <c r="HD7" i="45"/>
  <c r="HD6" i="45"/>
  <c r="HC5" i="45"/>
  <c r="HD3" i="45"/>
  <c r="HE3" i="45" s="1"/>
  <c r="HD2" i="45"/>
  <c r="HD5" i="45" l="1"/>
  <c r="HE2" i="45"/>
  <c r="HE5" i="45" s="1"/>
  <c r="D436" i="12" l="1"/>
  <c r="D423" i="12"/>
  <c r="D422" i="12"/>
  <c r="HD8" i="45"/>
  <c r="HC8" i="45"/>
  <c r="B11" i="45" l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HH9" i="45" l="1"/>
  <c r="HH7" i="45"/>
  <c r="HH6" i="45"/>
  <c r="HG5" i="45"/>
  <c r="HH3" i="45"/>
  <c r="HI3" i="45" s="1"/>
  <c r="HH2" i="45"/>
  <c r="HG8" i="45"/>
  <c r="HH5" i="45" l="1"/>
  <c r="HI2" i="45"/>
  <c r="HI5" i="45" s="1"/>
  <c r="HH8" i="45"/>
  <c r="D421" i="12" l="1"/>
  <c r="D420" i="12"/>
  <c r="D419" i="12"/>
  <c r="L3" i="48"/>
  <c r="K3" i="48"/>
  <c r="F2" i="38" l="1"/>
  <c r="G2" i="38" s="1"/>
  <c r="H2" i="38" s="1"/>
  <c r="HT3" i="45"/>
  <c r="HU3" i="45" s="1"/>
  <c r="HT2" i="45"/>
  <c r="HU2" i="45" s="1"/>
  <c r="HP3" i="45"/>
  <c r="HQ3" i="45" s="1"/>
  <c r="HP2" i="45"/>
  <c r="HQ2" i="45" s="1"/>
  <c r="HL2" i="45"/>
  <c r="HM2" i="45" s="1"/>
  <c r="G3" i="48"/>
  <c r="F3" i="48"/>
  <c r="M3" i="14"/>
  <c r="L7" i="6" l="1"/>
  <c r="W3" i="6"/>
  <c r="V3" i="6"/>
  <c r="M5" i="14"/>
  <c r="N9" i="35"/>
  <c r="L11" i="6"/>
  <c r="M7" i="6" l="1"/>
  <c r="N10" i="35"/>
  <c r="M11" i="6"/>
  <c r="N11" i="35" l="1"/>
  <c r="N12" i="35" l="1"/>
  <c r="N13" i="35" l="1"/>
  <c r="N14" i="35" l="1"/>
  <c r="N15" i="35" l="1"/>
  <c r="N16" i="35" l="1"/>
  <c r="N17" i="35" l="1"/>
  <c r="N18" i="35" l="1"/>
  <c r="F9" i="14" l="1"/>
  <c r="F10" i="14" s="1"/>
  <c r="F11" i="14" s="1"/>
  <c r="F12" i="14" s="1"/>
  <c r="F13" i="14" s="1"/>
  <c r="F14" i="14" s="1"/>
  <c r="F15" i="14" s="1"/>
  <c r="F16" i="14" s="1"/>
  <c r="F17" i="14" s="1"/>
  <c r="Q7" i="14"/>
  <c r="O6" i="14"/>
  <c r="I13" i="14"/>
  <c r="J13" i="14"/>
  <c r="S7" i="14" l="1"/>
  <c r="I14" i="14"/>
  <c r="J14" i="14"/>
  <c r="J12" i="14"/>
  <c r="I15" i="14" l="1"/>
  <c r="J15" i="14"/>
  <c r="I16" i="14" l="1"/>
  <c r="J7" i="14"/>
  <c r="K7" i="14" s="1"/>
  <c r="J16" i="14"/>
  <c r="K13" i="14"/>
  <c r="I17" i="14" l="1"/>
  <c r="K15" i="14"/>
  <c r="K17" i="14"/>
  <c r="K12" i="14"/>
  <c r="K16" i="14"/>
  <c r="J17" i="14"/>
  <c r="K14" i="14"/>
  <c r="O13" i="14"/>
  <c r="S13" i="14"/>
  <c r="I18" i="14" l="1"/>
  <c r="O12" i="14"/>
  <c r="S17" i="14"/>
  <c r="O16" i="14"/>
  <c r="O17" i="14"/>
  <c r="O15" i="14"/>
  <c r="K18" i="14"/>
  <c r="S16" i="14"/>
  <c r="S14" i="14"/>
  <c r="Q13" i="14"/>
  <c r="O14" i="14"/>
  <c r="S15" i="14"/>
  <c r="S12" i="14"/>
  <c r="I19" i="14" l="1"/>
  <c r="W5" i="6"/>
  <c r="W8" i="6"/>
  <c r="W7" i="6"/>
  <c r="W6" i="6"/>
  <c r="Z6" i="6" s="1"/>
  <c r="V5" i="6"/>
  <c r="F12" i="42"/>
  <c r="F11" i="42"/>
  <c r="F10" i="42"/>
  <c r="L5" i="48"/>
  <c r="L8" i="48"/>
  <c r="L7" i="48"/>
  <c r="L6" i="48"/>
  <c r="K5" i="48"/>
  <c r="G8" i="48"/>
  <c r="G7" i="48"/>
  <c r="G6" i="48"/>
  <c r="HT9" i="45"/>
  <c r="HT7" i="45"/>
  <c r="HT6" i="45"/>
  <c r="HT5" i="45"/>
  <c r="HS5" i="45"/>
  <c r="HU5" i="45"/>
  <c r="J18" i="14"/>
  <c r="Q15" i="14"/>
  <c r="Q17" i="14"/>
  <c r="Q14" i="14"/>
  <c r="Q12" i="14"/>
  <c r="Q16" i="14"/>
  <c r="O18" i="14"/>
  <c r="K19" i="14"/>
  <c r="S18" i="14"/>
  <c r="I20" i="14" l="1"/>
  <c r="F13" i="42"/>
  <c r="O6" i="48"/>
  <c r="C7" i="48"/>
  <c r="D7" i="48" s="1"/>
  <c r="Q7" i="48"/>
  <c r="R7" i="48" s="1"/>
  <c r="S7" i="48" s="1"/>
  <c r="Q18" i="14"/>
  <c r="J19" i="14"/>
  <c r="S19" i="14"/>
  <c r="J20" i="14"/>
  <c r="O19" i="14"/>
  <c r="I21" i="14" l="1"/>
  <c r="B13" i="48"/>
  <c r="C13" i="48"/>
  <c r="J21" i="14"/>
  <c r="K20" i="14"/>
  <c r="Q19" i="14"/>
  <c r="I22" i="14" l="1"/>
  <c r="B14" i="48"/>
  <c r="K22" i="14"/>
  <c r="J22" i="14"/>
  <c r="S20" i="14"/>
  <c r="C12" i="48"/>
  <c r="O20" i="14"/>
  <c r="C14" i="48"/>
  <c r="K21" i="14"/>
  <c r="I23" i="14" l="1"/>
  <c r="B15" i="48"/>
  <c r="J23" i="14"/>
  <c r="S21" i="14"/>
  <c r="O22" i="14"/>
  <c r="Q20" i="14"/>
  <c r="O21" i="14"/>
  <c r="C15" i="48"/>
  <c r="S22" i="14"/>
  <c r="I24" i="14" l="1"/>
  <c r="B16" i="48"/>
  <c r="G5" i="48"/>
  <c r="F5" i="48"/>
  <c r="Q21" i="14"/>
  <c r="D15" i="48"/>
  <c r="D13" i="48"/>
  <c r="D16" i="48"/>
  <c r="D12" i="48"/>
  <c r="D14" i="48"/>
  <c r="K24" i="14"/>
  <c r="Q22" i="14"/>
  <c r="K23" i="14"/>
  <c r="J24" i="14"/>
  <c r="I25" i="14" l="1"/>
  <c r="B17" i="48"/>
  <c r="O24" i="14"/>
  <c r="O13" i="48"/>
  <c r="K25" i="14"/>
  <c r="Q16" i="48"/>
  <c r="O23" i="14"/>
  <c r="O15" i="48"/>
  <c r="Q15" i="48"/>
  <c r="Q12" i="48"/>
  <c r="C16" i="48"/>
  <c r="Q13" i="48"/>
  <c r="O16" i="48"/>
  <c r="C17" i="48"/>
  <c r="O14" i="48"/>
  <c r="Q14" i="48"/>
  <c r="O12" i="48"/>
  <c r="Z11" i="6"/>
  <c r="S24" i="14"/>
  <c r="S23" i="14"/>
  <c r="I26" i="14" l="1"/>
  <c r="B18" i="48"/>
  <c r="C18" i="48"/>
  <c r="Q23" i="14"/>
  <c r="D17" i="48"/>
  <c r="R15" i="48"/>
  <c r="D18" i="48"/>
  <c r="K26" i="14"/>
  <c r="S15" i="48"/>
  <c r="Q24" i="14"/>
  <c r="S12" i="48"/>
  <c r="S25" i="14"/>
  <c r="R14" i="48"/>
  <c r="S16" i="48"/>
  <c r="R12" i="48"/>
  <c r="R16" i="48"/>
  <c r="J25" i="14"/>
  <c r="S14" i="48"/>
  <c r="S13" i="48"/>
  <c r="R13" i="48"/>
  <c r="O25" i="14"/>
  <c r="AE15" i="48" l="1"/>
  <c r="AJ15" i="48"/>
  <c r="AF15" i="48"/>
  <c r="AA15" i="48"/>
  <c r="AK15" i="48"/>
  <c r="Z15" i="48"/>
  <c r="AJ14" i="48"/>
  <c r="AE14" i="48"/>
  <c r="AA14" i="48"/>
  <c r="AK14" i="48"/>
  <c r="AF14" i="48"/>
  <c r="Z14" i="48"/>
  <c r="AJ13" i="48"/>
  <c r="AE13" i="48"/>
  <c r="Z13" i="48"/>
  <c r="AK13" i="48"/>
  <c r="AF13" i="48"/>
  <c r="AA13" i="48"/>
  <c r="I27" i="14"/>
  <c r="I6" i="48"/>
  <c r="AK12" i="48"/>
  <c r="AF12" i="48"/>
  <c r="AA12" i="48"/>
  <c r="B19" i="48"/>
  <c r="Q25" i="14"/>
  <c r="I14" i="48"/>
  <c r="J27" i="14"/>
  <c r="J26" i="14"/>
  <c r="O26" i="14"/>
  <c r="Q18" i="48"/>
  <c r="Q17" i="48"/>
  <c r="S26" i="14"/>
  <c r="O18" i="48"/>
  <c r="O17" i="48"/>
  <c r="C19" i="48"/>
  <c r="I28" i="14" l="1"/>
  <c r="B20" i="48"/>
  <c r="S17" i="48"/>
  <c r="Q26" i="14"/>
  <c r="I17" i="48"/>
  <c r="I13" i="48"/>
  <c r="K27" i="14"/>
  <c r="S18" i="48"/>
  <c r="I12" i="48"/>
  <c r="D20" i="48"/>
  <c r="D19" i="48"/>
  <c r="K28" i="14"/>
  <c r="I15" i="48"/>
  <c r="I16" i="48"/>
  <c r="R18" i="48"/>
  <c r="I18" i="48"/>
  <c r="C20" i="48"/>
  <c r="R17" i="48"/>
  <c r="AA17" i="48" l="1"/>
  <c r="AK17" i="48"/>
  <c r="AF17" i="48"/>
  <c r="AK18" i="48"/>
  <c r="AF18" i="48"/>
  <c r="AA18" i="48"/>
  <c r="I29" i="14"/>
  <c r="B21" i="48"/>
  <c r="I20" i="48"/>
  <c r="K29" i="14"/>
  <c r="O20" i="48"/>
  <c r="Q19" i="48"/>
  <c r="S28" i="14"/>
  <c r="J28" i="14"/>
  <c r="O27" i="14"/>
  <c r="Q20" i="48"/>
  <c r="I19" i="48"/>
  <c r="O19" i="48"/>
  <c r="S27" i="14"/>
  <c r="O28" i="14"/>
  <c r="C21" i="48"/>
  <c r="I30" i="14" l="1"/>
  <c r="B22" i="48"/>
  <c r="J29" i="14"/>
  <c r="D21" i="48"/>
  <c r="R20" i="48"/>
  <c r="S19" i="48"/>
  <c r="S29" i="14"/>
  <c r="C22" i="48"/>
  <c r="S20" i="48"/>
  <c r="Q27" i="14"/>
  <c r="K30" i="14"/>
  <c r="R19" i="48"/>
  <c r="Q28" i="14"/>
  <c r="O29" i="14"/>
  <c r="AK19" i="48" l="1"/>
  <c r="AA19" i="48"/>
  <c r="AF19" i="48"/>
  <c r="AJ20" i="48"/>
  <c r="Z20" i="48"/>
  <c r="AE20" i="48"/>
  <c r="AF20" i="48"/>
  <c r="AK20" i="48"/>
  <c r="AA20" i="48"/>
  <c r="I31" i="14"/>
  <c r="B23" i="48"/>
  <c r="Q21" i="48"/>
  <c r="C23" i="48"/>
  <c r="D22" i="48"/>
  <c r="S30" i="14"/>
  <c r="O30" i="14"/>
  <c r="I21" i="48"/>
  <c r="O21" i="48"/>
  <c r="Q29" i="14"/>
  <c r="J30" i="14"/>
  <c r="J31" i="14"/>
  <c r="I32" i="14" l="1"/>
  <c r="B24" i="48"/>
  <c r="I22" i="48"/>
  <c r="D23" i="48"/>
  <c r="R21" i="48"/>
  <c r="Q30" i="14"/>
  <c r="Q22" i="48"/>
  <c r="K32" i="14"/>
  <c r="O22" i="48"/>
  <c r="S21" i="48"/>
  <c r="C24" i="48"/>
  <c r="K31" i="14"/>
  <c r="AE21" i="48" l="1"/>
  <c r="AK21" i="48"/>
  <c r="AJ21" i="48"/>
  <c r="AA21" i="48"/>
  <c r="Z21" i="48"/>
  <c r="AF21" i="48"/>
  <c r="I33" i="14"/>
  <c r="B25" i="48"/>
  <c r="J32" i="14"/>
  <c r="J33" i="14"/>
  <c r="S22" i="48"/>
  <c r="S31" i="14"/>
  <c r="O23" i="48"/>
  <c r="O32" i="14"/>
  <c r="C25" i="48"/>
  <c r="I23" i="48"/>
  <c r="D25" i="48"/>
  <c r="R22" i="48"/>
  <c r="S32" i="14"/>
  <c r="Q23" i="48"/>
  <c r="O31" i="14"/>
  <c r="D24" i="48"/>
  <c r="AK22" i="48" l="1"/>
  <c r="AA22" i="48"/>
  <c r="AF22" i="48"/>
  <c r="I34" i="14"/>
  <c r="B26" i="48"/>
  <c r="R23" i="48"/>
  <c r="O25" i="48"/>
  <c r="Q25" i="48"/>
  <c r="K33" i="14"/>
  <c r="K34" i="14"/>
  <c r="S23" i="48"/>
  <c r="Q31" i="14"/>
  <c r="I25" i="48"/>
  <c r="I24" i="48"/>
  <c r="D26" i="48"/>
  <c r="O24" i="48"/>
  <c r="Q24" i="48"/>
  <c r="Q32" i="14"/>
  <c r="AF23" i="48" l="1"/>
  <c r="AA23" i="48"/>
  <c r="AK23" i="48"/>
  <c r="I35" i="14"/>
  <c r="B27" i="48"/>
  <c r="C27" i="48"/>
  <c r="S34" i="14"/>
  <c r="O26" i="48"/>
  <c r="C26" i="48"/>
  <c r="O33" i="14"/>
  <c r="Q26" i="48"/>
  <c r="O34" i="14"/>
  <c r="R24" i="48"/>
  <c r="R25" i="48"/>
  <c r="I26" i="48"/>
  <c r="S24" i="48"/>
  <c r="J34" i="14"/>
  <c r="K35" i="14"/>
  <c r="S33" i="14"/>
  <c r="S25" i="48"/>
  <c r="AF24" i="48" l="1"/>
  <c r="AK24" i="48"/>
  <c r="AA24" i="48"/>
  <c r="AK25" i="48"/>
  <c r="AA25" i="48"/>
  <c r="AF25" i="48"/>
  <c r="I36" i="14"/>
  <c r="B28" i="48"/>
  <c r="Q34" i="14"/>
  <c r="J35" i="14"/>
  <c r="C28" i="48"/>
  <c r="R26" i="48"/>
  <c r="K36" i="14"/>
  <c r="S26" i="48"/>
  <c r="O35" i="14"/>
  <c r="Q33" i="14"/>
  <c r="S35" i="14"/>
  <c r="D27" i="48"/>
  <c r="AA26" i="48" l="1"/>
  <c r="AK26" i="48"/>
  <c r="AF26" i="48"/>
  <c r="I37" i="14"/>
  <c r="B29" i="48"/>
  <c r="J36" i="14"/>
  <c r="D28" i="48"/>
  <c r="Q27" i="48"/>
  <c r="C29" i="48"/>
  <c r="O27" i="48"/>
  <c r="S36" i="14"/>
  <c r="Q35" i="14"/>
  <c r="O36" i="14"/>
  <c r="I27" i="48"/>
  <c r="J37" i="14"/>
  <c r="I38" i="14" l="1"/>
  <c r="B30" i="48"/>
  <c r="C30" i="48"/>
  <c r="D29" i="48"/>
  <c r="R27" i="48"/>
  <c r="O28" i="48"/>
  <c r="Q28" i="48"/>
  <c r="K37" i="14"/>
  <c r="I28" i="48"/>
  <c r="Q36" i="14"/>
  <c r="K38" i="14"/>
  <c r="S27" i="48"/>
  <c r="AF27" i="48" l="1"/>
  <c r="AA27" i="48"/>
  <c r="AK27" i="48"/>
  <c r="I39" i="14"/>
  <c r="B31" i="48"/>
  <c r="F2" i="39"/>
  <c r="G2" i="39" s="1"/>
  <c r="H2" i="39" s="1"/>
  <c r="D30" i="48"/>
  <c r="S28" i="48"/>
  <c r="D31" i="48"/>
  <c r="S38" i="14"/>
  <c r="S37" i="14"/>
  <c r="O37" i="14"/>
  <c r="J39" i="14"/>
  <c r="O38" i="14"/>
  <c r="R28" i="48"/>
  <c r="J38" i="14"/>
  <c r="O29" i="48"/>
  <c r="Q29" i="48"/>
  <c r="I29" i="48"/>
  <c r="AA28" i="48" l="1"/>
  <c r="AE28" i="48"/>
  <c r="AF28" i="48"/>
  <c r="AJ28" i="48"/>
  <c r="Z28" i="48"/>
  <c r="AK28" i="48"/>
  <c r="I40" i="14"/>
  <c r="B32" i="48"/>
  <c r="HQ5" i="45"/>
  <c r="HP9" i="45"/>
  <c r="HP7" i="45"/>
  <c r="HP6" i="45"/>
  <c r="HP5" i="45"/>
  <c r="HO5" i="45"/>
  <c r="HL3" i="45"/>
  <c r="HM3" i="45" s="1"/>
  <c r="HM5" i="45" s="1"/>
  <c r="HL7" i="45"/>
  <c r="HX6" i="45"/>
  <c r="HL9" i="45"/>
  <c r="HL6" i="45"/>
  <c r="D6" i="45"/>
  <c r="O31" i="48"/>
  <c r="R29" i="48"/>
  <c r="D10" i="45"/>
  <c r="O30" i="48"/>
  <c r="Q31" i="48"/>
  <c r="D32" i="48"/>
  <c r="I31" i="48"/>
  <c r="S29" i="48"/>
  <c r="Q30" i="48"/>
  <c r="C31" i="48"/>
  <c r="Q37" i="14"/>
  <c r="K40" i="14"/>
  <c r="K39" i="14"/>
  <c r="C32" i="48"/>
  <c r="I30" i="48"/>
  <c r="Q38" i="14"/>
  <c r="AA29" i="48" l="1"/>
  <c r="AF29" i="48"/>
  <c r="AK29" i="48"/>
  <c r="I41" i="14"/>
  <c r="B33" i="48"/>
  <c r="E6" i="45"/>
  <c r="HL5" i="45"/>
  <c r="HK5" i="45"/>
  <c r="O32" i="48"/>
  <c r="C10" i="45"/>
  <c r="R30" i="48"/>
  <c r="HT8" i="45"/>
  <c r="J40" i="14"/>
  <c r="O40" i="14"/>
  <c r="HK8" i="45"/>
  <c r="I32" i="48"/>
  <c r="R31" i="48"/>
  <c r="HS8" i="45"/>
  <c r="S39" i="14"/>
  <c r="O39" i="14"/>
  <c r="Q32" i="48"/>
  <c r="W9" i="6"/>
  <c r="C11" i="45"/>
  <c r="K41" i="14"/>
  <c r="HX10" i="45"/>
  <c r="HL8" i="45"/>
  <c r="S40" i="14"/>
  <c r="D11" i="45"/>
  <c r="C33" i="48"/>
  <c r="HP8" i="45"/>
  <c r="S30" i="48"/>
  <c r="S31" i="48"/>
  <c r="E10" i="45"/>
  <c r="V9" i="6"/>
  <c r="K9" i="48"/>
  <c r="K27" i="48"/>
  <c r="K31" i="48"/>
  <c r="HO8" i="45"/>
  <c r="L9" i="48"/>
  <c r="K26" i="48"/>
  <c r="K23" i="48"/>
  <c r="K20" i="48"/>
  <c r="K17" i="48"/>
  <c r="K22" i="48"/>
  <c r="K19" i="48"/>
  <c r="K13" i="48"/>
  <c r="K18" i="48"/>
  <c r="K14" i="48"/>
  <c r="K15" i="48"/>
  <c r="K30" i="48"/>
  <c r="K28" i="48"/>
  <c r="K21" i="48"/>
  <c r="K29" i="48"/>
  <c r="K24" i="48"/>
  <c r="K16" i="48"/>
  <c r="K25" i="48"/>
  <c r="L27" i="48"/>
  <c r="L17" i="48"/>
  <c r="L25" i="48"/>
  <c r="L22" i="48"/>
  <c r="L29" i="48"/>
  <c r="L23" i="48"/>
  <c r="L24" i="48"/>
  <c r="L18" i="48"/>
  <c r="L14" i="48"/>
  <c r="L26" i="48"/>
  <c r="L20" i="48"/>
  <c r="L15" i="48"/>
  <c r="L16" i="48"/>
  <c r="L31" i="48"/>
  <c r="L28" i="48"/>
  <c r="L21" i="48"/>
  <c r="L30" i="48"/>
  <c r="L12" i="48"/>
  <c r="M16" i="48" l="1"/>
  <c r="V16" i="48" s="1"/>
  <c r="AA16" i="48" s="1"/>
  <c r="M15" i="48"/>
  <c r="V15" i="48" s="1"/>
  <c r="M14" i="48"/>
  <c r="V14" i="48" s="1"/>
  <c r="M17" i="48"/>
  <c r="V17" i="48" s="1"/>
  <c r="M18" i="48"/>
  <c r="V18" i="48" s="1"/>
  <c r="M20" i="48"/>
  <c r="V20" i="48" s="1"/>
  <c r="M21" i="48"/>
  <c r="V21" i="48" s="1"/>
  <c r="M22" i="48"/>
  <c r="V22" i="48" s="1"/>
  <c r="M23" i="48"/>
  <c r="V23" i="48" s="1"/>
  <c r="M24" i="48"/>
  <c r="V24" i="48" s="1"/>
  <c r="M25" i="48"/>
  <c r="V25" i="48" s="1"/>
  <c r="M26" i="48"/>
  <c r="V26" i="48" s="1"/>
  <c r="M27" i="48"/>
  <c r="V27" i="48" s="1"/>
  <c r="M28" i="48"/>
  <c r="V28" i="48" s="1"/>
  <c r="M29" i="48"/>
  <c r="V29" i="48" s="1"/>
  <c r="M30" i="48"/>
  <c r="V30" i="48" s="1"/>
  <c r="M31" i="48"/>
  <c r="V31" i="48" s="1"/>
  <c r="I42" i="14"/>
  <c r="B34" i="48"/>
  <c r="M10" i="45"/>
  <c r="CU10" i="45"/>
  <c r="BA10" i="45"/>
  <c r="Q39" i="14"/>
  <c r="CZ10" i="45"/>
  <c r="EF10" i="45"/>
  <c r="FP10" i="45"/>
  <c r="BS10" i="45"/>
  <c r="DO10" i="45"/>
  <c r="EA10" i="45"/>
  <c r="BW10" i="45"/>
  <c r="HX11" i="45"/>
  <c r="L10" i="45"/>
  <c r="EN10" i="45"/>
  <c r="G10" i="45"/>
  <c r="DC10" i="45"/>
  <c r="EQ10" i="45"/>
  <c r="AL10" i="45"/>
  <c r="DS10" i="45"/>
  <c r="AA10" i="45"/>
  <c r="CA10" i="45"/>
  <c r="BK10" i="45"/>
  <c r="EU10" i="45"/>
  <c r="BX10" i="45"/>
  <c r="AP10" i="45"/>
  <c r="L32" i="48"/>
  <c r="EY10" i="45"/>
  <c r="FH10" i="45"/>
  <c r="CE10" i="45"/>
  <c r="CB10" i="45"/>
  <c r="H10" i="45"/>
  <c r="FL10" i="45"/>
  <c r="FG10" i="45"/>
  <c r="FT10" i="45"/>
  <c r="GI10" i="45"/>
  <c r="CQ10" i="45"/>
  <c r="C34" i="48"/>
  <c r="GF10" i="45"/>
  <c r="CJ10" i="45"/>
  <c r="EB10" i="45"/>
  <c r="CI10" i="45"/>
  <c r="FO10" i="45"/>
  <c r="EM10" i="45"/>
  <c r="DG10" i="45"/>
  <c r="AG10" i="45"/>
  <c r="V10" i="45"/>
  <c r="CF10" i="45"/>
  <c r="BF10" i="45"/>
  <c r="DT10" i="45"/>
  <c r="AQ10" i="45"/>
  <c r="FW10" i="45"/>
  <c r="BT10" i="45"/>
  <c r="D12" i="45"/>
  <c r="FD10" i="45"/>
  <c r="J41" i="14"/>
  <c r="EV10" i="45"/>
  <c r="K12" i="48"/>
  <c r="DD10" i="45"/>
  <c r="W10" i="45"/>
  <c r="DP10" i="45"/>
  <c r="E11" i="45"/>
  <c r="AV10" i="45"/>
  <c r="BO10" i="45"/>
  <c r="BP10" i="45"/>
  <c r="DL10" i="45"/>
  <c r="DH10" i="45"/>
  <c r="BJ10" i="45"/>
  <c r="FS10" i="45"/>
  <c r="EE10" i="45"/>
  <c r="R10" i="45"/>
  <c r="CR10" i="45"/>
  <c r="ER10" i="45"/>
  <c r="AZ10" i="45"/>
  <c r="AK10" i="45"/>
  <c r="L19" i="48"/>
  <c r="EZ10" i="45"/>
  <c r="AB10" i="45"/>
  <c r="BE10" i="45"/>
  <c r="L13" i="48"/>
  <c r="CV10" i="45"/>
  <c r="DW10" i="45"/>
  <c r="FX10" i="45"/>
  <c r="Q10" i="45"/>
  <c r="DK10" i="45"/>
  <c r="FK10" i="45"/>
  <c r="CM10" i="45"/>
  <c r="FC10" i="45"/>
  <c r="GE10" i="45"/>
  <c r="AU10" i="45"/>
  <c r="EI10" i="45"/>
  <c r="DX10" i="45"/>
  <c r="EJ10" i="45"/>
  <c r="GR10" i="45"/>
  <c r="AF10" i="45"/>
  <c r="CN10" i="45"/>
  <c r="CY10" i="45"/>
  <c r="X10" i="45" l="1"/>
  <c r="S10" i="45"/>
  <c r="N10" i="45"/>
  <c r="I10" i="45"/>
  <c r="AC10" i="45"/>
  <c r="AH10" i="45"/>
  <c r="AM10" i="45"/>
  <c r="AR10" i="45"/>
  <c r="M12" i="48"/>
  <c r="V12" i="48" s="1"/>
  <c r="M13" i="48"/>
  <c r="V13" i="48" s="1"/>
  <c r="AW10" i="45"/>
  <c r="BB10" i="45"/>
  <c r="BG10" i="45"/>
  <c r="BL10" i="45"/>
  <c r="BQ10" i="45"/>
  <c r="BU10" i="45"/>
  <c r="BY10" i="45"/>
  <c r="CC10" i="45"/>
  <c r="CG10" i="45"/>
  <c r="CK10" i="45"/>
  <c r="CO10" i="45"/>
  <c r="CS10" i="45"/>
  <c r="CW10" i="45"/>
  <c r="DA10" i="45"/>
  <c r="DE10" i="45"/>
  <c r="DI10" i="45"/>
  <c r="DM10" i="45"/>
  <c r="DQ10" i="45"/>
  <c r="DU10" i="45"/>
  <c r="DY10" i="45"/>
  <c r="EC10" i="45"/>
  <c r="EG10" i="45"/>
  <c r="EK10" i="45"/>
  <c r="EO10" i="45"/>
  <c r="ES10" i="45"/>
  <c r="EW10" i="45"/>
  <c r="FA10" i="45"/>
  <c r="M19" i="48"/>
  <c r="V19" i="48" s="1"/>
  <c r="FE10" i="45"/>
  <c r="FI10" i="45"/>
  <c r="FM10" i="45"/>
  <c r="FQ10" i="45"/>
  <c r="FU10" i="45"/>
  <c r="FY10" i="45"/>
  <c r="GG10" i="45"/>
  <c r="R11" i="45"/>
  <c r="BT11" i="45"/>
  <c r="GA10" i="45"/>
  <c r="EV11" i="45"/>
  <c r="CZ11" i="45"/>
  <c r="DH11" i="45"/>
  <c r="BO11" i="45"/>
  <c r="CJ11" i="45"/>
  <c r="GY10" i="45"/>
  <c r="CR11" i="45"/>
  <c r="CE11" i="45"/>
  <c r="CV11" i="45"/>
  <c r="GV10" i="45"/>
  <c r="AU11" i="45"/>
  <c r="AP11" i="45"/>
  <c r="FO11" i="45"/>
  <c r="FW11" i="45"/>
  <c r="AL11" i="45"/>
  <c r="L11" i="45"/>
  <c r="GF11" i="45"/>
  <c r="CB11" i="45"/>
  <c r="AA11" i="45"/>
  <c r="EZ11" i="45"/>
  <c r="GJ10" i="45"/>
  <c r="GZ10" i="45"/>
  <c r="HP10" i="45"/>
  <c r="DD11" i="45"/>
  <c r="FK11" i="45"/>
  <c r="BS11" i="45"/>
  <c r="GE11" i="45"/>
  <c r="BJ11" i="45"/>
  <c r="EI11" i="45"/>
  <c r="M11" i="45"/>
  <c r="DX11" i="45"/>
  <c r="HT10" i="45"/>
  <c r="BX11" i="45"/>
  <c r="GU10" i="45"/>
  <c r="AB11" i="45"/>
  <c r="FG11" i="45"/>
  <c r="FD11" i="45"/>
  <c r="AV11" i="45"/>
  <c r="BF11" i="45"/>
  <c r="BP11" i="45"/>
  <c r="FL11" i="45"/>
  <c r="CF11" i="45"/>
  <c r="BW11" i="45"/>
  <c r="Q11" i="45"/>
  <c r="EQ11" i="45"/>
  <c r="G11" i="45"/>
  <c r="DL11" i="45"/>
  <c r="DS11" i="45"/>
  <c r="AG11" i="45"/>
  <c r="HO10" i="45"/>
  <c r="DT11" i="45"/>
  <c r="DO11" i="45"/>
  <c r="AF11" i="45"/>
  <c r="FS11" i="45"/>
  <c r="DW11" i="45"/>
  <c r="CY11" i="45"/>
  <c r="BK11" i="45"/>
  <c r="HH10" i="45"/>
  <c r="DG11" i="45"/>
  <c r="AK11" i="45"/>
  <c r="H11" i="45"/>
  <c r="V11" i="6"/>
  <c r="FX11" i="45"/>
  <c r="CU11" i="45"/>
  <c r="CI11" i="45"/>
  <c r="EE11" i="45"/>
  <c r="EA11" i="45"/>
  <c r="W11" i="45"/>
  <c r="EB11" i="45"/>
  <c r="EJ11" i="45"/>
  <c r="EU11" i="45"/>
  <c r="FC11" i="45"/>
  <c r="FH11" i="45"/>
  <c r="DK11" i="45"/>
  <c r="CM11" i="45"/>
  <c r="EM11" i="45"/>
  <c r="AZ11" i="45"/>
  <c r="DP11" i="45"/>
  <c r="EY11" i="45"/>
  <c r="AQ11" i="45"/>
  <c r="V11" i="45"/>
  <c r="Q40" i="14"/>
  <c r="ER11" i="45"/>
  <c r="HC10" i="45"/>
  <c r="BA11" i="45"/>
  <c r="BE11" i="45"/>
  <c r="CA11" i="45"/>
  <c r="EN11" i="45"/>
  <c r="FP11" i="45"/>
  <c r="EF11" i="45"/>
  <c r="DC11" i="45"/>
  <c r="CQ11" i="45"/>
  <c r="FT11" i="45"/>
  <c r="CN11" i="45"/>
  <c r="X11" i="45" l="1"/>
  <c r="S11" i="45"/>
  <c r="N11" i="45"/>
  <c r="I11" i="45"/>
  <c r="AC11" i="45"/>
  <c r="AH11" i="45"/>
  <c r="AM11" i="45"/>
  <c r="AR11" i="45"/>
  <c r="AW11" i="45"/>
  <c r="BB11" i="45"/>
  <c r="BG11" i="45"/>
  <c r="BL11" i="45"/>
  <c r="BQ11" i="45"/>
  <c r="BU11" i="45"/>
  <c r="BY11" i="45"/>
  <c r="CC11" i="45"/>
  <c r="CG11" i="45"/>
  <c r="CK11" i="45"/>
  <c r="CO11" i="45"/>
  <c r="CS11" i="45"/>
  <c r="CW11" i="45"/>
  <c r="DA11" i="45"/>
  <c r="DE11" i="45"/>
  <c r="DI11" i="45"/>
  <c r="DM11" i="45"/>
  <c r="DQ11" i="45"/>
  <c r="DU11" i="45"/>
  <c r="DY11" i="45"/>
  <c r="EC11" i="45"/>
  <c r="EG11" i="45"/>
  <c r="EK11" i="45"/>
  <c r="EO11" i="45"/>
  <c r="ES11" i="45"/>
  <c r="EW11" i="45"/>
  <c r="FA11" i="45"/>
  <c r="FE11" i="45"/>
  <c r="FI11" i="45"/>
  <c r="FM11" i="45"/>
  <c r="FQ11" i="45"/>
  <c r="FU11" i="45"/>
  <c r="FY11" i="45"/>
  <c r="GG11" i="45"/>
  <c r="C12" i="45"/>
  <c r="GQ10" i="45"/>
  <c r="HK10" i="45"/>
  <c r="S41" i="14"/>
  <c r="GB10" i="45"/>
  <c r="K32" i="48"/>
  <c r="D34" i="48"/>
  <c r="W11" i="6"/>
  <c r="GC10" i="45" l="1"/>
  <c r="GK10" i="45"/>
  <c r="GS10" i="45"/>
  <c r="GW10" i="45"/>
  <c r="GR11" i="45"/>
  <c r="GJ11" i="45"/>
  <c r="GI11" i="45"/>
  <c r="GQ11" i="45"/>
  <c r="HL10" i="45"/>
  <c r="GV11" i="45"/>
  <c r="HG10" i="45"/>
  <c r="GA11" i="45"/>
  <c r="J42" i="14"/>
  <c r="GB11" i="45"/>
  <c r="GC11" i="45" l="1"/>
  <c r="GK11" i="45"/>
  <c r="GS11" i="45"/>
  <c r="GM10" i="45"/>
  <c r="GU11" i="45"/>
  <c r="HS10" i="45"/>
  <c r="GW11" i="45" l="1"/>
  <c r="D33" i="48"/>
  <c r="K42" i="14"/>
  <c r="E12" i="45"/>
  <c r="GN10" i="45"/>
  <c r="O41" i="14"/>
  <c r="S32" i="48"/>
  <c r="R32" i="48"/>
  <c r="HD10" i="45"/>
  <c r="GO10" i="45" l="1"/>
  <c r="HA10" i="45"/>
  <c r="HE10" i="45"/>
  <c r="HI10" i="45"/>
  <c r="X11" i="6"/>
  <c r="N11" i="6" s="1"/>
  <c r="M32" i="48"/>
  <c r="V32" i="48" s="1"/>
  <c r="HU10" i="45"/>
  <c r="I43" i="14"/>
  <c r="B35" i="48"/>
  <c r="HM10" i="45"/>
  <c r="HQ10" i="45"/>
  <c r="HH11" i="45"/>
  <c r="I33" i="48"/>
  <c r="E13" i="45"/>
  <c r="O33" i="48"/>
  <c r="J43" i="14"/>
  <c r="HG11" i="45"/>
  <c r="HT11" i="45"/>
  <c r="GM11" i="45"/>
  <c r="Q41" i="14"/>
  <c r="O42" i="14"/>
  <c r="HC11" i="45"/>
  <c r="Q34" i="48"/>
  <c r="HP11" i="45"/>
  <c r="GN11" i="45"/>
  <c r="S42" i="14"/>
  <c r="HD11" i="45"/>
  <c r="O34" i="48"/>
  <c r="HX12" i="45"/>
  <c r="Q33" i="48"/>
  <c r="HK11" i="45"/>
  <c r="C35" i="48"/>
  <c r="GZ11" i="45"/>
  <c r="I34" i="48"/>
  <c r="GY11" i="45"/>
  <c r="HO11" i="45"/>
  <c r="HS11" i="45"/>
  <c r="HL11" i="45"/>
  <c r="GO11" i="45" l="1"/>
  <c r="HA11" i="45"/>
  <c r="HE11" i="45"/>
  <c r="HI11" i="45"/>
  <c r="HU11" i="45"/>
  <c r="I44" i="14"/>
  <c r="B36" i="48"/>
  <c r="HM11" i="45"/>
  <c r="HQ11" i="45"/>
  <c r="H12" i="45"/>
  <c r="GJ12" i="45"/>
  <c r="L34" i="48"/>
  <c r="L33" i="48"/>
  <c r="CR12" i="45"/>
  <c r="GI12" i="45"/>
  <c r="CF12" i="45"/>
  <c r="CI12" i="45"/>
  <c r="BO12" i="45"/>
  <c r="GU12" i="45"/>
  <c r="ER12" i="45"/>
  <c r="GR12" i="45"/>
  <c r="HK12" i="45"/>
  <c r="V12" i="45"/>
  <c r="R33" i="48"/>
  <c r="AQ12" i="45"/>
  <c r="AA12" i="45"/>
  <c r="GE12" i="45"/>
  <c r="BP12" i="45"/>
  <c r="EE12" i="45"/>
  <c r="CV12" i="45"/>
  <c r="EJ12" i="45"/>
  <c r="EQ12" i="45"/>
  <c r="AG12" i="45"/>
  <c r="DS12" i="45"/>
  <c r="EN12" i="45"/>
  <c r="FO12" i="45"/>
  <c r="EU12" i="45"/>
  <c r="DP12" i="45"/>
  <c r="W12" i="45"/>
  <c r="GV12" i="45"/>
  <c r="AL12" i="45"/>
  <c r="FX12" i="45"/>
  <c r="BA12" i="45"/>
  <c r="DG12" i="45"/>
  <c r="DX12" i="45"/>
  <c r="AU12" i="45"/>
  <c r="BF12" i="45"/>
  <c r="EV12" i="45"/>
  <c r="D35" i="48"/>
  <c r="CZ12" i="45"/>
  <c r="CQ12" i="45"/>
  <c r="FD12" i="45"/>
  <c r="EI12" i="45"/>
  <c r="Q12" i="45"/>
  <c r="DC12" i="45"/>
  <c r="CA12" i="45"/>
  <c r="FG12" i="45"/>
  <c r="DK12" i="45"/>
  <c r="FP12" i="45"/>
  <c r="AF12" i="45"/>
  <c r="FS12" i="45"/>
  <c r="AV12" i="45"/>
  <c r="GQ12" i="45"/>
  <c r="FC12" i="45"/>
  <c r="FW12" i="45"/>
  <c r="DH12" i="45"/>
  <c r="EA12" i="45"/>
  <c r="CU12" i="45"/>
  <c r="S33" i="48"/>
  <c r="DO12" i="45"/>
  <c r="R12" i="45"/>
  <c r="BJ12" i="45"/>
  <c r="GA12" i="45"/>
  <c r="CE12" i="45"/>
  <c r="CB12" i="45"/>
  <c r="BT12" i="45"/>
  <c r="AK12" i="45"/>
  <c r="FL12" i="45"/>
  <c r="CN12" i="45"/>
  <c r="FH12" i="45"/>
  <c r="CJ12" i="45"/>
  <c r="HG12" i="45"/>
  <c r="BS12" i="45"/>
  <c r="FT12" i="45"/>
  <c r="EY12" i="45"/>
  <c r="BX12" i="45"/>
  <c r="L12" i="45"/>
  <c r="K44" i="14"/>
  <c r="DD12" i="45"/>
  <c r="Q42" i="14"/>
  <c r="AB12" i="45"/>
  <c r="DW12" i="45"/>
  <c r="K43" i="14"/>
  <c r="EM12" i="45"/>
  <c r="GF12" i="45"/>
  <c r="M12" i="45"/>
  <c r="BE12" i="45"/>
  <c r="HS12" i="45"/>
  <c r="BW12" i="45"/>
  <c r="EF12" i="45"/>
  <c r="R34" i="48"/>
  <c r="DL12" i="45"/>
  <c r="CY12" i="45"/>
  <c r="DT12" i="45"/>
  <c r="FK12" i="45"/>
  <c r="CM12" i="45"/>
  <c r="AZ12" i="45"/>
  <c r="AP12" i="45"/>
  <c r="G12" i="45"/>
  <c r="EB12" i="45"/>
  <c r="EZ12" i="45"/>
  <c r="BK12" i="45"/>
  <c r="X12" i="45" l="1"/>
  <c r="S12" i="45"/>
  <c r="N12" i="45"/>
  <c r="I12" i="45"/>
  <c r="AC12" i="45"/>
  <c r="AH12" i="45"/>
  <c r="AM12" i="45"/>
  <c r="AR12" i="45"/>
  <c r="AW12" i="45"/>
  <c r="BB12" i="45"/>
  <c r="BG12" i="45"/>
  <c r="BL12" i="45"/>
  <c r="BQ12" i="45"/>
  <c r="BU12" i="45"/>
  <c r="BY12" i="45"/>
  <c r="CC12" i="45"/>
  <c r="CG12" i="45"/>
  <c r="CK12" i="45"/>
  <c r="CO12" i="45"/>
  <c r="CS12" i="45"/>
  <c r="CW12" i="45"/>
  <c r="DA12" i="45"/>
  <c r="DE12" i="45"/>
  <c r="DI12" i="45"/>
  <c r="DM12" i="45"/>
  <c r="DQ12" i="45"/>
  <c r="DU12" i="45"/>
  <c r="DY12" i="45"/>
  <c r="EC12" i="45"/>
  <c r="EG12" i="45"/>
  <c r="EK12" i="45"/>
  <c r="EO12" i="45"/>
  <c r="ES12" i="45"/>
  <c r="EW12" i="45"/>
  <c r="FA12" i="45"/>
  <c r="FE12" i="45"/>
  <c r="FI12" i="45"/>
  <c r="FM12" i="45"/>
  <c r="FQ12" i="45"/>
  <c r="FU12" i="45"/>
  <c r="FY12" i="45"/>
  <c r="GG12" i="45"/>
  <c r="I35" i="48"/>
  <c r="GB12" i="45"/>
  <c r="K33" i="48"/>
  <c r="GC12" i="45" l="1"/>
  <c r="GK12" i="45"/>
  <c r="GS12" i="45"/>
  <c r="GW12" i="45"/>
  <c r="HD12" i="45"/>
  <c r="C13" i="45"/>
  <c r="GN12" i="45"/>
  <c r="HC12" i="45"/>
  <c r="K34" i="48"/>
  <c r="HT12" i="45"/>
  <c r="D14" i="45"/>
  <c r="GZ12" i="45"/>
  <c r="J44" i="14"/>
  <c r="HP12" i="45"/>
  <c r="GM12" i="45"/>
  <c r="O35" i="48"/>
  <c r="HH12" i="45"/>
  <c r="D13" i="45"/>
  <c r="C14" i="45"/>
  <c r="HO12" i="45"/>
  <c r="C36" i="48"/>
  <c r="GY12" i="45"/>
  <c r="HL12" i="45"/>
  <c r="S34" i="48"/>
  <c r="D36" i="48"/>
  <c r="Q35" i="48"/>
  <c r="E14" i="45"/>
  <c r="GO12" i="45" l="1"/>
  <c r="HA12" i="45"/>
  <c r="HE12" i="45"/>
  <c r="HI12" i="45"/>
  <c r="M33" i="48"/>
  <c r="V33" i="48" s="1"/>
  <c r="M34" i="48"/>
  <c r="V34" i="48" s="1"/>
  <c r="HU12" i="45"/>
  <c r="I45" i="14"/>
  <c r="B37" i="48"/>
  <c r="HQ12" i="45"/>
  <c r="HM12" i="45"/>
  <c r="J45" i="14"/>
  <c r="HX13" i="45"/>
  <c r="C15" i="45"/>
  <c r="O43" i="14"/>
  <c r="S35" i="48"/>
  <c r="O36" i="48"/>
  <c r="K35" i="48"/>
  <c r="L35" i="48"/>
  <c r="R35" i="48"/>
  <c r="D15" i="45"/>
  <c r="S44" i="14"/>
  <c r="HX14" i="45"/>
  <c r="E15" i="45"/>
  <c r="K45" i="14"/>
  <c r="D37" i="48"/>
  <c r="O44" i="14"/>
  <c r="I36" i="48"/>
  <c r="Q36" i="48"/>
  <c r="S43" i="14"/>
  <c r="M35" i="48" l="1"/>
  <c r="V35" i="48" s="1"/>
  <c r="I46" i="14"/>
  <c r="B38" i="48"/>
  <c r="R13" i="45"/>
  <c r="H13" i="45"/>
  <c r="FC14" i="45"/>
  <c r="DL14" i="45"/>
  <c r="FT13" i="45"/>
  <c r="DD14" i="45"/>
  <c r="BF13" i="45"/>
  <c r="CE13" i="45"/>
  <c r="BK13" i="45"/>
  <c r="GF13" i="45"/>
  <c r="GE13" i="45"/>
  <c r="BA14" i="45"/>
  <c r="CY13" i="45"/>
  <c r="CZ13" i="45"/>
  <c r="EU14" i="45"/>
  <c r="FD14" i="45"/>
  <c r="DO13" i="45"/>
  <c r="EE14" i="45"/>
  <c r="AA13" i="45"/>
  <c r="AZ13" i="45"/>
  <c r="BE13" i="45"/>
  <c r="DO14" i="45"/>
  <c r="BT14" i="45"/>
  <c r="CM14" i="45"/>
  <c r="DP13" i="45"/>
  <c r="BF14" i="45"/>
  <c r="AA14" i="45"/>
  <c r="BS14" i="45"/>
  <c r="Q14" i="45"/>
  <c r="G14" i="45"/>
  <c r="FL13" i="45"/>
  <c r="DT13" i="45"/>
  <c r="EA13" i="45"/>
  <c r="GE14" i="45"/>
  <c r="CZ14" i="45"/>
  <c r="FP14" i="45"/>
  <c r="EM13" i="45"/>
  <c r="CR14" i="45"/>
  <c r="EA14" i="45"/>
  <c r="BX13" i="45"/>
  <c r="BK14" i="45"/>
  <c r="FL14" i="45"/>
  <c r="EZ13" i="45"/>
  <c r="CV13" i="45"/>
  <c r="CU14" i="45"/>
  <c r="FX14" i="45"/>
  <c r="BJ13" i="45"/>
  <c r="ER14" i="45"/>
  <c r="CU13" i="45"/>
  <c r="EY14" i="45"/>
  <c r="CB14" i="45"/>
  <c r="G13" i="45"/>
  <c r="FO13" i="45"/>
  <c r="CR13" i="45"/>
  <c r="R14" i="45"/>
  <c r="H14" i="45"/>
  <c r="FS14" i="45"/>
  <c r="AU14" i="45"/>
  <c r="BJ14" i="45"/>
  <c r="EQ13" i="45"/>
  <c r="DH14" i="45"/>
  <c r="EY13" i="45"/>
  <c r="CQ14" i="45"/>
  <c r="DL13" i="45"/>
  <c r="K36" i="48"/>
  <c r="EJ13" i="45"/>
  <c r="CB13" i="45"/>
  <c r="AK13" i="45"/>
  <c r="BX14" i="45"/>
  <c r="BO13" i="45"/>
  <c r="CV14" i="45"/>
  <c r="BW13" i="45"/>
  <c r="BP13" i="45"/>
  <c r="EF13" i="45"/>
  <c r="EQ14" i="45"/>
  <c r="EI13" i="45"/>
  <c r="DS14" i="45"/>
  <c r="EN14" i="45"/>
  <c r="AV14" i="45"/>
  <c r="V13" i="45"/>
  <c r="L13" i="45"/>
  <c r="BP14" i="45"/>
  <c r="CN13" i="45"/>
  <c r="DC14" i="45"/>
  <c r="CA14" i="45"/>
  <c r="BO14" i="45"/>
  <c r="GF14" i="45"/>
  <c r="DW14" i="45"/>
  <c r="CQ13" i="45"/>
  <c r="FH14" i="45"/>
  <c r="CI14" i="45"/>
  <c r="DS13" i="45"/>
  <c r="FD13" i="45"/>
  <c r="CJ14" i="45"/>
  <c r="DX13" i="45"/>
  <c r="AB13" i="45"/>
  <c r="FG14" i="45"/>
  <c r="FH13" i="45"/>
  <c r="EE13" i="45"/>
  <c r="ER13" i="45"/>
  <c r="CA13" i="45"/>
  <c r="DG14" i="45"/>
  <c r="CM13" i="45"/>
  <c r="W13" i="45"/>
  <c r="M13" i="45"/>
  <c r="BT13" i="45"/>
  <c r="FW14" i="45"/>
  <c r="FW13" i="45"/>
  <c r="FK13" i="45"/>
  <c r="FX13" i="45"/>
  <c r="FP13" i="45"/>
  <c r="EB14" i="45"/>
  <c r="CE14" i="45"/>
  <c r="FT14" i="45"/>
  <c r="AV13" i="45"/>
  <c r="DW13" i="45"/>
  <c r="AB14" i="45"/>
  <c r="CJ13" i="45"/>
  <c r="AP14" i="45"/>
  <c r="DX14" i="45"/>
  <c r="CI13" i="45"/>
  <c r="BE14" i="45"/>
  <c r="AF14" i="45"/>
  <c r="V14" i="45"/>
  <c r="L14" i="45"/>
  <c r="FS13" i="45"/>
  <c r="AQ14" i="45"/>
  <c r="EB13" i="45"/>
  <c r="AK14" i="45"/>
  <c r="DP14" i="45"/>
  <c r="CN14" i="45"/>
  <c r="DG13" i="45"/>
  <c r="EF14" i="45"/>
  <c r="CF14" i="45"/>
  <c r="FK14" i="45"/>
  <c r="DD13" i="45"/>
  <c r="DT14" i="45"/>
  <c r="AL13" i="45"/>
  <c r="AU13" i="45"/>
  <c r="BW14" i="45"/>
  <c r="EJ14" i="45"/>
  <c r="EV13" i="45"/>
  <c r="EU13" i="45"/>
  <c r="AL14" i="45"/>
  <c r="FG13" i="45"/>
  <c r="EM14" i="45"/>
  <c r="FC13" i="45"/>
  <c r="W14" i="45"/>
  <c r="M14" i="45"/>
  <c r="BA13" i="45"/>
  <c r="AF13" i="45"/>
  <c r="GJ13" i="45"/>
  <c r="AQ13" i="45"/>
  <c r="DH13" i="45"/>
  <c r="FO14" i="45"/>
  <c r="BS13" i="45"/>
  <c r="CF13" i="45"/>
  <c r="DK13" i="45"/>
  <c r="AZ14" i="45"/>
  <c r="AP13" i="45"/>
  <c r="AG14" i="45"/>
  <c r="GQ14" i="45"/>
  <c r="EV14" i="45"/>
  <c r="EZ14" i="45"/>
  <c r="DC13" i="45"/>
  <c r="AG13" i="45"/>
  <c r="EN13" i="45"/>
  <c r="CY14" i="45"/>
  <c r="Q13" i="45"/>
  <c r="EI14" i="45"/>
  <c r="DK14" i="45"/>
  <c r="X14" i="45" l="1"/>
  <c r="X13" i="45"/>
  <c r="S14" i="45"/>
  <c r="S13" i="45"/>
  <c r="N14" i="45"/>
  <c r="N13" i="45"/>
  <c r="I14" i="45"/>
  <c r="I13" i="45"/>
  <c r="AC13" i="45"/>
  <c r="AC14" i="45"/>
  <c r="AH13" i="45"/>
  <c r="AH14" i="45"/>
  <c r="AM13" i="45"/>
  <c r="AM14" i="45"/>
  <c r="AR14" i="45"/>
  <c r="AR13" i="45"/>
  <c r="AW13" i="45"/>
  <c r="AW14" i="45"/>
  <c r="BB14" i="45"/>
  <c r="BB13" i="45"/>
  <c r="BG14" i="45"/>
  <c r="BG13" i="45"/>
  <c r="BL13" i="45"/>
  <c r="BL14" i="45"/>
  <c r="BQ13" i="45"/>
  <c r="BQ14" i="45"/>
  <c r="BU14" i="45"/>
  <c r="BU13" i="45"/>
  <c r="BY13" i="45"/>
  <c r="BY14" i="45"/>
  <c r="CC14" i="45"/>
  <c r="CC13" i="45"/>
  <c r="CG14" i="45"/>
  <c r="CG13" i="45"/>
  <c r="CK13" i="45"/>
  <c r="CK14" i="45"/>
  <c r="CO13" i="45"/>
  <c r="CO14" i="45"/>
  <c r="CS14" i="45"/>
  <c r="CS13" i="45"/>
  <c r="CW14" i="45"/>
  <c r="CW13" i="45"/>
  <c r="DA14" i="45"/>
  <c r="DA13" i="45"/>
  <c r="DE13" i="45"/>
  <c r="DE14" i="45"/>
  <c r="DI13" i="45"/>
  <c r="DI14" i="45"/>
  <c r="DM14" i="45"/>
  <c r="DM13" i="45"/>
  <c r="DQ13" i="45"/>
  <c r="DQ14" i="45"/>
  <c r="DU13" i="45"/>
  <c r="DU14" i="45"/>
  <c r="DY13" i="45"/>
  <c r="DY14" i="45"/>
  <c r="EC14" i="45"/>
  <c r="EC13" i="45"/>
  <c r="EG13" i="45"/>
  <c r="EG14" i="45"/>
  <c r="EK14" i="45"/>
  <c r="EK13" i="45"/>
  <c r="EO14" i="45"/>
  <c r="EO13" i="45"/>
  <c r="ES14" i="45"/>
  <c r="ES13" i="45"/>
  <c r="EW13" i="45"/>
  <c r="EW14" i="45"/>
  <c r="FA14" i="45"/>
  <c r="FA13" i="45"/>
  <c r="FE13" i="45"/>
  <c r="FE14" i="45"/>
  <c r="FI14" i="45"/>
  <c r="FI13" i="45"/>
  <c r="FM14" i="45"/>
  <c r="FM13" i="45"/>
  <c r="FQ13" i="45"/>
  <c r="FQ14" i="45"/>
  <c r="FU13" i="45"/>
  <c r="FU14" i="45"/>
  <c r="FY14" i="45"/>
  <c r="FY13" i="45"/>
  <c r="GG13" i="45"/>
  <c r="GG14" i="45"/>
  <c r="GB13" i="45"/>
  <c r="GU14" i="45"/>
  <c r="GV13" i="45"/>
  <c r="GA13" i="45"/>
  <c r="GV14" i="45"/>
  <c r="GR14" i="45"/>
  <c r="GI13" i="45"/>
  <c r="GJ14" i="45"/>
  <c r="GU13" i="45"/>
  <c r="GQ13" i="45"/>
  <c r="GB14" i="45"/>
  <c r="HP13" i="45"/>
  <c r="C38" i="48"/>
  <c r="HH13" i="45"/>
  <c r="GR13" i="45"/>
  <c r="GI14" i="45"/>
  <c r="GC13" i="45" l="1"/>
  <c r="GK14" i="45"/>
  <c r="GK13" i="45"/>
  <c r="GS13" i="45"/>
  <c r="GS14" i="45"/>
  <c r="GW13" i="45"/>
  <c r="GW14" i="45"/>
  <c r="HL13" i="45"/>
  <c r="HG14" i="45"/>
  <c r="HH14" i="45"/>
  <c r="HT14" i="45"/>
  <c r="HO13" i="45"/>
  <c r="HK14" i="45"/>
  <c r="K46" i="14"/>
  <c r="GN13" i="45"/>
  <c r="HX15" i="45"/>
  <c r="GM13" i="45"/>
  <c r="HS13" i="45"/>
  <c r="C37" i="48"/>
  <c r="S45" i="14"/>
  <c r="GA14" i="45"/>
  <c r="HD13" i="45"/>
  <c r="HS14" i="45"/>
  <c r="Q37" i="48"/>
  <c r="GC14" i="45" l="1"/>
  <c r="GO13" i="45"/>
  <c r="HI14" i="45"/>
  <c r="HQ13" i="45"/>
  <c r="HU14" i="45"/>
  <c r="I47" i="14"/>
  <c r="B39" i="48"/>
  <c r="W15" i="45"/>
  <c r="CQ15" i="45"/>
  <c r="DC15" i="45"/>
  <c r="CA15" i="45"/>
  <c r="DL15" i="45"/>
  <c r="HK13" i="45"/>
  <c r="ER15" i="45"/>
  <c r="FC15" i="45"/>
  <c r="DX15" i="45"/>
  <c r="HL14" i="45"/>
  <c r="O37" i="48"/>
  <c r="BK15" i="45"/>
  <c r="DG15" i="45"/>
  <c r="BP15" i="45"/>
  <c r="EQ15" i="45"/>
  <c r="AA15" i="45"/>
  <c r="EN15" i="45"/>
  <c r="O45" i="14"/>
  <c r="CY15" i="45"/>
  <c r="R15" i="45"/>
  <c r="I37" i="48"/>
  <c r="AP15" i="45"/>
  <c r="EU15" i="45"/>
  <c r="D16" i="45"/>
  <c r="FS15" i="45"/>
  <c r="CM15" i="45"/>
  <c r="GZ13" i="45"/>
  <c r="GM14" i="45"/>
  <c r="K47" i="14"/>
  <c r="EM15" i="45"/>
  <c r="GZ14" i="45"/>
  <c r="GY13" i="45"/>
  <c r="AV15" i="45"/>
  <c r="EY15" i="45"/>
  <c r="DO15" i="45"/>
  <c r="GN14" i="45"/>
  <c r="BA15" i="45"/>
  <c r="GQ15" i="45"/>
  <c r="Q15" i="45"/>
  <c r="FX15" i="45"/>
  <c r="FK15" i="45"/>
  <c r="Q43" i="14"/>
  <c r="EZ15" i="45"/>
  <c r="HC13" i="45"/>
  <c r="CF15" i="45"/>
  <c r="FH15" i="45"/>
  <c r="CJ15" i="45"/>
  <c r="AF15" i="45"/>
  <c r="E16" i="45"/>
  <c r="BO15" i="45"/>
  <c r="EI15" i="45"/>
  <c r="AG15" i="45"/>
  <c r="HD14" i="45"/>
  <c r="CZ15" i="45"/>
  <c r="FW15" i="45"/>
  <c r="L36" i="48"/>
  <c r="HC14" i="45"/>
  <c r="L15" i="45"/>
  <c r="BT15" i="45"/>
  <c r="BJ15" i="45"/>
  <c r="DP15" i="45"/>
  <c r="GJ15" i="45"/>
  <c r="CR15" i="45"/>
  <c r="AQ15" i="45"/>
  <c r="HT13" i="45"/>
  <c r="DS15" i="45"/>
  <c r="BE15" i="45"/>
  <c r="BX15" i="45"/>
  <c r="HP14" i="45"/>
  <c r="DK15" i="45"/>
  <c r="DW15" i="45"/>
  <c r="HL15" i="45"/>
  <c r="V15" i="45"/>
  <c r="HO14" i="45"/>
  <c r="HO15" i="45"/>
  <c r="M15" i="45"/>
  <c r="EJ15" i="45"/>
  <c r="CN15" i="45"/>
  <c r="AK15" i="45"/>
  <c r="DH15" i="45"/>
  <c r="FT15" i="45"/>
  <c r="AU15" i="45"/>
  <c r="GI15" i="45"/>
  <c r="R36" i="48"/>
  <c r="EE15" i="45"/>
  <c r="FO15" i="45"/>
  <c r="G15" i="45"/>
  <c r="GF15" i="45"/>
  <c r="GE15" i="45"/>
  <c r="EF15" i="45"/>
  <c r="GR15" i="45"/>
  <c r="DD15" i="45"/>
  <c r="J46" i="14"/>
  <c r="Q44" i="14"/>
  <c r="HG15" i="45"/>
  <c r="EV15" i="45"/>
  <c r="BS15" i="45"/>
  <c r="BW15" i="45"/>
  <c r="EB15" i="45"/>
  <c r="AL15" i="45"/>
  <c r="CV15" i="45"/>
  <c r="FL15" i="45"/>
  <c r="H15" i="45"/>
  <c r="HG13" i="45"/>
  <c r="AZ15" i="45"/>
  <c r="FD15" i="45"/>
  <c r="FP15" i="45"/>
  <c r="EA15" i="45"/>
  <c r="FG15" i="45"/>
  <c r="CI15" i="45"/>
  <c r="BF15" i="45"/>
  <c r="CE15" i="45"/>
  <c r="CB15" i="45"/>
  <c r="O46" i="14"/>
  <c r="HH15" i="45"/>
  <c r="AB15" i="45"/>
  <c r="CU15" i="45"/>
  <c r="DT15" i="45"/>
  <c r="X15" i="45" l="1"/>
  <c r="S15" i="45"/>
  <c r="N15" i="45"/>
  <c r="I15" i="45"/>
  <c r="AC15" i="45"/>
  <c r="AH15" i="45"/>
  <c r="AM15" i="45"/>
  <c r="AR15" i="45"/>
  <c r="AW15" i="45"/>
  <c r="BB15" i="45"/>
  <c r="BG15" i="45"/>
  <c r="BL15" i="45"/>
  <c r="BQ15" i="45"/>
  <c r="BU15" i="45"/>
  <c r="BY15" i="45"/>
  <c r="CC15" i="45"/>
  <c r="CG15" i="45"/>
  <c r="CK15" i="45"/>
  <c r="CO15" i="45"/>
  <c r="CS15" i="45"/>
  <c r="CW15" i="45"/>
  <c r="DA15" i="45"/>
  <c r="DE15" i="45"/>
  <c r="DI15" i="45"/>
  <c r="DM15" i="45"/>
  <c r="DQ15" i="45"/>
  <c r="DU15" i="45"/>
  <c r="DY15" i="45"/>
  <c r="EC15" i="45"/>
  <c r="EG15" i="45"/>
  <c r="EK15" i="45"/>
  <c r="EO15" i="45"/>
  <c r="ES15" i="45"/>
  <c r="EW15" i="45"/>
  <c r="FA15" i="45"/>
  <c r="FE15" i="45"/>
  <c r="FI15" i="45"/>
  <c r="FM15" i="45"/>
  <c r="FQ15" i="45"/>
  <c r="FU15" i="45"/>
  <c r="FY15" i="45"/>
  <c r="GG15" i="45"/>
  <c r="GB15" i="45"/>
  <c r="HS15" i="45"/>
  <c r="GU15" i="45"/>
  <c r="HT15" i="45"/>
  <c r="GV15" i="45"/>
  <c r="S36" i="48"/>
  <c r="GN15" i="45"/>
  <c r="J47" i="14"/>
  <c r="C16" i="45"/>
  <c r="GY14" i="45"/>
  <c r="GK15" i="45" l="1"/>
  <c r="HI13" i="45"/>
  <c r="HA14" i="45"/>
  <c r="HM13" i="45"/>
  <c r="HA13" i="45"/>
  <c r="HE13" i="45"/>
  <c r="GS15" i="45"/>
  <c r="HQ14" i="45"/>
  <c r="M36" i="48"/>
  <c r="V36" i="48" s="1"/>
  <c r="HM14" i="45"/>
  <c r="HE14" i="45"/>
  <c r="GO14" i="45"/>
  <c r="HU13" i="45"/>
  <c r="GW15" i="45"/>
  <c r="GY15" i="45"/>
  <c r="HP15" i="45"/>
  <c r="C39" i="48"/>
  <c r="S37" i="48"/>
  <c r="S46" i="14"/>
  <c r="D39" i="48"/>
  <c r="R37" i="48"/>
  <c r="HC15" i="45"/>
  <c r="HK15" i="45"/>
  <c r="GM15" i="45"/>
  <c r="GA15" i="45"/>
  <c r="Q45" i="14"/>
  <c r="HD15" i="45"/>
  <c r="L37" i="48"/>
  <c r="GZ15" i="45"/>
  <c r="K37" i="48"/>
  <c r="D38" i="48"/>
  <c r="HX16" i="45"/>
  <c r="GC15" i="45" l="1"/>
  <c r="GO15" i="45"/>
  <c r="HA15" i="45"/>
  <c r="HE15" i="45"/>
  <c r="HI15" i="45"/>
  <c r="M37" i="48"/>
  <c r="V37" i="48" s="1"/>
  <c r="HU15" i="45"/>
  <c r="I48" i="14"/>
  <c r="B40" i="48"/>
  <c r="HM15" i="45"/>
  <c r="HQ15" i="45"/>
  <c r="M16" i="45"/>
  <c r="EV16" i="45"/>
  <c r="CN16" i="45"/>
  <c r="FW16" i="45"/>
  <c r="CU16" i="45"/>
  <c r="GM16" i="45"/>
  <c r="CB16" i="45"/>
  <c r="EB16" i="45"/>
  <c r="EE16" i="45"/>
  <c r="CE16" i="45"/>
  <c r="FP16" i="45"/>
  <c r="AP16" i="45"/>
  <c r="BE16" i="45"/>
  <c r="BA16" i="45"/>
  <c r="FC16" i="45"/>
  <c r="G16" i="45"/>
  <c r="CJ16" i="45"/>
  <c r="O39" i="48"/>
  <c r="GI16" i="45"/>
  <c r="EM16" i="45"/>
  <c r="EN16" i="45"/>
  <c r="I39" i="48"/>
  <c r="AB16" i="45"/>
  <c r="CY16" i="45"/>
  <c r="DL16" i="45"/>
  <c r="GR16" i="45"/>
  <c r="AU16" i="45"/>
  <c r="BT16" i="45"/>
  <c r="H16" i="45"/>
  <c r="GU16" i="45"/>
  <c r="AG16" i="45"/>
  <c r="DH16" i="45"/>
  <c r="AQ16" i="45"/>
  <c r="BS16" i="45"/>
  <c r="DX16" i="45"/>
  <c r="DO16" i="45"/>
  <c r="DG16" i="45"/>
  <c r="AF16" i="45"/>
  <c r="HD16" i="45"/>
  <c r="CR16" i="45"/>
  <c r="EI16" i="45"/>
  <c r="DK16" i="45"/>
  <c r="V16" i="45"/>
  <c r="CI16" i="45"/>
  <c r="EZ16" i="45"/>
  <c r="FO16" i="45"/>
  <c r="FS16" i="45"/>
  <c r="HH16" i="45"/>
  <c r="DD16" i="45"/>
  <c r="BF16" i="45"/>
  <c r="EY16" i="45"/>
  <c r="HL16" i="45"/>
  <c r="CZ16" i="45"/>
  <c r="EF16" i="45"/>
  <c r="CV16" i="45"/>
  <c r="FK16" i="45"/>
  <c r="EA16" i="45"/>
  <c r="W16" i="45"/>
  <c r="AV16" i="45"/>
  <c r="FD16" i="45"/>
  <c r="CQ16" i="45"/>
  <c r="CF16" i="45"/>
  <c r="FH16" i="45"/>
  <c r="AA16" i="45"/>
  <c r="GZ16" i="45"/>
  <c r="DC16" i="45"/>
  <c r="BP16" i="45"/>
  <c r="FG16" i="45"/>
  <c r="HC16" i="45"/>
  <c r="GE16" i="45"/>
  <c r="BW16" i="45"/>
  <c r="DW16" i="45"/>
  <c r="Q16" i="45"/>
  <c r="DT16" i="45"/>
  <c r="DS16" i="45"/>
  <c r="O47" i="14"/>
  <c r="D40" i="48"/>
  <c r="R16" i="45"/>
  <c r="DP16" i="45"/>
  <c r="HT16" i="45"/>
  <c r="FX16" i="45"/>
  <c r="CA16" i="45"/>
  <c r="AZ16" i="45"/>
  <c r="Q46" i="14"/>
  <c r="BO16" i="45"/>
  <c r="EQ16" i="45"/>
  <c r="EU16" i="45"/>
  <c r="GJ16" i="45"/>
  <c r="FL16" i="45"/>
  <c r="AL16" i="45"/>
  <c r="GQ16" i="45"/>
  <c r="L16" i="45"/>
  <c r="BJ16" i="45"/>
  <c r="AK16" i="45"/>
  <c r="BX16" i="45"/>
  <c r="J48" i="14"/>
  <c r="EJ16" i="45"/>
  <c r="BK16" i="45"/>
  <c r="FT16" i="45"/>
  <c r="GF16" i="45"/>
  <c r="CM16" i="45"/>
  <c r="GA16" i="45"/>
  <c r="ER16" i="45"/>
  <c r="X16" i="45" l="1"/>
  <c r="S16" i="45"/>
  <c r="N16" i="45"/>
  <c r="I16" i="45"/>
  <c r="AC16" i="45"/>
  <c r="AH16" i="45"/>
  <c r="AM16" i="45"/>
  <c r="AR16" i="45"/>
  <c r="AW16" i="45"/>
  <c r="BB16" i="45"/>
  <c r="BG16" i="45"/>
  <c r="BL16" i="45"/>
  <c r="BQ16" i="45"/>
  <c r="BU16" i="45"/>
  <c r="BY16" i="45"/>
  <c r="CC16" i="45"/>
  <c r="CG16" i="45"/>
  <c r="CK16" i="45"/>
  <c r="CO16" i="45"/>
  <c r="CS16" i="45"/>
  <c r="CW16" i="45"/>
  <c r="DA16" i="45"/>
  <c r="DE16" i="45"/>
  <c r="DI16" i="45"/>
  <c r="DM16" i="45"/>
  <c r="DQ16" i="45"/>
  <c r="DU16" i="45"/>
  <c r="DY16" i="45"/>
  <c r="EC16" i="45"/>
  <c r="EG16" i="45"/>
  <c r="EK16" i="45"/>
  <c r="EO16" i="45"/>
  <c r="ES16" i="45"/>
  <c r="EW16" i="45"/>
  <c r="FA16" i="45"/>
  <c r="FE16" i="45"/>
  <c r="FI16" i="45"/>
  <c r="FM16" i="45"/>
  <c r="FQ16" i="45"/>
  <c r="FU16" i="45"/>
  <c r="FY16" i="45"/>
  <c r="GG16" i="45"/>
  <c r="C17" i="45"/>
  <c r="GN16" i="45"/>
  <c r="O38" i="48"/>
  <c r="S47" i="14"/>
  <c r="GV16" i="45"/>
  <c r="Q38" i="48"/>
  <c r="HG16" i="45"/>
  <c r="C40" i="48"/>
  <c r="GB16" i="45"/>
  <c r="HO16" i="45"/>
  <c r="HP16" i="45"/>
  <c r="GY16" i="45"/>
  <c r="I38" i="48"/>
  <c r="HK16" i="45"/>
  <c r="HS16" i="45"/>
  <c r="E17" i="45"/>
  <c r="Q39" i="48"/>
  <c r="GK16" i="45" l="1"/>
  <c r="GC16" i="45"/>
  <c r="GS16" i="45"/>
  <c r="GW16" i="45"/>
  <c r="GO16" i="45"/>
  <c r="HA16" i="45"/>
  <c r="HE16" i="45"/>
  <c r="HI16" i="45"/>
  <c r="HU16" i="45"/>
  <c r="I49" i="14"/>
  <c r="B41" i="48"/>
  <c r="HM16" i="45"/>
  <c r="HQ16" i="45"/>
  <c r="D17" i="45"/>
  <c r="Q40" i="48"/>
  <c r="R39" i="48"/>
  <c r="D41" i="48"/>
  <c r="C41" i="48"/>
  <c r="K48" i="14"/>
  <c r="S38" i="48"/>
  <c r="K49" i="14"/>
  <c r="R38" i="48"/>
  <c r="Q47" i="14"/>
  <c r="K39" i="48"/>
  <c r="K38" i="48"/>
  <c r="L38" i="48"/>
  <c r="S39" i="48"/>
  <c r="O40" i="48"/>
  <c r="L39" i="48"/>
  <c r="I40" i="48"/>
  <c r="M38" i="48" l="1"/>
  <c r="V38" i="48" s="1"/>
  <c r="AA38" i="48"/>
  <c r="AF38" i="48"/>
  <c r="AK38" i="48"/>
  <c r="M39" i="48"/>
  <c r="V39" i="48" s="1"/>
  <c r="AK39" i="48"/>
  <c r="AA39" i="48"/>
  <c r="AF39" i="48"/>
  <c r="B42" i="48"/>
  <c r="O49" i="14"/>
  <c r="J49" i="14"/>
  <c r="R40" i="48"/>
  <c r="Q41" i="48"/>
  <c r="O41" i="48"/>
  <c r="C18" i="45"/>
  <c r="O48" i="14"/>
  <c r="D18" i="45"/>
  <c r="S48" i="14"/>
  <c r="S40" i="48"/>
  <c r="K40" i="48"/>
  <c r="L40" i="48"/>
  <c r="HX17" i="45"/>
  <c r="I41" i="48"/>
  <c r="D42" i="48"/>
  <c r="S49" i="14"/>
  <c r="M40" i="48" l="1"/>
  <c r="V40" i="48" s="1"/>
  <c r="AF40" i="48"/>
  <c r="AK40" i="48"/>
  <c r="AA40" i="48"/>
  <c r="B43" i="48"/>
  <c r="R17" i="45"/>
  <c r="BF17" i="45"/>
  <c r="CV17" i="45"/>
  <c r="GR17" i="45"/>
  <c r="EZ17" i="45"/>
  <c r="FL17" i="45"/>
  <c r="FC17" i="45"/>
  <c r="EA17" i="45"/>
  <c r="BX17" i="45"/>
  <c r="DP17" i="45"/>
  <c r="EJ17" i="45"/>
  <c r="BO17" i="45"/>
  <c r="CA17" i="45"/>
  <c r="L17" i="45"/>
  <c r="EY17" i="45"/>
  <c r="CU17" i="45"/>
  <c r="EE17" i="45"/>
  <c r="FK17" i="45"/>
  <c r="DH17" i="45"/>
  <c r="AB17" i="45"/>
  <c r="GQ17" i="45"/>
  <c r="CB17" i="45"/>
  <c r="AA17" i="45"/>
  <c r="AV17" i="45"/>
  <c r="FP17" i="45"/>
  <c r="EB17" i="45"/>
  <c r="M17" i="45"/>
  <c r="DW17" i="45"/>
  <c r="DK17" i="45"/>
  <c r="CI17" i="45"/>
  <c r="CQ17" i="45"/>
  <c r="DT17" i="45"/>
  <c r="BK17" i="45"/>
  <c r="EQ17" i="45"/>
  <c r="FG17" i="45"/>
  <c r="BP17" i="45"/>
  <c r="AL17" i="45"/>
  <c r="FD17" i="45"/>
  <c r="DO17" i="45"/>
  <c r="G17" i="45"/>
  <c r="AZ17" i="45"/>
  <c r="BW17" i="45"/>
  <c r="EV17" i="45"/>
  <c r="GE17" i="45"/>
  <c r="EN17" i="45"/>
  <c r="ER17" i="45"/>
  <c r="GF17" i="45"/>
  <c r="CF17" i="45"/>
  <c r="DC17" i="45"/>
  <c r="FW17" i="45"/>
  <c r="CJ17" i="45"/>
  <c r="H17" i="45"/>
  <c r="CM17" i="45"/>
  <c r="AF17" i="45"/>
  <c r="EU17" i="45"/>
  <c r="FS17" i="45"/>
  <c r="AU17" i="45"/>
  <c r="FX17" i="45"/>
  <c r="FT17" i="45"/>
  <c r="BE17" i="45"/>
  <c r="DL17" i="45"/>
  <c r="CY17" i="45"/>
  <c r="EM17" i="45"/>
  <c r="CE17" i="45"/>
  <c r="V17" i="45"/>
  <c r="CN17" i="45"/>
  <c r="AG17" i="45"/>
  <c r="CR17" i="45"/>
  <c r="BA17" i="45"/>
  <c r="FO17" i="45"/>
  <c r="FH17" i="45"/>
  <c r="C42" i="48"/>
  <c r="EI17" i="45"/>
  <c r="W17" i="45"/>
  <c r="AQ17" i="45"/>
  <c r="AK17" i="45"/>
  <c r="DX17" i="45"/>
  <c r="AP17" i="45"/>
  <c r="BT17" i="45"/>
  <c r="DD17" i="45"/>
  <c r="BJ17" i="45"/>
  <c r="BS17" i="45"/>
  <c r="DS17" i="45"/>
  <c r="EF17" i="45"/>
  <c r="Q17" i="45"/>
  <c r="DG17" i="45"/>
  <c r="CZ17" i="45"/>
  <c r="X17" i="45" l="1"/>
  <c r="S17" i="45"/>
  <c r="N17" i="45"/>
  <c r="I17" i="45"/>
  <c r="AC17" i="45"/>
  <c r="AH17" i="45"/>
  <c r="AM17" i="45"/>
  <c r="AR17" i="45"/>
  <c r="AW17" i="45"/>
  <c r="BB17" i="45"/>
  <c r="BG17" i="45"/>
  <c r="BL17" i="45"/>
  <c r="BQ17" i="45"/>
  <c r="BU17" i="45"/>
  <c r="BY17" i="45"/>
  <c r="CC17" i="45"/>
  <c r="CG17" i="45"/>
  <c r="CK17" i="45"/>
  <c r="CO17" i="45"/>
  <c r="CS17" i="45"/>
  <c r="CW17" i="45"/>
  <c r="DA17" i="45"/>
  <c r="DE17" i="45"/>
  <c r="DI17" i="45"/>
  <c r="DM17" i="45"/>
  <c r="DQ17" i="45"/>
  <c r="DU17" i="45"/>
  <c r="DY17" i="45"/>
  <c r="EC17" i="45"/>
  <c r="EG17" i="45"/>
  <c r="EK17" i="45"/>
  <c r="EO17" i="45"/>
  <c r="ES17" i="45"/>
  <c r="EW17" i="45"/>
  <c r="FA17" i="45"/>
  <c r="FE17" i="45"/>
  <c r="FI17" i="45"/>
  <c r="FM17" i="45"/>
  <c r="FQ17" i="45"/>
  <c r="FU17" i="45"/>
  <c r="FY17" i="45"/>
  <c r="GG17" i="45"/>
  <c r="GJ17" i="45"/>
  <c r="GV17" i="45"/>
  <c r="HC17" i="45"/>
  <c r="GA17" i="45"/>
  <c r="GI17" i="45"/>
  <c r="GU17" i="45"/>
  <c r="GB17" i="45"/>
  <c r="GC17" i="45" l="1"/>
  <c r="GK17" i="45"/>
  <c r="GS17" i="45"/>
  <c r="GW17" i="45"/>
  <c r="E19" i="45"/>
  <c r="O42" i="48"/>
  <c r="HS17" i="45"/>
  <c r="HH17" i="45"/>
  <c r="HT17" i="45"/>
  <c r="S41" i="48"/>
  <c r="C19" i="45"/>
  <c r="HK17" i="45"/>
  <c r="HO17" i="45"/>
  <c r="K41" i="48"/>
  <c r="HG17" i="45"/>
  <c r="GN17" i="45"/>
  <c r="I42" i="48"/>
  <c r="GZ17" i="45"/>
  <c r="GY17" i="45"/>
  <c r="Q48" i="14"/>
  <c r="L41" i="48"/>
  <c r="Q49" i="14"/>
  <c r="D19" i="45"/>
  <c r="Q42" i="48"/>
  <c r="HX18" i="45"/>
  <c r="GM17" i="45"/>
  <c r="R41" i="48"/>
  <c r="HD17" i="45"/>
  <c r="HL17" i="45"/>
  <c r="C43" i="48"/>
  <c r="HP17" i="45"/>
  <c r="E18" i="45"/>
  <c r="GO17" i="45" l="1"/>
  <c r="HA17" i="45"/>
  <c r="HE17" i="45"/>
  <c r="HI17" i="45"/>
  <c r="HU17" i="45"/>
  <c r="HQ17" i="45"/>
  <c r="HM17" i="45"/>
  <c r="M41" i="48"/>
  <c r="V41" i="48" s="1"/>
  <c r="AK41" i="48"/>
  <c r="AA41" i="48"/>
  <c r="AF41" i="48"/>
  <c r="B44" i="48"/>
  <c r="L18" i="45"/>
  <c r="CY18" i="45"/>
  <c r="DP18" i="45"/>
  <c r="EM18" i="45"/>
  <c r="FC18" i="45"/>
  <c r="AP18" i="45"/>
  <c r="FX18" i="45"/>
  <c r="CZ18" i="45"/>
  <c r="AF18" i="45"/>
  <c r="FD18" i="45"/>
  <c r="BF18" i="45"/>
  <c r="AK18" i="45"/>
  <c r="BW18" i="45"/>
  <c r="M18" i="45"/>
  <c r="AU18" i="45"/>
  <c r="R42" i="48"/>
  <c r="EQ18" i="45"/>
  <c r="BE18" i="45"/>
  <c r="CA18" i="45"/>
  <c r="GU18" i="45"/>
  <c r="EI18" i="45"/>
  <c r="FO18" i="45"/>
  <c r="CR18" i="45"/>
  <c r="EJ18" i="45"/>
  <c r="EF18" i="45"/>
  <c r="G18" i="45"/>
  <c r="FG18" i="45"/>
  <c r="DX18" i="45"/>
  <c r="EY18" i="45"/>
  <c r="HH18" i="45"/>
  <c r="CF18" i="45"/>
  <c r="AA18" i="45"/>
  <c r="EN18" i="45"/>
  <c r="FL18" i="45"/>
  <c r="BT18" i="45"/>
  <c r="HX19" i="45"/>
  <c r="AZ18" i="45"/>
  <c r="FP18" i="45"/>
  <c r="H18" i="45"/>
  <c r="EU18" i="45"/>
  <c r="CV18" i="45"/>
  <c r="CE18" i="45"/>
  <c r="AL18" i="45"/>
  <c r="FT18" i="45"/>
  <c r="CB18" i="45"/>
  <c r="FS18" i="45"/>
  <c r="FK18" i="45"/>
  <c r="CI18" i="45"/>
  <c r="AQ18" i="45"/>
  <c r="DS18" i="45"/>
  <c r="GE18" i="45"/>
  <c r="CM18" i="45"/>
  <c r="ER18" i="45"/>
  <c r="C44" i="48"/>
  <c r="V18" i="45"/>
  <c r="EZ18" i="45"/>
  <c r="BJ18" i="45"/>
  <c r="EE18" i="45"/>
  <c r="BX18" i="45"/>
  <c r="DD18" i="45"/>
  <c r="BO18" i="45"/>
  <c r="DC18" i="45"/>
  <c r="FW18" i="45"/>
  <c r="BK18" i="45"/>
  <c r="R18" i="45"/>
  <c r="DL18" i="45"/>
  <c r="W18" i="45"/>
  <c r="EB18" i="45"/>
  <c r="AV18" i="45"/>
  <c r="GI18" i="45"/>
  <c r="DW18" i="45"/>
  <c r="DT18" i="45"/>
  <c r="DH18" i="45"/>
  <c r="GF18" i="45"/>
  <c r="EV18" i="45"/>
  <c r="CQ18" i="45"/>
  <c r="DK18" i="45"/>
  <c r="E20" i="45"/>
  <c r="Q18" i="45"/>
  <c r="CN18" i="45"/>
  <c r="EA18" i="45"/>
  <c r="DG18" i="45"/>
  <c r="AG18" i="45"/>
  <c r="DO18" i="45"/>
  <c r="BA18" i="45"/>
  <c r="BS18" i="45"/>
  <c r="AB18" i="45"/>
  <c r="FH18" i="45"/>
  <c r="BP18" i="45"/>
  <c r="CJ18" i="45"/>
  <c r="CU18" i="45"/>
  <c r="X18" i="45" l="1"/>
  <c r="S18" i="45"/>
  <c r="N18" i="45"/>
  <c r="I18" i="45"/>
  <c r="AC18" i="45"/>
  <c r="AH18" i="45"/>
  <c r="AM18" i="45"/>
  <c r="AR18" i="45"/>
  <c r="AW18" i="45"/>
  <c r="BB18" i="45"/>
  <c r="BG18" i="45"/>
  <c r="BL18" i="45"/>
  <c r="BQ18" i="45"/>
  <c r="BU18" i="45"/>
  <c r="BY18" i="45"/>
  <c r="CC18" i="45"/>
  <c r="CG18" i="45"/>
  <c r="CK18" i="45"/>
  <c r="CO18" i="45"/>
  <c r="CS18" i="45"/>
  <c r="CW18" i="45"/>
  <c r="DA18" i="45"/>
  <c r="DE18" i="45"/>
  <c r="DI18" i="45"/>
  <c r="DM18" i="45"/>
  <c r="DQ18" i="45"/>
  <c r="DU18" i="45"/>
  <c r="DY18" i="45"/>
  <c r="EC18" i="45"/>
  <c r="EG18" i="45"/>
  <c r="EK18" i="45"/>
  <c r="EO18" i="45"/>
  <c r="ES18" i="45"/>
  <c r="EW18" i="45"/>
  <c r="FA18" i="45"/>
  <c r="FE18" i="45"/>
  <c r="FI18" i="45"/>
  <c r="FM18" i="45"/>
  <c r="FQ18" i="45"/>
  <c r="FU18" i="45"/>
  <c r="FY18" i="45"/>
  <c r="GG18" i="45"/>
  <c r="H19" i="45"/>
  <c r="EY19" i="45"/>
  <c r="HK18" i="45"/>
  <c r="AF19" i="45"/>
  <c r="BA19" i="45"/>
  <c r="AZ19" i="45"/>
  <c r="HC18" i="45"/>
  <c r="CJ19" i="45"/>
  <c r="AB19" i="45"/>
  <c r="EN19" i="45"/>
  <c r="EA19" i="45"/>
  <c r="CZ19" i="45"/>
  <c r="FX19" i="45"/>
  <c r="BK19" i="45"/>
  <c r="AP19" i="45"/>
  <c r="G19" i="45"/>
  <c r="EJ19" i="45"/>
  <c r="CI19" i="45"/>
  <c r="GR18" i="45"/>
  <c r="DK19" i="45"/>
  <c r="CE19" i="45"/>
  <c r="CM19" i="45"/>
  <c r="FC19" i="45"/>
  <c r="FL19" i="45"/>
  <c r="CN19" i="45"/>
  <c r="ER19" i="45"/>
  <c r="AL19" i="45"/>
  <c r="EZ19" i="45"/>
  <c r="FS19" i="45"/>
  <c r="BW19" i="45"/>
  <c r="FH19" i="45"/>
  <c r="W19" i="45"/>
  <c r="DH19" i="45"/>
  <c r="GE19" i="45"/>
  <c r="EE19" i="45"/>
  <c r="CV19" i="45"/>
  <c r="GM18" i="45"/>
  <c r="EV19" i="45"/>
  <c r="CA19" i="45"/>
  <c r="HG18" i="45"/>
  <c r="FO19" i="45"/>
  <c r="CU19" i="45"/>
  <c r="BO19" i="45"/>
  <c r="V19" i="45"/>
  <c r="BE19" i="45"/>
  <c r="GJ18" i="45"/>
  <c r="EI19" i="45"/>
  <c r="HT18" i="45"/>
  <c r="AK19" i="45"/>
  <c r="CF19" i="45"/>
  <c r="DD19" i="45"/>
  <c r="FP19" i="45"/>
  <c r="EM19" i="45"/>
  <c r="EB19" i="45"/>
  <c r="GY18" i="45"/>
  <c r="DW19" i="45"/>
  <c r="AA19" i="45"/>
  <c r="EU19" i="45"/>
  <c r="GQ18" i="45"/>
  <c r="CR19" i="45"/>
  <c r="Q19" i="45"/>
  <c r="BS19" i="45"/>
  <c r="CQ19" i="45"/>
  <c r="DX19" i="45"/>
  <c r="DO19" i="45"/>
  <c r="DG19" i="45"/>
  <c r="DS19" i="45"/>
  <c r="BJ19" i="45"/>
  <c r="GB18" i="45"/>
  <c r="D44" i="48"/>
  <c r="GV18" i="45"/>
  <c r="R19" i="45"/>
  <c r="BX19" i="45"/>
  <c r="HP18" i="45"/>
  <c r="HO18" i="45"/>
  <c r="AG19" i="45"/>
  <c r="FT19" i="45"/>
  <c r="EF19" i="45"/>
  <c r="BF19" i="45"/>
  <c r="FD19" i="45"/>
  <c r="CY19" i="45"/>
  <c r="D20" i="45"/>
  <c r="M19" i="45"/>
  <c r="HS18" i="45"/>
  <c r="CB19" i="45"/>
  <c r="AQ19" i="45"/>
  <c r="AU19" i="45"/>
  <c r="BP19" i="45"/>
  <c r="GF19" i="45"/>
  <c r="AV19" i="45"/>
  <c r="DP19" i="45"/>
  <c r="DC19" i="45"/>
  <c r="EQ19" i="45"/>
  <c r="L19" i="45"/>
  <c r="DT19" i="45"/>
  <c r="FW19" i="45"/>
  <c r="BT19" i="45"/>
  <c r="DL19" i="45"/>
  <c r="FG19" i="45"/>
  <c r="FK19" i="45"/>
  <c r="K42" i="48"/>
  <c r="X19" i="45" l="1"/>
  <c r="S19" i="45"/>
  <c r="N19" i="45"/>
  <c r="I19" i="45"/>
  <c r="AC19" i="45"/>
  <c r="AH19" i="45"/>
  <c r="AM19" i="45"/>
  <c r="AR19" i="45"/>
  <c r="AW19" i="45"/>
  <c r="BB19" i="45"/>
  <c r="BG19" i="45"/>
  <c r="BL19" i="45"/>
  <c r="BQ19" i="45"/>
  <c r="BU19" i="45"/>
  <c r="BY19" i="45"/>
  <c r="CC19" i="45"/>
  <c r="CG19" i="45"/>
  <c r="CK19" i="45"/>
  <c r="CO19" i="45"/>
  <c r="CS19" i="45"/>
  <c r="CW19" i="45"/>
  <c r="DA19" i="45"/>
  <c r="DE19" i="45"/>
  <c r="DI19" i="45"/>
  <c r="DM19" i="45"/>
  <c r="DQ19" i="45"/>
  <c r="DU19" i="45"/>
  <c r="DY19" i="45"/>
  <c r="EC19" i="45"/>
  <c r="EG19" i="45"/>
  <c r="EK19" i="45"/>
  <c r="EO19" i="45"/>
  <c r="ES19" i="45"/>
  <c r="EW19" i="45"/>
  <c r="FA19" i="45"/>
  <c r="FE19" i="45"/>
  <c r="FI19" i="45"/>
  <c r="FM19" i="45"/>
  <c r="FQ19" i="45"/>
  <c r="FU19" i="45"/>
  <c r="FY19" i="45"/>
  <c r="GG19" i="45"/>
  <c r="GA18" i="45"/>
  <c r="GK18" i="45" l="1"/>
  <c r="GC18" i="45"/>
  <c r="GS18" i="45"/>
  <c r="GW18" i="45"/>
  <c r="D43" i="48"/>
  <c r="L42" i="48"/>
  <c r="GI19" i="45"/>
  <c r="HD18" i="45"/>
  <c r="C20" i="45"/>
  <c r="GQ19" i="45"/>
  <c r="GJ19" i="45"/>
  <c r="GB19" i="45"/>
  <c r="GR19" i="45"/>
  <c r="GK19" i="45" l="1"/>
  <c r="GS19" i="45"/>
  <c r="GU19" i="45"/>
  <c r="GV19" i="45"/>
  <c r="GN18" i="45"/>
  <c r="GZ18" i="45"/>
  <c r="GA19" i="45"/>
  <c r="S42" i="48"/>
  <c r="HL18" i="45"/>
  <c r="GC19" i="45" l="1"/>
  <c r="GW19" i="45"/>
  <c r="GO18" i="45"/>
  <c r="HA18" i="45"/>
  <c r="HE18" i="45"/>
  <c r="HI18" i="45"/>
  <c r="M42" i="48"/>
  <c r="V42" i="48" s="1"/>
  <c r="AA42" i="48" s="1"/>
  <c r="HU18" i="45"/>
  <c r="B45" i="48"/>
  <c r="HM18" i="45"/>
  <c r="HQ18" i="45"/>
  <c r="HX20" i="45"/>
  <c r="HH19" i="45"/>
  <c r="HC19" i="45"/>
  <c r="Q43" i="48"/>
  <c r="HP19" i="45"/>
  <c r="HT19" i="45"/>
  <c r="HD19" i="45"/>
  <c r="O43" i="48"/>
  <c r="HL19" i="45"/>
  <c r="HG19" i="45"/>
  <c r="GZ19" i="45"/>
  <c r="I43" i="48"/>
  <c r="E21" i="45"/>
  <c r="HO19" i="45"/>
  <c r="Q44" i="48"/>
  <c r="GM19" i="45"/>
  <c r="O44" i="48"/>
  <c r="D21" i="45"/>
  <c r="GN19" i="45"/>
  <c r="C21" i="45"/>
  <c r="HS19" i="45"/>
  <c r="I44" i="48"/>
  <c r="HK19" i="45"/>
  <c r="GY19" i="45"/>
  <c r="D45" i="48"/>
  <c r="GO19" i="45" l="1"/>
  <c r="HA19" i="45"/>
  <c r="HE19" i="45"/>
  <c r="HI19" i="45"/>
  <c r="HU19" i="45"/>
  <c r="B46" i="48"/>
  <c r="HM19" i="45"/>
  <c r="HQ19" i="45"/>
  <c r="W20" i="45"/>
  <c r="AA20" i="45"/>
  <c r="EN20" i="45"/>
  <c r="AZ20" i="45"/>
  <c r="EV20" i="45"/>
  <c r="EZ20" i="45"/>
  <c r="DK20" i="45"/>
  <c r="DO20" i="45"/>
  <c r="CI20" i="45"/>
  <c r="DG20" i="45"/>
  <c r="CU20" i="45"/>
  <c r="EF20" i="45"/>
  <c r="AK20" i="45"/>
  <c r="V20" i="45"/>
  <c r="EU20" i="45"/>
  <c r="FW20" i="45"/>
  <c r="BE20" i="45"/>
  <c r="DS20" i="45"/>
  <c r="FP20" i="45"/>
  <c r="CF20" i="45"/>
  <c r="EB20" i="45"/>
  <c r="FO20" i="45"/>
  <c r="FD20" i="45"/>
  <c r="CE20" i="45"/>
  <c r="CQ20" i="45"/>
  <c r="EE20" i="45"/>
  <c r="AQ20" i="45"/>
  <c r="Q20" i="45"/>
  <c r="DD20" i="45"/>
  <c r="EJ20" i="45"/>
  <c r="CY20" i="45"/>
  <c r="AF20" i="45"/>
  <c r="CZ20" i="45"/>
  <c r="BJ20" i="45"/>
  <c r="CM20" i="45"/>
  <c r="AV20" i="45"/>
  <c r="EM20" i="45"/>
  <c r="C45" i="48"/>
  <c r="G20" i="45"/>
  <c r="R20" i="45"/>
  <c r="BW20" i="45"/>
  <c r="AB20" i="45"/>
  <c r="DL20" i="45"/>
  <c r="BT20" i="45"/>
  <c r="CA20" i="45"/>
  <c r="FH20" i="45"/>
  <c r="FC20" i="45"/>
  <c r="EA20" i="45"/>
  <c r="CR20" i="45"/>
  <c r="EQ20" i="45"/>
  <c r="BA20" i="45"/>
  <c r="EY20" i="45"/>
  <c r="DC20" i="45"/>
  <c r="M20" i="45"/>
  <c r="DW20" i="45"/>
  <c r="FT20" i="45"/>
  <c r="DT20" i="45"/>
  <c r="BP20" i="45"/>
  <c r="DH20" i="45"/>
  <c r="DX20" i="45"/>
  <c r="GF20" i="45"/>
  <c r="EI20" i="45"/>
  <c r="CB20" i="45"/>
  <c r="FG20" i="45"/>
  <c r="BK20" i="45"/>
  <c r="S43" i="48"/>
  <c r="L20" i="45"/>
  <c r="FS20" i="45"/>
  <c r="CV20" i="45"/>
  <c r="AL20" i="45"/>
  <c r="BS20" i="45"/>
  <c r="GE20" i="45"/>
  <c r="FL20" i="45"/>
  <c r="BO20" i="45"/>
  <c r="H20" i="45"/>
  <c r="BX20" i="45"/>
  <c r="ER20" i="45"/>
  <c r="AU20" i="45"/>
  <c r="FK20" i="45"/>
  <c r="CJ20" i="45"/>
  <c r="AP20" i="45"/>
  <c r="AG20" i="45"/>
  <c r="DP20" i="45"/>
  <c r="BF20" i="45"/>
  <c r="FX20" i="45"/>
  <c r="CN20" i="45"/>
  <c r="X20" i="45" l="1"/>
  <c r="S20" i="45"/>
  <c r="N20" i="45"/>
  <c r="I20" i="45"/>
  <c r="AC20" i="45"/>
  <c r="AH20" i="45"/>
  <c r="AM20" i="45"/>
  <c r="AR20" i="45"/>
  <c r="AW20" i="45"/>
  <c r="BB20" i="45"/>
  <c r="BG20" i="45"/>
  <c r="BL20" i="45"/>
  <c r="BQ20" i="45"/>
  <c r="BU20" i="45"/>
  <c r="BY20" i="45"/>
  <c r="CC20" i="45"/>
  <c r="CG20" i="45"/>
  <c r="CK20" i="45"/>
  <c r="CO20" i="45"/>
  <c r="CS20" i="45"/>
  <c r="CW20" i="45"/>
  <c r="DA20" i="45"/>
  <c r="DE20" i="45"/>
  <c r="DI20" i="45"/>
  <c r="DM20" i="45"/>
  <c r="DQ20" i="45"/>
  <c r="DU20" i="45"/>
  <c r="DY20" i="45"/>
  <c r="EC20" i="45"/>
  <c r="EG20" i="45"/>
  <c r="EK20" i="45"/>
  <c r="EO20" i="45"/>
  <c r="ES20" i="45"/>
  <c r="EW20" i="45"/>
  <c r="FA20" i="45"/>
  <c r="FE20" i="45"/>
  <c r="FI20" i="45"/>
  <c r="FM20" i="45"/>
  <c r="FQ20" i="45"/>
  <c r="FU20" i="45"/>
  <c r="FY20" i="45"/>
  <c r="GG20" i="45"/>
  <c r="D46" i="48"/>
  <c r="GA20" i="45"/>
  <c r="HT20" i="45"/>
  <c r="GQ20" i="45"/>
  <c r="GI20" i="45"/>
  <c r="R44" i="48"/>
  <c r="R43" i="48"/>
  <c r="GJ20" i="45"/>
  <c r="GR20" i="45"/>
  <c r="GB20" i="45"/>
  <c r="GC20" i="45" l="1"/>
  <c r="GK20" i="45"/>
  <c r="GS20" i="45"/>
  <c r="HL20" i="45"/>
  <c r="L43" i="48"/>
  <c r="GZ20" i="45"/>
  <c r="O45" i="48"/>
  <c r="HG20" i="45"/>
  <c r="GM20" i="45"/>
  <c r="D22" i="45"/>
  <c r="HX21" i="45"/>
  <c r="HS20" i="45"/>
  <c r="C46" i="48"/>
  <c r="HH20" i="45"/>
  <c r="HK20" i="45"/>
  <c r="Q45" i="48"/>
  <c r="GN20" i="45"/>
  <c r="GY20" i="45"/>
  <c r="I45" i="48"/>
  <c r="HP20" i="45"/>
  <c r="E22" i="45"/>
  <c r="HC20" i="45"/>
  <c r="HO20" i="45"/>
  <c r="K44" i="48"/>
  <c r="HD20" i="45"/>
  <c r="S44" i="48"/>
  <c r="L44" i="48"/>
  <c r="GV20" i="45"/>
  <c r="C22" i="45"/>
  <c r="GU20" i="45"/>
  <c r="K43" i="48"/>
  <c r="GW20" i="45" l="1"/>
  <c r="GO20" i="45"/>
  <c r="HA20" i="45"/>
  <c r="HE20" i="45"/>
  <c r="HI20" i="45"/>
  <c r="M43" i="48"/>
  <c r="V43" i="48" s="1"/>
  <c r="AF43" i="48"/>
  <c r="AA43" i="48"/>
  <c r="AK43" i="48"/>
  <c r="M44" i="48"/>
  <c r="V44" i="48" s="1"/>
  <c r="HU20" i="45"/>
  <c r="AF44" i="48"/>
  <c r="AK44" i="48"/>
  <c r="AA44" i="48"/>
  <c r="B47" i="48"/>
  <c r="HM20" i="45"/>
  <c r="HQ20" i="45"/>
  <c r="H21" i="45"/>
  <c r="BE21" i="45"/>
  <c r="GE21" i="45"/>
  <c r="BO21" i="45"/>
  <c r="DO21" i="45"/>
  <c r="FD21" i="45"/>
  <c r="CN21" i="45"/>
  <c r="EJ21" i="45"/>
  <c r="Q46" i="48"/>
  <c r="EA21" i="45"/>
  <c r="FX21" i="45"/>
  <c r="ER21" i="45"/>
  <c r="BP21" i="45"/>
  <c r="CV21" i="45"/>
  <c r="EB21" i="45"/>
  <c r="FT21" i="45"/>
  <c r="W21" i="45"/>
  <c r="EE21" i="45"/>
  <c r="CJ21" i="45"/>
  <c r="K45" i="48"/>
  <c r="AB21" i="45"/>
  <c r="CB21" i="45"/>
  <c r="DT21" i="45"/>
  <c r="DS21" i="45"/>
  <c r="DH21" i="45"/>
  <c r="HC21" i="45"/>
  <c r="AP21" i="45"/>
  <c r="R45" i="48"/>
  <c r="CQ21" i="45"/>
  <c r="G21" i="45"/>
  <c r="FO21" i="45"/>
  <c r="V21" i="45"/>
  <c r="AF21" i="45"/>
  <c r="GQ21" i="45"/>
  <c r="AV21" i="45"/>
  <c r="FS21" i="45"/>
  <c r="FW21" i="45"/>
  <c r="GF21" i="45"/>
  <c r="CA21" i="45"/>
  <c r="EN21" i="45"/>
  <c r="BW21" i="45"/>
  <c r="GI21" i="45"/>
  <c r="DC21" i="45"/>
  <c r="AQ21" i="45"/>
  <c r="CM21" i="45"/>
  <c r="HD21" i="45"/>
  <c r="HX22" i="45"/>
  <c r="AZ21" i="45"/>
  <c r="FK21" i="45"/>
  <c r="DP21" i="45"/>
  <c r="R21" i="45"/>
  <c r="AK21" i="45"/>
  <c r="DD21" i="45"/>
  <c r="BX21" i="45"/>
  <c r="CF21" i="45"/>
  <c r="BA21" i="45"/>
  <c r="O46" i="48"/>
  <c r="FP21" i="45"/>
  <c r="CI21" i="45"/>
  <c r="CU21" i="45"/>
  <c r="EF21" i="45"/>
  <c r="CR21" i="45"/>
  <c r="GR21" i="45"/>
  <c r="Q21" i="45"/>
  <c r="CZ21" i="45"/>
  <c r="EU21" i="45"/>
  <c r="EI21" i="45"/>
  <c r="FL21" i="45"/>
  <c r="FC21" i="45"/>
  <c r="M21" i="45"/>
  <c r="BS21" i="45"/>
  <c r="CY21" i="45"/>
  <c r="EM21" i="45"/>
  <c r="BT21" i="45"/>
  <c r="DK21" i="45"/>
  <c r="BJ21" i="45"/>
  <c r="E23" i="45"/>
  <c r="AG21" i="45"/>
  <c r="DL21" i="45"/>
  <c r="FG21" i="45"/>
  <c r="AU21" i="45"/>
  <c r="L21" i="45"/>
  <c r="CE21" i="45"/>
  <c r="AA21" i="45"/>
  <c r="BK21" i="45"/>
  <c r="DG21" i="45"/>
  <c r="EV21" i="45"/>
  <c r="EZ21" i="45"/>
  <c r="BF21" i="45"/>
  <c r="AL21" i="45"/>
  <c r="FH21" i="45"/>
  <c r="EQ21" i="45"/>
  <c r="EY21" i="45"/>
  <c r="DX21" i="45"/>
  <c r="GZ21" i="45"/>
  <c r="DW21" i="45"/>
  <c r="X21" i="45" l="1"/>
  <c r="S21" i="45"/>
  <c r="N21" i="45"/>
  <c r="I21" i="45"/>
  <c r="AC21" i="45"/>
  <c r="AH21" i="45"/>
  <c r="AM21" i="45"/>
  <c r="AR21" i="45"/>
  <c r="AW21" i="45"/>
  <c r="BB21" i="45"/>
  <c r="BG21" i="45"/>
  <c r="BL21" i="45"/>
  <c r="BQ21" i="45"/>
  <c r="BU21" i="45"/>
  <c r="BY21" i="45"/>
  <c r="CC21" i="45"/>
  <c r="CG21" i="45"/>
  <c r="CK21" i="45"/>
  <c r="CO21" i="45"/>
  <c r="CS21" i="45"/>
  <c r="CW21" i="45"/>
  <c r="DA21" i="45"/>
  <c r="DE21" i="45"/>
  <c r="DI21" i="45"/>
  <c r="DM21" i="45"/>
  <c r="DQ21" i="45"/>
  <c r="DU21" i="45"/>
  <c r="DY21" i="45"/>
  <c r="EC21" i="45"/>
  <c r="EG21" i="45"/>
  <c r="EK21" i="45"/>
  <c r="EO21" i="45"/>
  <c r="ES21" i="45"/>
  <c r="EW21" i="45"/>
  <c r="FA21" i="45"/>
  <c r="FE21" i="45"/>
  <c r="FI21" i="45"/>
  <c r="FM21" i="45"/>
  <c r="FQ21" i="45"/>
  <c r="FU21" i="45"/>
  <c r="FY21" i="45"/>
  <c r="GG21" i="45"/>
  <c r="H22" i="45"/>
  <c r="D23" i="45"/>
  <c r="DC22" i="45"/>
  <c r="CZ22" i="45"/>
  <c r="CQ22" i="45"/>
  <c r="EM22" i="45"/>
  <c r="BX22" i="45"/>
  <c r="AF22" i="45"/>
  <c r="FH22" i="45"/>
  <c r="CB22" i="45"/>
  <c r="GU21" i="45"/>
  <c r="FK22" i="45"/>
  <c r="CM22" i="45"/>
  <c r="GF22" i="45"/>
  <c r="EE22" i="45"/>
  <c r="EI22" i="45"/>
  <c r="FP22" i="45"/>
  <c r="CV22" i="45"/>
  <c r="G22" i="45"/>
  <c r="DH22" i="45"/>
  <c r="CF22" i="45"/>
  <c r="EA22" i="45"/>
  <c r="EN22" i="45"/>
  <c r="EB22" i="45"/>
  <c r="BO22" i="45"/>
  <c r="CJ22" i="45"/>
  <c r="AQ22" i="45"/>
  <c r="DW22" i="45"/>
  <c r="GJ21" i="45"/>
  <c r="FX22" i="45"/>
  <c r="FD22" i="45"/>
  <c r="M22" i="45"/>
  <c r="AU22" i="45"/>
  <c r="W22" i="45"/>
  <c r="CA22" i="45"/>
  <c r="DO22" i="45"/>
  <c r="HH21" i="45"/>
  <c r="CR22" i="45"/>
  <c r="DT22" i="45"/>
  <c r="AB22" i="45"/>
  <c r="AL22" i="45"/>
  <c r="AK22" i="45"/>
  <c r="HK21" i="45"/>
  <c r="BW22" i="45"/>
  <c r="BE22" i="45"/>
  <c r="BF22" i="45"/>
  <c r="HO21" i="45"/>
  <c r="EZ22" i="45"/>
  <c r="AZ22" i="45"/>
  <c r="V22" i="45"/>
  <c r="DL22" i="45"/>
  <c r="D47" i="48"/>
  <c r="GY21" i="45"/>
  <c r="EV22" i="45"/>
  <c r="I46" i="48"/>
  <c r="AV22" i="45"/>
  <c r="FW22" i="45"/>
  <c r="CY22" i="45"/>
  <c r="FC22" i="45"/>
  <c r="AG22" i="45"/>
  <c r="FS22" i="45"/>
  <c r="BS22" i="45"/>
  <c r="Q22" i="45"/>
  <c r="GA21" i="45"/>
  <c r="CU22" i="45"/>
  <c r="HG21" i="45"/>
  <c r="L45" i="48"/>
  <c r="BP22" i="45"/>
  <c r="CN22" i="45"/>
  <c r="GE22" i="45"/>
  <c r="EF22" i="45"/>
  <c r="R22" i="45"/>
  <c r="DS22" i="45"/>
  <c r="EJ22" i="45"/>
  <c r="EQ22" i="45"/>
  <c r="AP22" i="45"/>
  <c r="DK22" i="45"/>
  <c r="FO22" i="45"/>
  <c r="FL22" i="45"/>
  <c r="EU22" i="45"/>
  <c r="AA22" i="45"/>
  <c r="CE22" i="45"/>
  <c r="BK22" i="45"/>
  <c r="L22" i="45"/>
  <c r="CI22" i="45"/>
  <c r="EY22" i="45"/>
  <c r="DP22" i="45"/>
  <c r="FG22" i="45"/>
  <c r="BJ22" i="45"/>
  <c r="DG22" i="45"/>
  <c r="DX22" i="45"/>
  <c r="DD22" i="45"/>
  <c r="FT22" i="45"/>
  <c r="ER22" i="45"/>
  <c r="BA22" i="45"/>
  <c r="GV21" i="45"/>
  <c r="BT22" i="45"/>
  <c r="X22" i="45" l="1"/>
  <c r="S22" i="45"/>
  <c r="N22" i="45"/>
  <c r="I22" i="45"/>
  <c r="AC22" i="45"/>
  <c r="AH22" i="45"/>
  <c r="AM22" i="45"/>
  <c r="AR22" i="45"/>
  <c r="AW22" i="45"/>
  <c r="BB22" i="45"/>
  <c r="BG22" i="45"/>
  <c r="BL22" i="45"/>
  <c r="BQ22" i="45"/>
  <c r="BU22" i="45"/>
  <c r="BY22" i="45"/>
  <c r="CC22" i="45"/>
  <c r="CG22" i="45"/>
  <c r="CK22" i="45"/>
  <c r="CO22" i="45"/>
  <c r="CS22" i="45"/>
  <c r="CW22" i="45"/>
  <c r="DA22" i="45"/>
  <c r="DE22" i="45"/>
  <c r="DI22" i="45"/>
  <c r="DM22" i="45"/>
  <c r="DQ22" i="45"/>
  <c r="DU22" i="45"/>
  <c r="DY22" i="45"/>
  <c r="EC22" i="45"/>
  <c r="EG22" i="45"/>
  <c r="EK22" i="45"/>
  <c r="EO22" i="45"/>
  <c r="ES22" i="45"/>
  <c r="EW22" i="45"/>
  <c r="FA22" i="45"/>
  <c r="FE22" i="45"/>
  <c r="FI22" i="45"/>
  <c r="FM22" i="45"/>
  <c r="FQ22" i="45"/>
  <c r="FU22" i="45"/>
  <c r="FY22" i="45"/>
  <c r="GG22" i="45"/>
  <c r="GB21" i="45"/>
  <c r="GC21" i="45" l="1"/>
  <c r="GK21" i="45"/>
  <c r="GS21" i="45"/>
  <c r="GW21" i="45"/>
  <c r="GI22" i="45"/>
  <c r="GJ22" i="45"/>
  <c r="GA22" i="45"/>
  <c r="GU22" i="45"/>
  <c r="GB22" i="45"/>
  <c r="GQ22" i="45"/>
  <c r="GR22" i="45"/>
  <c r="GK22" i="45" l="1"/>
  <c r="GC22" i="45"/>
  <c r="GS22" i="45"/>
  <c r="HL21" i="45"/>
  <c r="S45" i="48"/>
  <c r="C23" i="45"/>
  <c r="GM21" i="45"/>
  <c r="GN21" i="45"/>
  <c r="HS21" i="45"/>
  <c r="HT21" i="45"/>
  <c r="HP21" i="45"/>
  <c r="GV22" i="45"/>
  <c r="GW22" i="45" l="1"/>
  <c r="GO21" i="45"/>
  <c r="HA21" i="45"/>
  <c r="HE21" i="45"/>
  <c r="HI21" i="45"/>
  <c r="M45" i="48"/>
  <c r="V45" i="48" s="1"/>
  <c r="AK45" i="48"/>
  <c r="AF45" i="48"/>
  <c r="AA45" i="48"/>
  <c r="HU21" i="45"/>
  <c r="B48" i="48"/>
  <c r="HQ21" i="45"/>
  <c r="HM21" i="45"/>
  <c r="HT22" i="45"/>
  <c r="O47" i="48"/>
  <c r="Q47" i="48"/>
  <c r="GN22" i="45"/>
  <c r="HL22" i="45"/>
  <c r="HD22" i="45"/>
  <c r="D24" i="45"/>
  <c r="HX23" i="45"/>
  <c r="L46" i="48"/>
  <c r="HS22" i="45"/>
  <c r="I47" i="48"/>
  <c r="E24" i="45"/>
  <c r="C48" i="48"/>
  <c r="GZ22" i="45"/>
  <c r="S46" i="48"/>
  <c r="HU22" i="45" l="1"/>
  <c r="B49" i="48"/>
  <c r="H23" i="45"/>
  <c r="EB23" i="45"/>
  <c r="DW23" i="45"/>
  <c r="EV23" i="45"/>
  <c r="CI23" i="45"/>
  <c r="GR23" i="45"/>
  <c r="DK23" i="45"/>
  <c r="BK23" i="45"/>
  <c r="FT23" i="45"/>
  <c r="DO23" i="45"/>
  <c r="FG23" i="45"/>
  <c r="DL23" i="45"/>
  <c r="CJ23" i="45"/>
  <c r="FX23" i="45"/>
  <c r="G23" i="45"/>
  <c r="FW23" i="45"/>
  <c r="AK23" i="45"/>
  <c r="AU23" i="45"/>
  <c r="FH23" i="45"/>
  <c r="CQ23" i="45"/>
  <c r="EU23" i="45"/>
  <c r="DX23" i="45"/>
  <c r="FL23" i="45"/>
  <c r="FS23" i="45"/>
  <c r="CV23" i="45"/>
  <c r="GF23" i="45"/>
  <c r="EY23" i="45"/>
  <c r="BO23" i="45"/>
  <c r="BE23" i="45"/>
  <c r="W23" i="45"/>
  <c r="AL23" i="45"/>
  <c r="BP23" i="45"/>
  <c r="FP23" i="45"/>
  <c r="CR23" i="45"/>
  <c r="FO23" i="45"/>
  <c r="C24" i="45"/>
  <c r="DD23" i="45"/>
  <c r="DT23" i="45"/>
  <c r="EJ23" i="45"/>
  <c r="CE23" i="45"/>
  <c r="FC23" i="45"/>
  <c r="CZ23" i="45"/>
  <c r="M23" i="45"/>
  <c r="V23" i="45"/>
  <c r="EF23" i="45"/>
  <c r="CY23" i="45"/>
  <c r="EE23" i="45"/>
  <c r="AB23" i="45"/>
  <c r="BX23" i="45"/>
  <c r="BJ23" i="45"/>
  <c r="CM23" i="45"/>
  <c r="AF23" i="45"/>
  <c r="AV23" i="45"/>
  <c r="AA23" i="45"/>
  <c r="BF23" i="45"/>
  <c r="R23" i="45"/>
  <c r="AZ23" i="45"/>
  <c r="DP23" i="45"/>
  <c r="BS23" i="45"/>
  <c r="DG23" i="45"/>
  <c r="CF23" i="45"/>
  <c r="DS23" i="45"/>
  <c r="Q23" i="45"/>
  <c r="EI23" i="45"/>
  <c r="CA23" i="45"/>
  <c r="CN23" i="45"/>
  <c r="BW23" i="45"/>
  <c r="AG23" i="45"/>
  <c r="DC23" i="45"/>
  <c r="GE23" i="45"/>
  <c r="CB23" i="45"/>
  <c r="DH23" i="45"/>
  <c r="EA23" i="45"/>
  <c r="L23" i="45"/>
  <c r="FK23" i="45"/>
  <c r="EM23" i="45"/>
  <c r="EQ23" i="45"/>
  <c r="AP23" i="45"/>
  <c r="EZ23" i="45"/>
  <c r="CU23" i="45"/>
  <c r="BA23" i="45"/>
  <c r="BT23" i="45"/>
  <c r="ER23" i="45"/>
  <c r="FD23" i="45"/>
  <c r="EN23" i="45"/>
  <c r="AQ23" i="45"/>
  <c r="X23" i="45" l="1"/>
  <c r="S23" i="45"/>
  <c r="N23" i="45"/>
  <c r="I23" i="45"/>
  <c r="AC23" i="45"/>
  <c r="AH23" i="45"/>
  <c r="AM23" i="45"/>
  <c r="AR23" i="45"/>
  <c r="AW23" i="45"/>
  <c r="BB23" i="45"/>
  <c r="BG23" i="45"/>
  <c r="BL23" i="45"/>
  <c r="BQ23" i="45"/>
  <c r="BU23" i="45"/>
  <c r="BY23" i="45"/>
  <c r="CC23" i="45"/>
  <c r="CG23" i="45"/>
  <c r="CK23" i="45"/>
  <c r="CO23" i="45"/>
  <c r="CS23" i="45"/>
  <c r="CW23" i="45"/>
  <c r="DA23" i="45"/>
  <c r="DE23" i="45"/>
  <c r="DI23" i="45"/>
  <c r="DM23" i="45"/>
  <c r="DQ23" i="45"/>
  <c r="DU23" i="45"/>
  <c r="DY23" i="45"/>
  <c r="EC23" i="45"/>
  <c r="EG23" i="45"/>
  <c r="EK23" i="45"/>
  <c r="EO23" i="45"/>
  <c r="ES23" i="45"/>
  <c r="EW23" i="45"/>
  <c r="FA23" i="45"/>
  <c r="FE23" i="45"/>
  <c r="FI23" i="45"/>
  <c r="FM23" i="45"/>
  <c r="FQ23" i="45"/>
  <c r="FU23" i="45"/>
  <c r="FY23" i="45"/>
  <c r="GG23" i="45"/>
  <c r="C47" i="48"/>
  <c r="HO22" i="45"/>
  <c r="HG22" i="45"/>
  <c r="GM23" i="45"/>
  <c r="D48" i="48"/>
  <c r="HX24" i="45"/>
  <c r="GQ23" i="45"/>
  <c r="GI23" i="45"/>
  <c r="R47" i="48"/>
  <c r="GA23" i="45"/>
  <c r="GY22" i="45"/>
  <c r="GJ23" i="45"/>
  <c r="HO23" i="45"/>
  <c r="K46" i="48"/>
  <c r="GU23" i="45"/>
  <c r="C49" i="48"/>
  <c r="HH22" i="45"/>
  <c r="HK22" i="45"/>
  <c r="HP22" i="45"/>
  <c r="HK23" i="45"/>
  <c r="R46" i="48"/>
  <c r="HH23" i="45"/>
  <c r="HC22" i="45"/>
  <c r="GB23" i="45"/>
  <c r="GY23" i="45"/>
  <c r="GV23" i="45"/>
  <c r="GK23" i="45" l="1"/>
  <c r="GC23" i="45"/>
  <c r="GS23" i="45"/>
  <c r="M24" i="45"/>
  <c r="FS24" i="45"/>
  <c r="BP24" i="45"/>
  <c r="AF24" i="45"/>
  <c r="CN24" i="45"/>
  <c r="BF24" i="45"/>
  <c r="EI24" i="45"/>
  <c r="DC24" i="45"/>
  <c r="FL24" i="45"/>
  <c r="FK24" i="45"/>
  <c r="EF24" i="45"/>
  <c r="CI24" i="45"/>
  <c r="AP24" i="45"/>
  <c r="H24" i="45"/>
  <c r="AU24" i="45"/>
  <c r="CU24" i="45"/>
  <c r="AL24" i="45"/>
  <c r="CQ24" i="45"/>
  <c r="AK24" i="45"/>
  <c r="AG24" i="45"/>
  <c r="BX24" i="45"/>
  <c r="DG24" i="45"/>
  <c r="EU24" i="45"/>
  <c r="BE24" i="45"/>
  <c r="CM24" i="45"/>
  <c r="GA24" i="45"/>
  <c r="FD24" i="45"/>
  <c r="DH24" i="45"/>
  <c r="G24" i="45"/>
  <c r="FG24" i="45"/>
  <c r="FO24" i="45"/>
  <c r="EM24" i="45"/>
  <c r="CZ24" i="45"/>
  <c r="AZ24" i="45"/>
  <c r="DO24" i="45"/>
  <c r="CR24" i="45"/>
  <c r="CJ24" i="45"/>
  <c r="EZ24" i="45"/>
  <c r="EJ24" i="45"/>
  <c r="CB24" i="45"/>
  <c r="GF24" i="45"/>
  <c r="W24" i="45"/>
  <c r="FT24" i="45"/>
  <c r="FW24" i="45"/>
  <c r="EE24" i="45"/>
  <c r="BK24" i="45"/>
  <c r="AA24" i="45"/>
  <c r="GE24" i="45"/>
  <c r="EN24" i="45"/>
  <c r="BO24" i="45"/>
  <c r="L24" i="45"/>
  <c r="EB24" i="45"/>
  <c r="V24" i="45"/>
  <c r="CF24" i="45"/>
  <c r="FP24" i="45"/>
  <c r="DK24" i="45"/>
  <c r="EA24" i="45"/>
  <c r="FX24" i="45"/>
  <c r="EY24" i="45"/>
  <c r="GM22" i="45"/>
  <c r="DX24" i="45"/>
  <c r="AV24" i="45"/>
  <c r="BS24" i="45"/>
  <c r="DW24" i="45"/>
  <c r="Q24" i="45"/>
  <c r="BJ24" i="45"/>
  <c r="BA24" i="45"/>
  <c r="ER24" i="45"/>
  <c r="CY24" i="45"/>
  <c r="EQ24" i="45"/>
  <c r="CE24" i="45"/>
  <c r="BT24" i="45"/>
  <c r="DP24" i="45"/>
  <c r="EV24" i="45"/>
  <c r="R24" i="45"/>
  <c r="BW24" i="45"/>
  <c r="DS24" i="45"/>
  <c r="DD24" i="45"/>
  <c r="FC24" i="45"/>
  <c r="GI24" i="45"/>
  <c r="AB24" i="45"/>
  <c r="DT24" i="45"/>
  <c r="DL24" i="45"/>
  <c r="FH24" i="45"/>
  <c r="AQ24" i="45"/>
  <c r="CV24" i="45"/>
  <c r="CA24" i="45"/>
  <c r="X24" i="45" l="1"/>
  <c r="S24" i="45"/>
  <c r="N24" i="45"/>
  <c r="I24" i="45"/>
  <c r="AC24" i="45"/>
  <c r="AH24" i="45"/>
  <c r="AM24" i="45"/>
  <c r="AR24" i="45"/>
  <c r="AW24" i="45"/>
  <c r="BB24" i="45"/>
  <c r="BG24" i="45"/>
  <c r="BL24" i="45"/>
  <c r="BQ24" i="45"/>
  <c r="BU24" i="45"/>
  <c r="BY24" i="45"/>
  <c r="CC24" i="45"/>
  <c r="CG24" i="45"/>
  <c r="CK24" i="45"/>
  <c r="CO24" i="45"/>
  <c r="CS24" i="45"/>
  <c r="CW24" i="45"/>
  <c r="DA24" i="45"/>
  <c r="DE24" i="45"/>
  <c r="DI24" i="45"/>
  <c r="DM24" i="45"/>
  <c r="DQ24" i="45"/>
  <c r="DU24" i="45"/>
  <c r="DY24" i="45"/>
  <c r="EC24" i="45"/>
  <c r="EG24" i="45"/>
  <c r="EK24" i="45"/>
  <c r="EO24" i="45"/>
  <c r="ES24" i="45"/>
  <c r="EW24" i="45"/>
  <c r="FA24" i="45"/>
  <c r="FE24" i="45"/>
  <c r="FI24" i="45"/>
  <c r="FM24" i="45"/>
  <c r="FQ24" i="45"/>
  <c r="FU24" i="45"/>
  <c r="FY24" i="45"/>
  <c r="GG24" i="45"/>
  <c r="K47" i="48"/>
  <c r="GB24" i="45"/>
  <c r="GQ24" i="45"/>
  <c r="GJ24" i="45"/>
  <c r="GR24" i="45"/>
  <c r="GK24" i="45" l="1"/>
  <c r="GC24" i="45"/>
  <c r="GS24" i="45"/>
  <c r="M46" i="48"/>
  <c r="V46" i="48" s="1"/>
  <c r="GO22" i="45"/>
  <c r="HE22" i="45"/>
  <c r="HA22" i="45"/>
  <c r="HM22" i="45"/>
  <c r="AK46" i="48"/>
  <c r="AA46" i="48"/>
  <c r="AF46" i="48"/>
  <c r="HQ22" i="45"/>
  <c r="HI22" i="45"/>
  <c r="GW23" i="45"/>
  <c r="HT23" i="45"/>
  <c r="HG23" i="45"/>
  <c r="GV24" i="45"/>
  <c r="GN23" i="45"/>
  <c r="GZ23" i="45"/>
  <c r="L47" i="48"/>
  <c r="HC23" i="45"/>
  <c r="HP23" i="45"/>
  <c r="HD23" i="45"/>
  <c r="HL23" i="45"/>
  <c r="Q48" i="48"/>
  <c r="D49" i="48"/>
  <c r="S47" i="48"/>
  <c r="O48" i="48"/>
  <c r="GU24" i="45"/>
  <c r="I48" i="48"/>
  <c r="HS23" i="45"/>
  <c r="GW24" i="45" l="1"/>
  <c r="GO23" i="45"/>
  <c r="HA23" i="45"/>
  <c r="HE23" i="45"/>
  <c r="HI23" i="45"/>
  <c r="M47" i="48"/>
  <c r="V47" i="48" s="1"/>
  <c r="HU23" i="45"/>
  <c r="AF47" i="48"/>
  <c r="AK47" i="48"/>
  <c r="AA47" i="48"/>
  <c r="HM23" i="45"/>
  <c r="HQ23" i="45"/>
  <c r="L48" i="48"/>
  <c r="D25" i="45"/>
  <c r="HD24" i="45"/>
  <c r="GY24" i="45"/>
  <c r="Q49" i="48"/>
  <c r="GM24" i="45"/>
  <c r="C25" i="45"/>
  <c r="HS24" i="45"/>
  <c r="E25" i="45"/>
  <c r="HC24" i="45"/>
  <c r="GZ24" i="45"/>
  <c r="K48" i="48"/>
  <c r="HH24" i="45"/>
  <c r="O49" i="48"/>
  <c r="R48" i="48"/>
  <c r="HL24" i="45"/>
  <c r="S48" i="48"/>
  <c r="I49" i="48"/>
  <c r="HO24" i="45"/>
  <c r="HT24" i="45"/>
  <c r="HK24" i="45"/>
  <c r="HG24" i="45"/>
  <c r="GN24" i="45"/>
  <c r="HP24" i="45"/>
  <c r="GO24" i="45" l="1"/>
  <c r="HA24" i="45"/>
  <c r="HE24" i="45"/>
  <c r="HI24" i="45"/>
  <c r="M48" i="48"/>
  <c r="V48" i="48" s="1"/>
  <c r="HU24" i="45"/>
  <c r="AK48" i="48"/>
  <c r="AA48" i="48"/>
  <c r="AF48" i="48"/>
  <c r="HQ24" i="45"/>
  <c r="HM24" i="45"/>
  <c r="K49" i="48"/>
  <c r="L49" i="48"/>
  <c r="HX25" i="45"/>
  <c r="R49" i="48"/>
  <c r="S49" i="48"/>
  <c r="D26" i="45"/>
  <c r="M49" i="48" l="1"/>
  <c r="V49" i="48" s="1"/>
  <c r="AK49" i="48"/>
  <c r="AA49" i="48"/>
  <c r="AF49" i="48"/>
  <c r="L25" i="45"/>
  <c r="CA25" i="45"/>
  <c r="ER25" i="45"/>
  <c r="EE25" i="45"/>
  <c r="AG25" i="45"/>
  <c r="AF25" i="45"/>
  <c r="EQ25" i="45"/>
  <c r="BK25" i="45"/>
  <c r="CJ25" i="45"/>
  <c r="EY25" i="45"/>
  <c r="FH25" i="45"/>
  <c r="HL25" i="45"/>
  <c r="BE25" i="45"/>
  <c r="FC25" i="45"/>
  <c r="FX25" i="45"/>
  <c r="M25" i="45"/>
  <c r="HP25" i="45"/>
  <c r="BJ25" i="45"/>
  <c r="HD25" i="45"/>
  <c r="BW25" i="45"/>
  <c r="AQ25" i="45"/>
  <c r="AP25" i="45"/>
  <c r="CY25" i="45"/>
  <c r="DT25" i="45"/>
  <c r="DD25" i="45"/>
  <c r="BA25" i="45"/>
  <c r="FO25" i="45"/>
  <c r="BT25" i="45"/>
  <c r="CV25" i="45"/>
  <c r="CN25" i="45"/>
  <c r="G25" i="45"/>
  <c r="FK25" i="45"/>
  <c r="GJ25" i="45"/>
  <c r="CQ25" i="45"/>
  <c r="AK25" i="45"/>
  <c r="DL25" i="45"/>
  <c r="FL25" i="45"/>
  <c r="FD25" i="45"/>
  <c r="C26" i="45"/>
  <c r="CZ25" i="45"/>
  <c r="DO25" i="45"/>
  <c r="DS25" i="45"/>
  <c r="EJ25" i="45"/>
  <c r="HH25" i="45"/>
  <c r="H25" i="45"/>
  <c r="DX25" i="45"/>
  <c r="EZ25" i="45"/>
  <c r="EF25" i="45"/>
  <c r="FT25" i="45"/>
  <c r="CM25" i="45"/>
  <c r="DG25" i="45"/>
  <c r="DC25" i="45"/>
  <c r="V25" i="45"/>
  <c r="EI25" i="45"/>
  <c r="EA25" i="45"/>
  <c r="EU25" i="45"/>
  <c r="AV25" i="45"/>
  <c r="HC25" i="45"/>
  <c r="GI25" i="45"/>
  <c r="GZ25" i="45"/>
  <c r="DW25" i="45"/>
  <c r="CI25" i="45"/>
  <c r="GQ25" i="45"/>
  <c r="GU25" i="45"/>
  <c r="EM25" i="45"/>
  <c r="CU25" i="45"/>
  <c r="BP25" i="45"/>
  <c r="W25" i="45"/>
  <c r="AZ25" i="45"/>
  <c r="DH25" i="45"/>
  <c r="BF25" i="45"/>
  <c r="CF25" i="45"/>
  <c r="CE25" i="45"/>
  <c r="AU25" i="45"/>
  <c r="DK25" i="45"/>
  <c r="GR25" i="45"/>
  <c r="AB25" i="45"/>
  <c r="AL25" i="45"/>
  <c r="HX26" i="45"/>
  <c r="FP25" i="45"/>
  <c r="FW25" i="45"/>
  <c r="E26" i="45"/>
  <c r="R25" i="45"/>
  <c r="EV25" i="45"/>
  <c r="DP25" i="45"/>
  <c r="BX25" i="45"/>
  <c r="BS25" i="45"/>
  <c r="EB25" i="45"/>
  <c r="FS25" i="45"/>
  <c r="CR25" i="45"/>
  <c r="Q25" i="45"/>
  <c r="GV25" i="45"/>
  <c r="FG25" i="45"/>
  <c r="E27" i="45"/>
  <c r="BO25" i="45"/>
  <c r="HT25" i="45"/>
  <c r="GE25" i="45"/>
  <c r="AA25" i="45"/>
  <c r="CB25" i="45"/>
  <c r="GF25" i="45"/>
  <c r="HO25" i="45"/>
  <c r="EN25" i="45"/>
  <c r="X25" i="45" l="1"/>
  <c r="S25" i="45"/>
  <c r="N25" i="45"/>
  <c r="I25" i="45"/>
  <c r="AC25" i="45"/>
  <c r="AH25" i="45"/>
  <c r="AM25" i="45"/>
  <c r="AR25" i="45"/>
  <c r="AW25" i="45"/>
  <c r="BB25" i="45"/>
  <c r="BG25" i="45"/>
  <c r="BL25" i="45"/>
  <c r="BQ25" i="45"/>
  <c r="BU25" i="45"/>
  <c r="BY25" i="45"/>
  <c r="CC25" i="45"/>
  <c r="CG25" i="45"/>
  <c r="CK25" i="45"/>
  <c r="CO25" i="45"/>
  <c r="CS25" i="45"/>
  <c r="CW25" i="45"/>
  <c r="DA25" i="45"/>
  <c r="DE25" i="45"/>
  <c r="DI25" i="45"/>
  <c r="DM25" i="45"/>
  <c r="DQ25" i="45"/>
  <c r="DU25" i="45"/>
  <c r="DY25" i="45"/>
  <c r="EC25" i="45"/>
  <c r="EG25" i="45"/>
  <c r="EK25" i="45"/>
  <c r="EO25" i="45"/>
  <c r="ES25" i="45"/>
  <c r="EW25" i="45"/>
  <c r="FA25" i="45"/>
  <c r="FE25" i="45"/>
  <c r="FI25" i="45"/>
  <c r="FM25" i="45"/>
  <c r="FQ25" i="45"/>
  <c r="FU25" i="45"/>
  <c r="FY25" i="45"/>
  <c r="GG25" i="45"/>
  <c r="G26" i="45"/>
  <c r="BK26" i="45"/>
  <c r="EV26" i="45"/>
  <c r="CQ26" i="45"/>
  <c r="FK26" i="45"/>
  <c r="DC26" i="45"/>
  <c r="CZ26" i="45"/>
  <c r="AK26" i="45"/>
  <c r="EJ26" i="45"/>
  <c r="C27" i="45"/>
  <c r="CY26" i="45"/>
  <c r="DD26" i="45"/>
  <c r="FH26" i="45"/>
  <c r="H26" i="45"/>
  <c r="AP26" i="45"/>
  <c r="DW26" i="45"/>
  <c r="DS26" i="45"/>
  <c r="FP26" i="45"/>
  <c r="DL26" i="45"/>
  <c r="GA25" i="45"/>
  <c r="BA26" i="45"/>
  <c r="ER26" i="45"/>
  <c r="DH26" i="45"/>
  <c r="AL26" i="45"/>
  <c r="AG26" i="45"/>
  <c r="CE26" i="45"/>
  <c r="V26" i="45"/>
  <c r="CM26" i="45"/>
  <c r="BS26" i="45"/>
  <c r="EI26" i="45"/>
  <c r="DG26" i="45"/>
  <c r="CN26" i="45"/>
  <c r="HS25" i="45"/>
  <c r="BJ26" i="45"/>
  <c r="AV26" i="45"/>
  <c r="FC26" i="45"/>
  <c r="AU26" i="45"/>
  <c r="FO26" i="45"/>
  <c r="AB26" i="45"/>
  <c r="FT26" i="45"/>
  <c r="CB26" i="45"/>
  <c r="W26" i="45"/>
  <c r="FW26" i="45"/>
  <c r="EN26" i="45"/>
  <c r="CV26" i="45"/>
  <c r="EZ26" i="45"/>
  <c r="FS26" i="45"/>
  <c r="EB26" i="45"/>
  <c r="GE26" i="45"/>
  <c r="M26" i="45"/>
  <c r="FX26" i="45"/>
  <c r="Q26" i="45"/>
  <c r="FD26" i="45"/>
  <c r="AF26" i="45"/>
  <c r="DK26" i="45"/>
  <c r="BE26" i="45"/>
  <c r="BT26" i="45"/>
  <c r="AZ26" i="45"/>
  <c r="EA26" i="45"/>
  <c r="AA26" i="45"/>
  <c r="EQ26" i="45"/>
  <c r="BW26" i="45"/>
  <c r="CA26" i="45"/>
  <c r="R26" i="45"/>
  <c r="BP26" i="45"/>
  <c r="EE26" i="45"/>
  <c r="CJ26" i="45"/>
  <c r="AQ26" i="45"/>
  <c r="DX26" i="45"/>
  <c r="DO26" i="45"/>
  <c r="CF26" i="45"/>
  <c r="DT26" i="45"/>
  <c r="FG26" i="45"/>
  <c r="BX26" i="45"/>
  <c r="CU26" i="45"/>
  <c r="L26" i="45"/>
  <c r="EY26" i="45"/>
  <c r="EF26" i="45"/>
  <c r="FL26" i="45"/>
  <c r="DP26" i="45"/>
  <c r="BO26" i="45"/>
  <c r="EU26" i="45"/>
  <c r="EM26" i="45"/>
  <c r="CI26" i="45"/>
  <c r="BF26" i="45"/>
  <c r="GF26" i="45"/>
  <c r="GY25" i="45"/>
  <c r="CR26" i="45"/>
  <c r="X26" i="45" l="1"/>
  <c r="S26" i="45"/>
  <c r="N26" i="45"/>
  <c r="I26" i="45"/>
  <c r="AC26" i="45"/>
  <c r="AH26" i="45"/>
  <c r="AM26" i="45"/>
  <c r="AR26" i="45"/>
  <c r="AW26" i="45"/>
  <c r="BB26" i="45"/>
  <c r="BG26" i="45"/>
  <c r="BL26" i="45"/>
  <c r="BQ26" i="45"/>
  <c r="BU26" i="45"/>
  <c r="BY26" i="45"/>
  <c r="CC26" i="45"/>
  <c r="CG26" i="45"/>
  <c r="CK26" i="45"/>
  <c r="CO26" i="45"/>
  <c r="CS26" i="45"/>
  <c r="CW26" i="45"/>
  <c r="DA26" i="45"/>
  <c r="DE26" i="45"/>
  <c r="DI26" i="45"/>
  <c r="DM26" i="45"/>
  <c r="DQ26" i="45"/>
  <c r="DU26" i="45"/>
  <c r="DY26" i="45"/>
  <c r="EC26" i="45"/>
  <c r="EG26" i="45"/>
  <c r="EK26" i="45"/>
  <c r="EO26" i="45"/>
  <c r="ES26" i="45"/>
  <c r="EW26" i="45"/>
  <c r="FA26" i="45"/>
  <c r="FE26" i="45"/>
  <c r="FI26" i="45"/>
  <c r="FM26" i="45"/>
  <c r="FQ26" i="45"/>
  <c r="FU26" i="45"/>
  <c r="FY26" i="45"/>
  <c r="GG26" i="45"/>
  <c r="GB25" i="45"/>
  <c r="HG25" i="45"/>
  <c r="HK25" i="45"/>
  <c r="GC25" i="45" l="1"/>
  <c r="GK25" i="45"/>
  <c r="GS25" i="45"/>
  <c r="GW25" i="45"/>
  <c r="GR26" i="45"/>
  <c r="GI26" i="45"/>
  <c r="GB26" i="45"/>
  <c r="GA26" i="45"/>
  <c r="GV26" i="45"/>
  <c r="GQ26" i="45"/>
  <c r="GJ26" i="45"/>
  <c r="GK26" i="45" l="1"/>
  <c r="GC26" i="45"/>
  <c r="GS26" i="45"/>
  <c r="GM25" i="45"/>
  <c r="GU26" i="45"/>
  <c r="GW26" i="45" l="1"/>
  <c r="D27" i="45"/>
  <c r="GN25" i="45"/>
  <c r="GO25" i="45" l="1"/>
  <c r="HA25" i="45"/>
  <c r="HE25" i="45"/>
  <c r="HI25" i="45"/>
  <c r="HU25" i="45"/>
  <c r="HQ25" i="45"/>
  <c r="HM25" i="45"/>
  <c r="GZ26" i="45"/>
  <c r="E28" i="45"/>
  <c r="C28" i="45"/>
  <c r="HG26" i="45"/>
  <c r="GM26" i="45"/>
  <c r="GY26" i="45"/>
  <c r="HS26" i="45"/>
  <c r="HO26" i="45"/>
  <c r="HL26" i="45"/>
  <c r="D28" i="45"/>
  <c r="HD26" i="45"/>
  <c r="HX27" i="45"/>
  <c r="HC26" i="45"/>
  <c r="HT26" i="45"/>
  <c r="HH26" i="45"/>
  <c r="HP26" i="45"/>
  <c r="HA26" i="45" l="1"/>
  <c r="HE26" i="45"/>
  <c r="HI26" i="45"/>
  <c r="HU26" i="45"/>
  <c r="HQ26" i="45"/>
  <c r="Q27" i="45"/>
  <c r="CA27" i="45"/>
  <c r="DC27" i="45"/>
  <c r="CZ27" i="45"/>
  <c r="EM27" i="45"/>
  <c r="EV27" i="45"/>
  <c r="GY27" i="45"/>
  <c r="AF27" i="45"/>
  <c r="FG27" i="45"/>
  <c r="EI27" i="45"/>
  <c r="CV27" i="45"/>
  <c r="CR27" i="45"/>
  <c r="CU27" i="45"/>
  <c r="BW27" i="45"/>
  <c r="AL27" i="45"/>
  <c r="M27" i="45"/>
  <c r="DW27" i="45"/>
  <c r="FP27" i="45"/>
  <c r="GI27" i="45"/>
  <c r="BJ27" i="45"/>
  <c r="CI27" i="45"/>
  <c r="BK27" i="45"/>
  <c r="EN27" i="45"/>
  <c r="FD27" i="45"/>
  <c r="GF27" i="45"/>
  <c r="BE27" i="45"/>
  <c r="DK27" i="45"/>
  <c r="EE27" i="45"/>
  <c r="R27" i="45"/>
  <c r="L27" i="45"/>
  <c r="GR27" i="45"/>
  <c r="FX27" i="45"/>
  <c r="DT27" i="45"/>
  <c r="CB27" i="45"/>
  <c r="EU27" i="45"/>
  <c r="FW27" i="45"/>
  <c r="BP27" i="45"/>
  <c r="GM27" i="45"/>
  <c r="BS27" i="45"/>
  <c r="FK27" i="45"/>
  <c r="AB27" i="45"/>
  <c r="BX27" i="45"/>
  <c r="FC27" i="45"/>
  <c r="GA27" i="45"/>
  <c r="G27" i="45"/>
  <c r="CN27" i="45"/>
  <c r="HK26" i="45"/>
  <c r="DP27" i="45"/>
  <c r="EQ27" i="45"/>
  <c r="DD27" i="45"/>
  <c r="AV27" i="45"/>
  <c r="AQ27" i="45"/>
  <c r="EA27" i="45"/>
  <c r="FH27" i="45"/>
  <c r="HL27" i="45"/>
  <c r="CJ27" i="45"/>
  <c r="H27" i="45"/>
  <c r="DS27" i="45"/>
  <c r="BO27" i="45"/>
  <c r="EY27" i="45"/>
  <c r="DH27" i="45"/>
  <c r="BT27" i="45"/>
  <c r="AZ27" i="45"/>
  <c r="DL27" i="45"/>
  <c r="CQ27" i="45"/>
  <c r="AU27" i="45"/>
  <c r="AP27" i="45"/>
  <c r="DO27" i="45"/>
  <c r="CY27" i="45"/>
  <c r="DX27" i="45"/>
  <c r="W27" i="45"/>
  <c r="AK27" i="45"/>
  <c r="AG27" i="45"/>
  <c r="BA27" i="45"/>
  <c r="EB27" i="45"/>
  <c r="CM27" i="45"/>
  <c r="FT27" i="45"/>
  <c r="FO27" i="45"/>
  <c r="EF27" i="45"/>
  <c r="V27" i="45"/>
  <c r="FL27" i="45"/>
  <c r="DG27" i="45"/>
  <c r="ER27" i="45"/>
  <c r="CE27" i="45"/>
  <c r="GE27" i="45"/>
  <c r="FS27" i="45"/>
  <c r="EZ27" i="45"/>
  <c r="GJ27" i="45"/>
  <c r="EJ27" i="45"/>
  <c r="BF27" i="45"/>
  <c r="CF27" i="45"/>
  <c r="AA27" i="45"/>
  <c r="X27" i="45" l="1"/>
  <c r="S27" i="45"/>
  <c r="N27" i="45"/>
  <c r="I27" i="45"/>
  <c r="AC27" i="45"/>
  <c r="AH27" i="45"/>
  <c r="AM27" i="45"/>
  <c r="AR27" i="45"/>
  <c r="AW27" i="45"/>
  <c r="BB27" i="45"/>
  <c r="BG27" i="45"/>
  <c r="BL27" i="45"/>
  <c r="BQ27" i="45"/>
  <c r="BU27" i="45"/>
  <c r="BY27" i="45"/>
  <c r="CC27" i="45"/>
  <c r="CG27" i="45"/>
  <c r="CK27" i="45"/>
  <c r="CO27" i="45"/>
  <c r="CS27" i="45"/>
  <c r="CW27" i="45"/>
  <c r="DA27" i="45"/>
  <c r="DE27" i="45"/>
  <c r="DI27" i="45"/>
  <c r="DM27" i="45"/>
  <c r="DQ27" i="45"/>
  <c r="DU27" i="45"/>
  <c r="DY27" i="45"/>
  <c r="EC27" i="45"/>
  <c r="EG27" i="45"/>
  <c r="EK27" i="45"/>
  <c r="EO27" i="45"/>
  <c r="ES27" i="45"/>
  <c r="EW27" i="45"/>
  <c r="FA27" i="45"/>
  <c r="FE27" i="45"/>
  <c r="FI27" i="45"/>
  <c r="FM27" i="45"/>
  <c r="FQ27" i="45"/>
  <c r="FU27" i="45"/>
  <c r="FY27" i="45"/>
  <c r="GG27" i="45"/>
  <c r="GN26" i="45"/>
  <c r="GB27" i="45"/>
  <c r="GN27" i="45"/>
  <c r="HX28" i="45"/>
  <c r="HD27" i="45"/>
  <c r="GZ27" i="45"/>
  <c r="E29" i="45"/>
  <c r="GQ27" i="45"/>
  <c r="GU27" i="45"/>
  <c r="GV27" i="45"/>
  <c r="HP27" i="45"/>
  <c r="HH27" i="45"/>
  <c r="HK27" i="45"/>
  <c r="HC27" i="45"/>
  <c r="GC27" i="45" l="1"/>
  <c r="GK27" i="45"/>
  <c r="HM26" i="45"/>
  <c r="GO26" i="45"/>
  <c r="GS27" i="45"/>
  <c r="Q28" i="45"/>
  <c r="BW28" i="45"/>
  <c r="CZ28" i="45"/>
  <c r="CA28" i="45"/>
  <c r="BA28" i="45"/>
  <c r="EY28" i="45"/>
  <c r="FO28" i="45"/>
  <c r="GF28" i="45"/>
  <c r="EZ28" i="45"/>
  <c r="CE28" i="45"/>
  <c r="BE28" i="45"/>
  <c r="CV28" i="45"/>
  <c r="CU28" i="45"/>
  <c r="DK28" i="45"/>
  <c r="BP28" i="45"/>
  <c r="M28" i="45"/>
  <c r="FP28" i="45"/>
  <c r="GJ28" i="45"/>
  <c r="CY28" i="45"/>
  <c r="BX28" i="45"/>
  <c r="BF28" i="45"/>
  <c r="AU28" i="45"/>
  <c r="FS28" i="45"/>
  <c r="EB28" i="45"/>
  <c r="EU28" i="45"/>
  <c r="CF28" i="45"/>
  <c r="AA28" i="45"/>
  <c r="AV28" i="45"/>
  <c r="CN28" i="45"/>
  <c r="AB28" i="45"/>
  <c r="L28" i="45"/>
  <c r="FX28" i="45"/>
  <c r="FK28" i="45"/>
  <c r="ER28" i="45"/>
  <c r="FT28" i="45"/>
  <c r="FC28" i="45"/>
  <c r="DS28" i="45"/>
  <c r="EN28" i="45"/>
  <c r="DG28" i="45"/>
  <c r="AK28" i="45"/>
  <c r="DX28" i="45"/>
  <c r="G28" i="45"/>
  <c r="GQ28" i="45"/>
  <c r="EA28" i="45"/>
  <c r="AG28" i="45"/>
  <c r="CJ28" i="45"/>
  <c r="DO28" i="45"/>
  <c r="FW28" i="45"/>
  <c r="EF28" i="45"/>
  <c r="BS28" i="45"/>
  <c r="V28" i="45"/>
  <c r="AL28" i="45"/>
  <c r="H28" i="45"/>
  <c r="EE28" i="45"/>
  <c r="EI28" i="45"/>
  <c r="AZ28" i="45"/>
  <c r="EM28" i="45"/>
  <c r="DP28" i="45"/>
  <c r="FH28" i="45"/>
  <c r="HO27" i="45"/>
  <c r="FD28" i="45"/>
  <c r="DC28" i="45"/>
  <c r="DL28" i="45"/>
  <c r="CM28" i="45"/>
  <c r="DH28" i="45"/>
  <c r="W28" i="45"/>
  <c r="FG28" i="45"/>
  <c r="FL28" i="45"/>
  <c r="CI28" i="45"/>
  <c r="DW28" i="45"/>
  <c r="DD28" i="45"/>
  <c r="HG27" i="45"/>
  <c r="GB28" i="45"/>
  <c r="BK28" i="45"/>
  <c r="EJ28" i="45"/>
  <c r="CR28" i="45"/>
  <c r="GR28" i="45"/>
  <c r="CB28" i="45"/>
  <c r="GE28" i="45"/>
  <c r="R28" i="45"/>
  <c r="EQ28" i="45"/>
  <c r="BO28" i="45"/>
  <c r="AQ28" i="45"/>
  <c r="CQ28" i="45"/>
  <c r="EV28" i="45"/>
  <c r="AP28" i="45"/>
  <c r="AF28" i="45"/>
  <c r="GI28" i="45"/>
  <c r="DT28" i="45"/>
  <c r="BJ28" i="45"/>
  <c r="GA28" i="45"/>
  <c r="BT28" i="45"/>
  <c r="X28" i="45" l="1"/>
  <c r="S28" i="45"/>
  <c r="N28" i="45"/>
  <c r="I28" i="45"/>
  <c r="AC28" i="45"/>
  <c r="AH28" i="45"/>
  <c r="AM28" i="45"/>
  <c r="AR28" i="45"/>
  <c r="AW28" i="45"/>
  <c r="BB28" i="45"/>
  <c r="BG28" i="45"/>
  <c r="BL28" i="45"/>
  <c r="BQ28" i="45"/>
  <c r="BU28" i="45"/>
  <c r="BY28" i="45"/>
  <c r="CC28" i="45"/>
  <c r="CG28" i="45"/>
  <c r="CK28" i="45"/>
  <c r="CO28" i="45"/>
  <c r="CS28" i="45"/>
  <c r="CW28" i="45"/>
  <c r="DA28" i="45"/>
  <c r="DE28" i="45"/>
  <c r="DI28" i="45"/>
  <c r="DM28" i="45"/>
  <c r="DQ28" i="45"/>
  <c r="DU28" i="45"/>
  <c r="DY28" i="45"/>
  <c r="EC28" i="45"/>
  <c r="EG28" i="45"/>
  <c r="EK28" i="45"/>
  <c r="EO28" i="45"/>
  <c r="ES28" i="45"/>
  <c r="EW28" i="45"/>
  <c r="FA28" i="45"/>
  <c r="FE28" i="45"/>
  <c r="FI28" i="45"/>
  <c r="FM28" i="45"/>
  <c r="FQ28" i="45"/>
  <c r="FU28" i="45"/>
  <c r="FY28" i="45"/>
  <c r="GG28" i="45"/>
  <c r="GC28" i="45"/>
  <c r="GK28" i="45"/>
  <c r="GS28" i="45"/>
  <c r="GW27" i="45"/>
  <c r="GO27" i="45"/>
  <c r="HA27" i="45"/>
  <c r="HE27" i="45"/>
  <c r="HI27" i="45"/>
  <c r="HM27" i="45"/>
  <c r="HQ27" i="45"/>
  <c r="HT27" i="45"/>
  <c r="GZ28" i="45"/>
  <c r="HT28" i="45"/>
  <c r="HS27" i="45"/>
  <c r="HU27" i="45" l="1"/>
  <c r="C30" i="45"/>
  <c r="D29" i="45"/>
  <c r="HC28" i="45"/>
  <c r="GN28" i="45"/>
  <c r="GV28" i="45"/>
  <c r="HH28" i="45"/>
  <c r="E30" i="45"/>
  <c r="HL28" i="45"/>
  <c r="HS28" i="45"/>
  <c r="HP28" i="45"/>
  <c r="HD28" i="45"/>
  <c r="HG28" i="45"/>
  <c r="GU28" i="45"/>
  <c r="HO28" i="45"/>
  <c r="GM28" i="45"/>
  <c r="C29" i="45"/>
  <c r="D30" i="45"/>
  <c r="HK28" i="45"/>
  <c r="GW28" i="45" l="1"/>
  <c r="GO28" i="45"/>
  <c r="HE28" i="45"/>
  <c r="HI28" i="45"/>
  <c r="HU28" i="45"/>
  <c r="HM28" i="45"/>
  <c r="HQ28" i="45"/>
  <c r="HX30" i="45"/>
  <c r="GY28" i="45"/>
  <c r="C31" i="45"/>
  <c r="HX29" i="45"/>
  <c r="D31" i="45"/>
  <c r="E31" i="45"/>
  <c r="HA28" i="45" l="1"/>
  <c r="Q30" i="45"/>
  <c r="G29" i="45"/>
  <c r="BO30" i="45"/>
  <c r="AL29" i="45"/>
  <c r="CQ30" i="45"/>
  <c r="FL29" i="45"/>
  <c r="CQ29" i="45"/>
  <c r="EE29" i="45"/>
  <c r="BE30" i="45"/>
  <c r="DT29" i="45"/>
  <c r="GF30" i="45"/>
  <c r="CB29" i="45"/>
  <c r="CM29" i="45"/>
  <c r="DT30" i="45"/>
  <c r="CU30" i="45"/>
  <c r="EZ29" i="45"/>
  <c r="EM29" i="45"/>
  <c r="FH30" i="45"/>
  <c r="EB30" i="45"/>
  <c r="AP29" i="45"/>
  <c r="CZ29" i="45"/>
  <c r="FS29" i="45"/>
  <c r="FO29" i="45"/>
  <c r="H29" i="45"/>
  <c r="DK30" i="45"/>
  <c r="GJ30" i="45"/>
  <c r="V29" i="45"/>
  <c r="M30" i="45"/>
  <c r="GR29" i="45"/>
  <c r="BJ30" i="45"/>
  <c r="BK29" i="45"/>
  <c r="EE30" i="45"/>
  <c r="CI29" i="45"/>
  <c r="GM30" i="45"/>
  <c r="BF30" i="45"/>
  <c r="EQ30" i="45"/>
  <c r="EB29" i="45"/>
  <c r="GQ30" i="45"/>
  <c r="AZ29" i="45"/>
  <c r="AQ30" i="45"/>
  <c r="BX29" i="45"/>
  <c r="BA30" i="45"/>
  <c r="CU29" i="45"/>
  <c r="ER30" i="45"/>
  <c r="GB30" i="45"/>
  <c r="AF29" i="45"/>
  <c r="CY30" i="45"/>
  <c r="CF29" i="45"/>
  <c r="CR30" i="45"/>
  <c r="EQ29" i="45"/>
  <c r="BJ29" i="45"/>
  <c r="GQ29" i="45"/>
  <c r="FD30" i="45"/>
  <c r="GA29" i="45"/>
  <c r="V30" i="45"/>
  <c r="L30" i="45"/>
  <c r="FL30" i="45"/>
  <c r="AU29" i="45"/>
  <c r="CY29" i="45"/>
  <c r="AK29" i="45"/>
  <c r="AV30" i="45"/>
  <c r="CN30" i="45"/>
  <c r="DP29" i="45"/>
  <c r="AB30" i="45"/>
  <c r="EJ30" i="45"/>
  <c r="FG29" i="45"/>
  <c r="GR30" i="45"/>
  <c r="AB29" i="45"/>
  <c r="GI30" i="45"/>
  <c r="AQ29" i="45"/>
  <c r="FG30" i="45"/>
  <c r="EV29" i="45"/>
  <c r="EI29" i="45"/>
  <c r="DK29" i="45"/>
  <c r="FP29" i="45"/>
  <c r="EY30" i="45"/>
  <c r="CI30" i="45"/>
  <c r="FH29" i="45"/>
  <c r="BK30" i="45"/>
  <c r="DS30" i="45"/>
  <c r="CJ29" i="45"/>
  <c r="W30" i="45"/>
  <c r="L29" i="45"/>
  <c r="EU29" i="45"/>
  <c r="AV29" i="45"/>
  <c r="BP29" i="45"/>
  <c r="HC30" i="45"/>
  <c r="CE30" i="45"/>
  <c r="CV29" i="45"/>
  <c r="GE30" i="45"/>
  <c r="BS29" i="45"/>
  <c r="EA29" i="45"/>
  <c r="DL30" i="45"/>
  <c r="FX29" i="45"/>
  <c r="BX30" i="45"/>
  <c r="GF29" i="45"/>
  <c r="CM30" i="45"/>
  <c r="DH30" i="45"/>
  <c r="HK29" i="45"/>
  <c r="FX30" i="45"/>
  <c r="BS30" i="45"/>
  <c r="DS29" i="45"/>
  <c r="AZ30" i="45"/>
  <c r="DX30" i="45"/>
  <c r="DH29" i="45"/>
  <c r="AG29" i="45"/>
  <c r="CZ30" i="45"/>
  <c r="W29" i="45"/>
  <c r="M29" i="45"/>
  <c r="BT30" i="45"/>
  <c r="FK29" i="45"/>
  <c r="BW29" i="45"/>
  <c r="GE29" i="45"/>
  <c r="AG30" i="45"/>
  <c r="CF30" i="45"/>
  <c r="CE29" i="45"/>
  <c r="FT29" i="45"/>
  <c r="DO29" i="45"/>
  <c r="GI29" i="45"/>
  <c r="EV30" i="45"/>
  <c r="EZ30" i="45"/>
  <c r="DD29" i="45"/>
  <c r="DW29" i="45"/>
  <c r="AU30" i="45"/>
  <c r="CN29" i="45"/>
  <c r="BP30" i="45"/>
  <c r="CV30" i="45"/>
  <c r="FD29" i="45"/>
  <c r="FK30" i="45"/>
  <c r="GA30" i="45"/>
  <c r="BF29" i="45"/>
  <c r="BA29" i="45"/>
  <c r="DW30" i="45"/>
  <c r="CA29" i="45"/>
  <c r="AP30" i="45"/>
  <c r="R30" i="45"/>
  <c r="G30" i="45"/>
  <c r="FO30" i="45"/>
  <c r="GB29" i="45"/>
  <c r="HG30" i="45"/>
  <c r="FS30" i="45"/>
  <c r="CR29" i="45"/>
  <c r="CB30" i="45"/>
  <c r="EA30" i="45"/>
  <c r="DC29" i="45"/>
  <c r="DD30" i="45"/>
  <c r="BT29" i="45"/>
  <c r="EM30" i="45"/>
  <c r="FT30" i="45"/>
  <c r="EF29" i="45"/>
  <c r="FC30" i="45"/>
  <c r="AA30" i="45"/>
  <c r="DG30" i="45"/>
  <c r="DC30" i="45"/>
  <c r="FC29" i="45"/>
  <c r="ER29" i="45"/>
  <c r="DP30" i="45"/>
  <c r="GJ29" i="45"/>
  <c r="EJ29" i="45"/>
  <c r="Q29" i="45"/>
  <c r="H30" i="45"/>
  <c r="CA30" i="45"/>
  <c r="DX29" i="45"/>
  <c r="FP30" i="45"/>
  <c r="AA29" i="45"/>
  <c r="BW30" i="45"/>
  <c r="EI30" i="45"/>
  <c r="EN30" i="45"/>
  <c r="EY29" i="45"/>
  <c r="BO29" i="45"/>
  <c r="CJ30" i="45"/>
  <c r="HK30" i="45"/>
  <c r="FW29" i="45"/>
  <c r="BE29" i="45"/>
  <c r="DL29" i="45"/>
  <c r="DO30" i="45"/>
  <c r="AL30" i="45"/>
  <c r="EN29" i="45"/>
  <c r="AF30" i="45"/>
  <c r="EU30" i="45"/>
  <c r="DG29" i="45"/>
  <c r="EF30" i="45"/>
  <c r="R29" i="45"/>
  <c r="AK30" i="45"/>
  <c r="FW30" i="45"/>
  <c r="X30" i="45" l="1"/>
  <c r="X29" i="45"/>
  <c r="S30" i="45"/>
  <c r="S29" i="45"/>
  <c r="N29" i="45"/>
  <c r="N30" i="45"/>
  <c r="I29" i="45"/>
  <c r="I30" i="45"/>
  <c r="AC30" i="45"/>
  <c r="AC29" i="45"/>
  <c r="AH30" i="45"/>
  <c r="AH29" i="45"/>
  <c r="AM29" i="45"/>
  <c r="AM30" i="45"/>
  <c r="AR29" i="45"/>
  <c r="AR30" i="45"/>
  <c r="AW30" i="45"/>
  <c r="AW29" i="45"/>
  <c r="BB29" i="45"/>
  <c r="BB30" i="45"/>
  <c r="BG30" i="45"/>
  <c r="BG29" i="45"/>
  <c r="BL30" i="45"/>
  <c r="BL29" i="45"/>
  <c r="BQ29" i="45"/>
  <c r="BQ30" i="45"/>
  <c r="BU30" i="45"/>
  <c r="BU29" i="45"/>
  <c r="BY30" i="45"/>
  <c r="BY29" i="45"/>
  <c r="CC30" i="45"/>
  <c r="CC29" i="45"/>
  <c r="CG30" i="45"/>
  <c r="CG29" i="45"/>
  <c r="CK30" i="45"/>
  <c r="CK29" i="45"/>
  <c r="CO30" i="45"/>
  <c r="CO29" i="45"/>
  <c r="CS29" i="45"/>
  <c r="CS30" i="45"/>
  <c r="CW29" i="45"/>
  <c r="CW30" i="45"/>
  <c r="DA30" i="45"/>
  <c r="DA29" i="45"/>
  <c r="DE29" i="45"/>
  <c r="DE30" i="45"/>
  <c r="DI30" i="45"/>
  <c r="DI29" i="45"/>
  <c r="DM29" i="45"/>
  <c r="DM30" i="45"/>
  <c r="DQ29" i="45"/>
  <c r="DQ30" i="45"/>
  <c r="DU29" i="45"/>
  <c r="DU30" i="45"/>
  <c r="DY29" i="45"/>
  <c r="DY30" i="45"/>
  <c r="EC30" i="45"/>
  <c r="EC29" i="45"/>
  <c r="EG29" i="45"/>
  <c r="EG30" i="45"/>
  <c r="EK29" i="45"/>
  <c r="EK30" i="45"/>
  <c r="EO30" i="45"/>
  <c r="EO29" i="45"/>
  <c r="ES29" i="45"/>
  <c r="ES30" i="45"/>
  <c r="EW29" i="45"/>
  <c r="EW30" i="45"/>
  <c r="FA30" i="45"/>
  <c r="FA29" i="45"/>
  <c r="FE29" i="45"/>
  <c r="FE30" i="45"/>
  <c r="FI29" i="45"/>
  <c r="FI30" i="45"/>
  <c r="FM30" i="45"/>
  <c r="FM29" i="45"/>
  <c r="FQ30" i="45"/>
  <c r="FQ29" i="45"/>
  <c r="FU30" i="45"/>
  <c r="FU29" i="45"/>
  <c r="FY30" i="45"/>
  <c r="FY29" i="45"/>
  <c r="GG30" i="45"/>
  <c r="GG29" i="45"/>
  <c r="GK30" i="45"/>
  <c r="GC29" i="45"/>
  <c r="GC30" i="45"/>
  <c r="GK29" i="45"/>
  <c r="GS29" i="45"/>
  <c r="GS30" i="45"/>
  <c r="HH30" i="45"/>
  <c r="GN29" i="45"/>
  <c r="HP29" i="45"/>
  <c r="HP30" i="45"/>
  <c r="HO29" i="45"/>
  <c r="HX31" i="45"/>
  <c r="GU30" i="45"/>
  <c r="GU29" i="45"/>
  <c r="HC29" i="45"/>
  <c r="HT30" i="45"/>
  <c r="GY29" i="45"/>
  <c r="HL29" i="45"/>
  <c r="HL30" i="45"/>
  <c r="HI30" i="45" l="1"/>
  <c r="HQ29" i="45"/>
  <c r="HM29" i="45"/>
  <c r="HM30" i="45"/>
  <c r="L31" i="45"/>
  <c r="GF31" i="45"/>
  <c r="HS29" i="45"/>
  <c r="FT31" i="45"/>
  <c r="EU31" i="45"/>
  <c r="DL31" i="45"/>
  <c r="FK31" i="45"/>
  <c r="CB31" i="45"/>
  <c r="FW31" i="45"/>
  <c r="BA31" i="45"/>
  <c r="GV30" i="45"/>
  <c r="EB31" i="45"/>
  <c r="AZ31" i="45"/>
  <c r="DS31" i="45"/>
  <c r="CY31" i="45"/>
  <c r="M31" i="45"/>
  <c r="BW31" i="45"/>
  <c r="CA31" i="45"/>
  <c r="GJ31" i="45"/>
  <c r="CQ31" i="45"/>
  <c r="DG31" i="45"/>
  <c r="HD30" i="45"/>
  <c r="CU31" i="45"/>
  <c r="EM31" i="45"/>
  <c r="FC31" i="45"/>
  <c r="GQ31" i="45"/>
  <c r="BX31" i="45"/>
  <c r="GB31" i="45"/>
  <c r="BO31" i="45"/>
  <c r="EQ31" i="45"/>
  <c r="HG29" i="45"/>
  <c r="H31" i="45"/>
  <c r="GI31" i="45"/>
  <c r="DD31" i="45"/>
  <c r="DC31" i="45"/>
  <c r="AP31" i="45"/>
  <c r="GM29" i="45"/>
  <c r="EE31" i="45"/>
  <c r="BT31" i="45"/>
  <c r="CN31" i="45"/>
  <c r="DH31" i="45"/>
  <c r="CZ31" i="45"/>
  <c r="BP31" i="45"/>
  <c r="CE31" i="45"/>
  <c r="DP31" i="45"/>
  <c r="CI31" i="45"/>
  <c r="G31" i="45"/>
  <c r="AL31" i="45"/>
  <c r="GV29" i="45"/>
  <c r="CF31" i="45"/>
  <c r="FS31" i="45"/>
  <c r="CJ31" i="45"/>
  <c r="CR31" i="45"/>
  <c r="FO31" i="45"/>
  <c r="EI31" i="45"/>
  <c r="DK31" i="45"/>
  <c r="W31" i="45"/>
  <c r="GE31" i="45"/>
  <c r="AV31" i="45"/>
  <c r="HD29" i="45"/>
  <c r="AU31" i="45"/>
  <c r="FH31" i="45"/>
  <c r="CV31" i="45"/>
  <c r="CM31" i="45"/>
  <c r="AQ31" i="45"/>
  <c r="AA31" i="45"/>
  <c r="FL31" i="45"/>
  <c r="EY31" i="45"/>
  <c r="DW31" i="45"/>
  <c r="HH29" i="45"/>
  <c r="EA31" i="45"/>
  <c r="V31" i="45"/>
  <c r="EV31" i="45"/>
  <c r="ER31" i="45"/>
  <c r="C32" i="45"/>
  <c r="BJ31" i="45"/>
  <c r="BE31" i="45"/>
  <c r="HT29" i="45"/>
  <c r="EN31" i="45"/>
  <c r="FG31" i="45"/>
  <c r="AK31" i="45"/>
  <c r="FP31" i="45"/>
  <c r="R31" i="45"/>
  <c r="BF31" i="45"/>
  <c r="DO31" i="45"/>
  <c r="GZ29" i="45"/>
  <c r="HS30" i="45"/>
  <c r="FX31" i="45"/>
  <c r="AF31" i="45"/>
  <c r="D32" i="45"/>
  <c r="FD31" i="45"/>
  <c r="GA31" i="45"/>
  <c r="EJ31" i="45"/>
  <c r="BS31" i="45"/>
  <c r="Q31" i="45"/>
  <c r="BK31" i="45"/>
  <c r="GR31" i="45"/>
  <c r="HO30" i="45"/>
  <c r="AG31" i="45"/>
  <c r="DT31" i="45"/>
  <c r="AB31" i="45"/>
  <c r="DX31" i="45"/>
  <c r="GY30" i="45"/>
  <c r="GN30" i="45"/>
  <c r="GZ30" i="45"/>
  <c r="EZ31" i="45"/>
  <c r="EF31" i="45"/>
  <c r="X31" i="45" l="1"/>
  <c r="S31" i="45"/>
  <c r="N31" i="45"/>
  <c r="I31" i="45"/>
  <c r="AC31" i="45"/>
  <c r="AH31" i="45"/>
  <c r="AM31" i="45"/>
  <c r="AR31" i="45"/>
  <c r="AW31" i="45"/>
  <c r="BB31" i="45"/>
  <c r="BG31" i="45"/>
  <c r="BL31" i="45"/>
  <c r="BQ31" i="45"/>
  <c r="BU31" i="45"/>
  <c r="BY31" i="45"/>
  <c r="CC31" i="45"/>
  <c r="CG31" i="45"/>
  <c r="CK31" i="45"/>
  <c r="CO31" i="45"/>
  <c r="CS31" i="45"/>
  <c r="CW31" i="45"/>
  <c r="DA31" i="45"/>
  <c r="DE31" i="45"/>
  <c r="DI31" i="45"/>
  <c r="DM31" i="45"/>
  <c r="DQ31" i="45"/>
  <c r="DU31" i="45"/>
  <c r="DY31" i="45"/>
  <c r="EC31" i="45"/>
  <c r="EG31" i="45"/>
  <c r="EK31" i="45"/>
  <c r="EO31" i="45"/>
  <c r="ES31" i="45"/>
  <c r="EW31" i="45"/>
  <c r="FA31" i="45"/>
  <c r="FE31" i="45"/>
  <c r="FI31" i="45"/>
  <c r="FM31" i="45"/>
  <c r="FQ31" i="45"/>
  <c r="FU31" i="45"/>
  <c r="FY31" i="45"/>
  <c r="GG31" i="45"/>
  <c r="GK31" i="45"/>
  <c r="GC31" i="45"/>
  <c r="HU30" i="45"/>
  <c r="GS31" i="45"/>
  <c r="HI29" i="45"/>
  <c r="GO29" i="45"/>
  <c r="HA29" i="45"/>
  <c r="GO30" i="45"/>
  <c r="GW29" i="45"/>
  <c r="HA30" i="45"/>
  <c r="HQ30" i="45"/>
  <c r="GW30" i="45"/>
  <c r="HE29" i="45"/>
  <c r="HE30" i="45"/>
  <c r="HU29" i="45"/>
  <c r="GU31" i="45"/>
  <c r="GM31" i="45"/>
  <c r="E32" i="45"/>
  <c r="HS31" i="45"/>
  <c r="HT31" i="45"/>
  <c r="GV31" i="45"/>
  <c r="HG31" i="45"/>
  <c r="GY31" i="45"/>
  <c r="HK31" i="45"/>
  <c r="HX32" i="45"/>
  <c r="HD31" i="45"/>
  <c r="D33" i="45"/>
  <c r="C33" i="45"/>
  <c r="GN31" i="45"/>
  <c r="HP31" i="45"/>
  <c r="E33" i="45"/>
  <c r="GW31" i="45" l="1"/>
  <c r="GO31" i="45"/>
  <c r="HU31" i="45"/>
  <c r="L32" i="45"/>
  <c r="BO32" i="45"/>
  <c r="CF32" i="45"/>
  <c r="FD32" i="45"/>
  <c r="HS32" i="45"/>
  <c r="DW32" i="45"/>
  <c r="EV32" i="45"/>
  <c r="AG32" i="45"/>
  <c r="CN32" i="45"/>
  <c r="DK32" i="45"/>
  <c r="DH32" i="45"/>
  <c r="DD32" i="45"/>
  <c r="EI32" i="45"/>
  <c r="EJ32" i="45"/>
  <c r="G32" i="45"/>
  <c r="CB32" i="45"/>
  <c r="DS32" i="45"/>
  <c r="FC32" i="45"/>
  <c r="FW32" i="45"/>
  <c r="GI32" i="45"/>
  <c r="EY32" i="45"/>
  <c r="FT32" i="45"/>
  <c r="BJ32" i="45"/>
  <c r="HL31" i="45"/>
  <c r="DG32" i="45"/>
  <c r="CJ32" i="45"/>
  <c r="GQ32" i="45"/>
  <c r="DO32" i="45"/>
  <c r="H32" i="45"/>
  <c r="CY32" i="45"/>
  <c r="HX33" i="45"/>
  <c r="GU32" i="45"/>
  <c r="EE32" i="45"/>
  <c r="AA32" i="45"/>
  <c r="CE32" i="45"/>
  <c r="FK32" i="45"/>
  <c r="FH32" i="45"/>
  <c r="DX32" i="45"/>
  <c r="V32" i="45"/>
  <c r="EU32" i="45"/>
  <c r="EA32" i="45"/>
  <c r="AQ32" i="45"/>
  <c r="EQ32" i="45"/>
  <c r="HH31" i="45"/>
  <c r="BA32" i="45"/>
  <c r="CA32" i="45"/>
  <c r="FP32" i="45"/>
  <c r="BS32" i="45"/>
  <c r="FL32" i="45"/>
  <c r="BK32" i="45"/>
  <c r="W32" i="45"/>
  <c r="GB32" i="45"/>
  <c r="EN32" i="45"/>
  <c r="CZ32" i="45"/>
  <c r="AK32" i="45"/>
  <c r="FG32" i="45"/>
  <c r="FX32" i="45"/>
  <c r="AV32" i="45"/>
  <c r="CM32" i="45"/>
  <c r="HC31" i="45"/>
  <c r="GN32" i="45"/>
  <c r="BE32" i="45"/>
  <c r="CR32" i="45"/>
  <c r="DL32" i="45"/>
  <c r="AU32" i="45"/>
  <c r="R32" i="45"/>
  <c r="BW32" i="45"/>
  <c r="BX32" i="45"/>
  <c r="FS32" i="45"/>
  <c r="GA32" i="45"/>
  <c r="AF32" i="45"/>
  <c r="EM32" i="45"/>
  <c r="AP32" i="45"/>
  <c r="BF32" i="45"/>
  <c r="CV32" i="45"/>
  <c r="BT32" i="45"/>
  <c r="GE32" i="45"/>
  <c r="EB32" i="45"/>
  <c r="Q32" i="45"/>
  <c r="GJ32" i="45"/>
  <c r="AL32" i="45"/>
  <c r="DC32" i="45"/>
  <c r="HO31" i="45"/>
  <c r="ER32" i="45"/>
  <c r="CQ32" i="45"/>
  <c r="EZ32" i="45"/>
  <c r="AB32" i="45"/>
  <c r="BP32" i="45"/>
  <c r="GF32" i="45"/>
  <c r="M32" i="45"/>
  <c r="GZ31" i="45"/>
  <c r="DP32" i="45"/>
  <c r="CU32" i="45"/>
  <c r="FO32" i="45"/>
  <c r="EF32" i="45"/>
  <c r="GR32" i="45"/>
  <c r="AZ32" i="45"/>
  <c r="DT32" i="45"/>
  <c r="CI32" i="45"/>
  <c r="D34" i="45"/>
  <c r="X32" i="45" l="1"/>
  <c r="S32" i="45"/>
  <c r="N32" i="45"/>
  <c r="I32" i="45"/>
  <c r="AC32" i="45"/>
  <c r="AH32" i="45"/>
  <c r="AM32" i="45"/>
  <c r="AR32" i="45"/>
  <c r="AW32" i="45"/>
  <c r="BB32" i="45"/>
  <c r="BG32" i="45"/>
  <c r="BL32" i="45"/>
  <c r="BQ32" i="45"/>
  <c r="BU32" i="45"/>
  <c r="BY32" i="45"/>
  <c r="CC32" i="45"/>
  <c r="CG32" i="45"/>
  <c r="CK32" i="45"/>
  <c r="CO32" i="45"/>
  <c r="CS32" i="45"/>
  <c r="CW32" i="45"/>
  <c r="DA32" i="45"/>
  <c r="DE32" i="45"/>
  <c r="DI32" i="45"/>
  <c r="DM32" i="45"/>
  <c r="DQ32" i="45"/>
  <c r="DU32" i="45"/>
  <c r="DY32" i="45"/>
  <c r="EC32" i="45"/>
  <c r="EG32" i="45"/>
  <c r="EK32" i="45"/>
  <c r="EO32" i="45"/>
  <c r="ES32" i="45"/>
  <c r="EW32" i="45"/>
  <c r="FA32" i="45"/>
  <c r="FE32" i="45"/>
  <c r="FI32" i="45"/>
  <c r="FM32" i="45"/>
  <c r="FQ32" i="45"/>
  <c r="FU32" i="45"/>
  <c r="FY32" i="45"/>
  <c r="GG32" i="45"/>
  <c r="GK32" i="45"/>
  <c r="GC32" i="45"/>
  <c r="HI31" i="45"/>
  <c r="HA31" i="45"/>
  <c r="HE31" i="45"/>
  <c r="HM31" i="45"/>
  <c r="HQ31" i="45"/>
  <c r="GS32" i="45"/>
  <c r="H33" i="45"/>
  <c r="CU33" i="45"/>
  <c r="AU33" i="45"/>
  <c r="GF33" i="45"/>
  <c r="FW33" i="45"/>
  <c r="AZ33" i="45"/>
  <c r="GZ32" i="45"/>
  <c r="GY32" i="45"/>
  <c r="BP33" i="45"/>
  <c r="EZ33" i="45"/>
  <c r="AK33" i="45"/>
  <c r="FT33" i="45"/>
  <c r="DW33" i="45"/>
  <c r="CZ33" i="45"/>
  <c r="HP32" i="45"/>
  <c r="AB33" i="45"/>
  <c r="EJ33" i="45"/>
  <c r="G33" i="45"/>
  <c r="CF33" i="45"/>
  <c r="GA33" i="45"/>
  <c r="EF33" i="45"/>
  <c r="FX33" i="45"/>
  <c r="DD33" i="45"/>
  <c r="EV33" i="45"/>
  <c r="CY33" i="45"/>
  <c r="EN33" i="45"/>
  <c r="ER33" i="45"/>
  <c r="AA33" i="45"/>
  <c r="AP33" i="45"/>
  <c r="HL32" i="45"/>
  <c r="DC33" i="45"/>
  <c r="GE33" i="45"/>
  <c r="V33" i="45"/>
  <c r="BS33" i="45"/>
  <c r="DG33" i="45"/>
  <c r="HO32" i="45"/>
  <c r="GQ33" i="45"/>
  <c r="DK33" i="45"/>
  <c r="CM33" i="45"/>
  <c r="BW33" i="45"/>
  <c r="AV33" i="45"/>
  <c r="HG32" i="45"/>
  <c r="FP33" i="45"/>
  <c r="HH32" i="45"/>
  <c r="EM33" i="45"/>
  <c r="FG33" i="45"/>
  <c r="BT33" i="45"/>
  <c r="CA33" i="45"/>
  <c r="EA33" i="45"/>
  <c r="GI33" i="45"/>
  <c r="W33" i="45"/>
  <c r="BF33" i="45"/>
  <c r="C34" i="45"/>
  <c r="BA33" i="45"/>
  <c r="BK33" i="45"/>
  <c r="AQ33" i="45"/>
  <c r="EE33" i="45"/>
  <c r="BO33" i="45"/>
  <c r="CB33" i="45"/>
  <c r="FS33" i="45"/>
  <c r="CR33" i="45"/>
  <c r="CQ33" i="45"/>
  <c r="DS33" i="45"/>
  <c r="AL33" i="45"/>
  <c r="FD33" i="45"/>
  <c r="EU33" i="45"/>
  <c r="Q33" i="45"/>
  <c r="FL33" i="45"/>
  <c r="HK32" i="45"/>
  <c r="EI33" i="45"/>
  <c r="FO33" i="45"/>
  <c r="E34" i="45"/>
  <c r="BE33" i="45"/>
  <c r="AG33" i="45"/>
  <c r="M33" i="45"/>
  <c r="DO33" i="45"/>
  <c r="R33" i="45"/>
  <c r="AF33" i="45"/>
  <c r="BJ33" i="45"/>
  <c r="GV32" i="45"/>
  <c r="GR33" i="45"/>
  <c r="GB33" i="45"/>
  <c r="HT32" i="45"/>
  <c r="FC33" i="45"/>
  <c r="HD32" i="45"/>
  <c r="CV33" i="45"/>
  <c r="CJ33" i="45"/>
  <c r="BX33" i="45"/>
  <c r="DT33" i="45"/>
  <c r="EB33" i="45"/>
  <c r="L33" i="45"/>
  <c r="GJ33" i="45"/>
  <c r="HC32" i="45"/>
  <c r="CN33" i="45"/>
  <c r="EY33" i="45"/>
  <c r="DX33" i="45"/>
  <c r="FK33" i="45"/>
  <c r="CE33" i="45"/>
  <c r="FH33" i="45"/>
  <c r="CI33" i="45"/>
  <c r="DH33" i="45"/>
  <c r="DP33" i="45"/>
  <c r="EQ33" i="45"/>
  <c r="DL33" i="45"/>
  <c r="X33" i="45" l="1"/>
  <c r="S33" i="45"/>
  <c r="N33" i="45"/>
  <c r="I33" i="45"/>
  <c r="AC33" i="45"/>
  <c r="AH33" i="45"/>
  <c r="AM33" i="45"/>
  <c r="AR33" i="45"/>
  <c r="AW33" i="45"/>
  <c r="BB33" i="45"/>
  <c r="BG33" i="45"/>
  <c r="BL33" i="45"/>
  <c r="BQ33" i="45"/>
  <c r="BU33" i="45"/>
  <c r="BY33" i="45"/>
  <c r="CC33" i="45"/>
  <c r="CG33" i="45"/>
  <c r="CK33" i="45"/>
  <c r="CO33" i="45"/>
  <c r="CS33" i="45"/>
  <c r="CW33" i="45"/>
  <c r="DA33" i="45"/>
  <c r="DE33" i="45"/>
  <c r="DI33" i="45"/>
  <c r="DM33" i="45"/>
  <c r="DQ33" i="45"/>
  <c r="DU33" i="45"/>
  <c r="DY33" i="45"/>
  <c r="EC33" i="45"/>
  <c r="EG33" i="45"/>
  <c r="EK33" i="45"/>
  <c r="EO33" i="45"/>
  <c r="ES33" i="45"/>
  <c r="EW33" i="45"/>
  <c r="FA33" i="45"/>
  <c r="FE33" i="45"/>
  <c r="FI33" i="45"/>
  <c r="FM33" i="45"/>
  <c r="FQ33" i="45"/>
  <c r="FU33" i="45"/>
  <c r="FY33" i="45"/>
  <c r="GG33" i="45"/>
  <c r="GC33" i="45"/>
  <c r="GK33" i="45"/>
  <c r="GS33" i="45"/>
  <c r="GW32" i="45"/>
  <c r="HA32" i="45"/>
  <c r="HE32" i="45"/>
  <c r="HI32" i="45"/>
  <c r="HU32" i="45"/>
  <c r="HM32" i="45"/>
  <c r="HQ32" i="45"/>
  <c r="GM32" i="45"/>
  <c r="GO32" i="45" l="1"/>
  <c r="HX34" i="45"/>
  <c r="GU33" i="45"/>
  <c r="GN33" i="45"/>
  <c r="HT33" i="45"/>
  <c r="HO33" i="45"/>
  <c r="GV33" i="45"/>
  <c r="HK33" i="45"/>
  <c r="HH33" i="45"/>
  <c r="HG33" i="45"/>
  <c r="D35" i="45"/>
  <c r="GY33" i="45"/>
  <c r="C35" i="45"/>
  <c r="GW33" i="45" l="1"/>
  <c r="HI33" i="45"/>
  <c r="H34" i="45"/>
  <c r="HP33" i="45"/>
  <c r="FK34" i="45"/>
  <c r="CN34" i="45"/>
  <c r="FC34" i="45"/>
  <c r="AB34" i="45"/>
  <c r="EF34" i="45"/>
  <c r="CR34" i="45"/>
  <c r="AZ34" i="45"/>
  <c r="GZ33" i="45"/>
  <c r="CM34" i="45"/>
  <c r="DC34" i="45"/>
  <c r="DT34" i="45"/>
  <c r="EY34" i="45"/>
  <c r="BJ34" i="45"/>
  <c r="G34" i="45"/>
  <c r="GI34" i="45"/>
  <c r="FW34" i="45"/>
  <c r="AA34" i="45"/>
  <c r="CQ34" i="45"/>
  <c r="HC33" i="45"/>
  <c r="DX34" i="45"/>
  <c r="FL34" i="45"/>
  <c r="EI34" i="45"/>
  <c r="HL33" i="45"/>
  <c r="EU34" i="45"/>
  <c r="DD34" i="45"/>
  <c r="AK34" i="45"/>
  <c r="HD33" i="45"/>
  <c r="V34" i="45"/>
  <c r="DG34" i="45"/>
  <c r="FH34" i="45"/>
  <c r="AU34" i="45"/>
  <c r="FT34" i="45"/>
  <c r="CF34" i="45"/>
  <c r="DK34" i="45"/>
  <c r="GE34" i="45"/>
  <c r="CJ34" i="45"/>
  <c r="AL34" i="45"/>
  <c r="BK34" i="45"/>
  <c r="EB34" i="45"/>
  <c r="GJ34" i="45"/>
  <c r="L34" i="45"/>
  <c r="AP34" i="45"/>
  <c r="W34" i="45"/>
  <c r="GM33" i="45"/>
  <c r="HS33" i="45"/>
  <c r="FS34" i="45"/>
  <c r="EA34" i="45"/>
  <c r="EN34" i="45"/>
  <c r="AV34" i="45"/>
  <c r="GF34" i="45"/>
  <c r="CB34" i="45"/>
  <c r="DO34" i="45"/>
  <c r="E35" i="45"/>
  <c r="EQ34" i="45"/>
  <c r="DS34" i="45"/>
  <c r="BO34" i="45"/>
  <c r="ER34" i="45"/>
  <c r="Q34" i="45"/>
  <c r="CE34" i="45"/>
  <c r="GB34" i="45"/>
  <c r="AF34" i="45"/>
  <c r="EV34" i="45"/>
  <c r="BF34" i="45"/>
  <c r="DL34" i="45"/>
  <c r="CZ34" i="45"/>
  <c r="EJ34" i="45"/>
  <c r="DW34" i="45"/>
  <c r="BW34" i="45"/>
  <c r="CU34" i="45"/>
  <c r="FX34" i="45"/>
  <c r="CA34" i="45"/>
  <c r="FG34" i="45"/>
  <c r="R34" i="45"/>
  <c r="CI34" i="45"/>
  <c r="GR34" i="45"/>
  <c r="AQ34" i="45"/>
  <c r="AG34" i="45"/>
  <c r="BT34" i="45"/>
  <c r="DH34" i="45"/>
  <c r="BS34" i="45"/>
  <c r="FD34" i="45"/>
  <c r="CV34" i="45"/>
  <c r="EE34" i="45"/>
  <c r="M34" i="45"/>
  <c r="EZ34" i="45"/>
  <c r="GA34" i="45"/>
  <c r="BA34" i="45"/>
  <c r="CY34" i="45"/>
  <c r="GQ34" i="45"/>
  <c r="BP34" i="45"/>
  <c r="EM34" i="45"/>
  <c r="FO34" i="45"/>
  <c r="BE34" i="45"/>
  <c r="DP34" i="45"/>
  <c r="FP34" i="45"/>
  <c r="BX34" i="45"/>
  <c r="X34" i="45" l="1"/>
  <c r="S34" i="45"/>
  <c r="N34" i="45"/>
  <c r="I34" i="45"/>
  <c r="AC34" i="45"/>
  <c r="AH34" i="45"/>
  <c r="AM34" i="45"/>
  <c r="AR34" i="45"/>
  <c r="AW34" i="45"/>
  <c r="BB34" i="45"/>
  <c r="BG34" i="45"/>
  <c r="BL34" i="45"/>
  <c r="BQ34" i="45"/>
  <c r="BU34" i="45"/>
  <c r="BY34" i="45"/>
  <c r="CC34" i="45"/>
  <c r="CG34" i="45"/>
  <c r="CK34" i="45"/>
  <c r="CO34" i="45"/>
  <c r="CS34" i="45"/>
  <c r="CW34" i="45"/>
  <c r="DA34" i="45"/>
  <c r="DE34" i="45"/>
  <c r="DI34" i="45"/>
  <c r="DM34" i="45"/>
  <c r="DQ34" i="45"/>
  <c r="DU34" i="45"/>
  <c r="DY34" i="45"/>
  <c r="EC34" i="45"/>
  <c r="EG34" i="45"/>
  <c r="EK34" i="45"/>
  <c r="EO34" i="45"/>
  <c r="ES34" i="45"/>
  <c r="EW34" i="45"/>
  <c r="FA34" i="45"/>
  <c r="FE34" i="45"/>
  <c r="FI34" i="45"/>
  <c r="FM34" i="45"/>
  <c r="FQ34" i="45"/>
  <c r="FU34" i="45"/>
  <c r="FY34" i="45"/>
  <c r="GG34" i="45"/>
  <c r="GC34" i="45"/>
  <c r="GK34" i="45"/>
  <c r="HM33" i="45"/>
  <c r="HE33" i="45"/>
  <c r="GO33" i="45"/>
  <c r="HQ33" i="45"/>
  <c r="GS34" i="45"/>
  <c r="HA33" i="45"/>
  <c r="HU33" i="45"/>
  <c r="HC34" i="45"/>
  <c r="HD34" i="45"/>
  <c r="GU34" i="45"/>
  <c r="HL34" i="45"/>
  <c r="HX35" i="45"/>
  <c r="HS34" i="45"/>
  <c r="GN34" i="45"/>
  <c r="GV34" i="45"/>
  <c r="HG34" i="45"/>
  <c r="GZ34" i="45"/>
  <c r="HT34" i="45"/>
  <c r="GY34" i="45"/>
  <c r="GM34" i="45"/>
  <c r="D36" i="45"/>
  <c r="HP34" i="45"/>
  <c r="HO34" i="45"/>
  <c r="GW34" i="45" l="1"/>
  <c r="GO34" i="45"/>
  <c r="HA34" i="45"/>
  <c r="HE34" i="45"/>
  <c r="HU34" i="45"/>
  <c r="HQ34" i="45"/>
  <c r="Q35" i="45"/>
  <c r="FL35" i="45"/>
  <c r="AU35" i="45"/>
  <c r="CV35" i="45"/>
  <c r="EF35" i="45"/>
  <c r="DW35" i="45"/>
  <c r="CY35" i="45"/>
  <c r="EU35" i="45"/>
  <c r="CM35" i="45"/>
  <c r="C36" i="45"/>
  <c r="GA35" i="45"/>
  <c r="AG35" i="45"/>
  <c r="GB35" i="45"/>
  <c r="CI35" i="45"/>
  <c r="DH35" i="45"/>
  <c r="FW35" i="45"/>
  <c r="R35" i="45"/>
  <c r="GF35" i="45"/>
  <c r="BS35" i="45"/>
  <c r="FP35" i="45"/>
  <c r="AV35" i="45"/>
  <c r="DX35" i="45"/>
  <c r="CZ35" i="45"/>
  <c r="DO35" i="45"/>
  <c r="EA35" i="45"/>
  <c r="CA35" i="45"/>
  <c r="EY35" i="45"/>
  <c r="CQ35" i="45"/>
  <c r="H35" i="45"/>
  <c r="BW35" i="45"/>
  <c r="M35" i="45"/>
  <c r="FO35" i="45"/>
  <c r="DS35" i="45"/>
  <c r="FS35" i="45"/>
  <c r="BT35" i="45"/>
  <c r="DL35" i="45"/>
  <c r="DD35" i="45"/>
  <c r="CB35" i="45"/>
  <c r="AB35" i="45"/>
  <c r="AA35" i="45"/>
  <c r="EM35" i="45"/>
  <c r="CU35" i="45"/>
  <c r="DG35" i="45"/>
  <c r="FX35" i="45"/>
  <c r="CJ35" i="45"/>
  <c r="L35" i="45"/>
  <c r="E36" i="45"/>
  <c r="HK34" i="45"/>
  <c r="FC35" i="45"/>
  <c r="GJ35" i="45"/>
  <c r="EN35" i="45"/>
  <c r="FG35" i="45"/>
  <c r="HH34" i="45"/>
  <c r="AK35" i="45"/>
  <c r="GI35" i="45"/>
  <c r="GR35" i="45"/>
  <c r="FK35" i="45"/>
  <c r="GQ35" i="45"/>
  <c r="CE35" i="45"/>
  <c r="AF35" i="45"/>
  <c r="BO35" i="45"/>
  <c r="G35" i="45"/>
  <c r="CF35" i="45"/>
  <c r="GE35" i="45"/>
  <c r="BA35" i="45"/>
  <c r="BK35" i="45"/>
  <c r="EB35" i="45"/>
  <c r="EE35" i="45"/>
  <c r="V35" i="45"/>
  <c r="BE35" i="45"/>
  <c r="BJ35" i="45"/>
  <c r="BX35" i="45"/>
  <c r="CR35" i="45"/>
  <c r="FH35" i="45"/>
  <c r="AQ35" i="45"/>
  <c r="EI35" i="45"/>
  <c r="EV35" i="45"/>
  <c r="AL35" i="45"/>
  <c r="DC35" i="45"/>
  <c r="EJ35" i="45"/>
  <c r="BP35" i="45"/>
  <c r="W35" i="45"/>
  <c r="DT35" i="45"/>
  <c r="ER35" i="45"/>
  <c r="BF35" i="45"/>
  <c r="AP35" i="45"/>
  <c r="FT35" i="45"/>
  <c r="DK35" i="45"/>
  <c r="FD35" i="45"/>
  <c r="EQ35" i="45"/>
  <c r="DP35" i="45"/>
  <c r="EZ35" i="45"/>
  <c r="CN35" i="45"/>
  <c r="AZ35" i="45"/>
  <c r="X35" i="45" l="1"/>
  <c r="S35" i="45"/>
  <c r="N35" i="45"/>
  <c r="I35" i="45"/>
  <c r="AC35" i="45"/>
  <c r="AH35" i="45"/>
  <c r="AM35" i="45"/>
  <c r="AR35" i="45"/>
  <c r="AW35" i="45"/>
  <c r="BB35" i="45"/>
  <c r="BG35" i="45"/>
  <c r="BL35" i="45"/>
  <c r="BQ35" i="45"/>
  <c r="BU35" i="45"/>
  <c r="BY35" i="45"/>
  <c r="CC35" i="45"/>
  <c r="CG35" i="45"/>
  <c r="CK35" i="45"/>
  <c r="CO35" i="45"/>
  <c r="CS35" i="45"/>
  <c r="CW35" i="45"/>
  <c r="DA35" i="45"/>
  <c r="DE35" i="45"/>
  <c r="DI35" i="45"/>
  <c r="DM35" i="45"/>
  <c r="DQ35" i="45"/>
  <c r="DU35" i="45"/>
  <c r="DY35" i="45"/>
  <c r="EC35" i="45"/>
  <c r="EG35" i="45"/>
  <c r="EK35" i="45"/>
  <c r="EO35" i="45"/>
  <c r="ES35" i="45"/>
  <c r="EW35" i="45"/>
  <c r="FA35" i="45"/>
  <c r="FE35" i="45"/>
  <c r="FI35" i="45"/>
  <c r="FM35" i="45"/>
  <c r="FQ35" i="45"/>
  <c r="FU35" i="45"/>
  <c r="FY35" i="45"/>
  <c r="GG35" i="45"/>
  <c r="GK35" i="45"/>
  <c r="GC35" i="45"/>
  <c r="GS35" i="45"/>
  <c r="HI34" i="45"/>
  <c r="HM34" i="45"/>
  <c r="HC35" i="45"/>
  <c r="HH35" i="45"/>
  <c r="HL35" i="45"/>
  <c r="GV35" i="45"/>
  <c r="HG35" i="45"/>
  <c r="HX36" i="45"/>
  <c r="GZ35" i="45"/>
  <c r="HT35" i="45"/>
  <c r="HS35" i="45"/>
  <c r="GN35" i="45"/>
  <c r="HK35" i="45"/>
  <c r="HI35" i="45" l="1"/>
  <c r="HU35" i="45"/>
  <c r="HM35" i="45"/>
  <c r="L36" i="45"/>
  <c r="FL36" i="45"/>
  <c r="CI36" i="45"/>
  <c r="BW36" i="45"/>
  <c r="BJ36" i="45"/>
  <c r="GE36" i="45"/>
  <c r="HP36" i="45"/>
  <c r="E37" i="45"/>
  <c r="AQ36" i="45"/>
  <c r="GB36" i="45"/>
  <c r="DD36" i="45"/>
  <c r="DO36" i="45"/>
  <c r="FC36" i="45"/>
  <c r="HO36" i="45"/>
  <c r="D37" i="45"/>
  <c r="GY35" i="45"/>
  <c r="CB36" i="45"/>
  <c r="G36" i="45"/>
  <c r="GM36" i="45"/>
  <c r="AF36" i="45"/>
  <c r="HD35" i="45"/>
  <c r="HT36" i="45"/>
  <c r="CZ36" i="45"/>
  <c r="ER36" i="45"/>
  <c r="CN36" i="45"/>
  <c r="BE36" i="45"/>
  <c r="HK36" i="45"/>
  <c r="DT36" i="45"/>
  <c r="DP36" i="45"/>
  <c r="BO36" i="45"/>
  <c r="FP36" i="45"/>
  <c r="M36" i="45"/>
  <c r="EY36" i="45"/>
  <c r="H36" i="45"/>
  <c r="AK36" i="45"/>
  <c r="AV36" i="45"/>
  <c r="CJ36" i="45"/>
  <c r="GU36" i="45"/>
  <c r="GU35" i="45"/>
  <c r="FD36" i="45"/>
  <c r="DL36" i="45"/>
  <c r="C37" i="45"/>
  <c r="EZ36" i="45"/>
  <c r="GM35" i="45"/>
  <c r="HO35" i="45"/>
  <c r="EB36" i="45"/>
  <c r="CU36" i="45"/>
  <c r="GI36" i="45"/>
  <c r="FK36" i="45"/>
  <c r="BX36" i="45"/>
  <c r="V36" i="45"/>
  <c r="DH36" i="45"/>
  <c r="HG36" i="45"/>
  <c r="GZ36" i="45"/>
  <c r="CY36" i="45"/>
  <c r="GN36" i="45"/>
  <c r="EE36" i="45"/>
  <c r="AB36" i="45"/>
  <c r="CM36" i="45"/>
  <c r="EN36" i="45"/>
  <c r="FT36" i="45"/>
  <c r="CQ36" i="45"/>
  <c r="DW36" i="45"/>
  <c r="EI36" i="45"/>
  <c r="FO36" i="45"/>
  <c r="BA36" i="45"/>
  <c r="W36" i="45"/>
  <c r="BP36" i="45"/>
  <c r="BT36" i="45"/>
  <c r="GA36" i="45"/>
  <c r="GR36" i="45"/>
  <c r="CR36" i="45"/>
  <c r="EU36" i="45"/>
  <c r="DS36" i="45"/>
  <c r="CA36" i="45"/>
  <c r="FX36" i="45"/>
  <c r="FW36" i="45"/>
  <c r="GY36" i="45"/>
  <c r="EA36" i="45"/>
  <c r="GF36" i="45"/>
  <c r="HL36" i="45"/>
  <c r="HP35" i="45"/>
  <c r="R36" i="45"/>
  <c r="AZ36" i="45"/>
  <c r="EM36" i="45"/>
  <c r="GV36" i="45"/>
  <c r="GQ36" i="45"/>
  <c r="DK36" i="45"/>
  <c r="CV36" i="45"/>
  <c r="CF36" i="45"/>
  <c r="HS36" i="45"/>
  <c r="EQ36" i="45"/>
  <c r="AL36" i="45"/>
  <c r="EJ36" i="45"/>
  <c r="BK36" i="45"/>
  <c r="AG36" i="45"/>
  <c r="HD36" i="45"/>
  <c r="DG36" i="45"/>
  <c r="Q36" i="45"/>
  <c r="FG36" i="45"/>
  <c r="BS36" i="45"/>
  <c r="AU36" i="45"/>
  <c r="EV36" i="45"/>
  <c r="EF36" i="45"/>
  <c r="BF36" i="45"/>
  <c r="DX36" i="45"/>
  <c r="FS36" i="45"/>
  <c r="AA36" i="45"/>
  <c r="AP36" i="45"/>
  <c r="DC36" i="45"/>
  <c r="HH36" i="45"/>
  <c r="GJ36" i="45"/>
  <c r="FH36" i="45"/>
  <c r="CE36" i="45"/>
  <c r="X36" i="45" l="1"/>
  <c r="S36" i="45"/>
  <c r="N36" i="45"/>
  <c r="I36" i="45"/>
  <c r="AC36" i="45"/>
  <c r="AH36" i="45"/>
  <c r="AM36" i="45"/>
  <c r="AR36" i="45"/>
  <c r="AW36" i="45"/>
  <c r="BB36" i="45"/>
  <c r="BG36" i="45"/>
  <c r="BL36" i="45"/>
  <c r="BQ36" i="45"/>
  <c r="BU36" i="45"/>
  <c r="BY36" i="45"/>
  <c r="CC36" i="45"/>
  <c r="CG36" i="45"/>
  <c r="CK36" i="45"/>
  <c r="CO36" i="45"/>
  <c r="CS36" i="45"/>
  <c r="CW36" i="45"/>
  <c r="DA36" i="45"/>
  <c r="DE36" i="45"/>
  <c r="DI36" i="45"/>
  <c r="DM36" i="45"/>
  <c r="DQ36" i="45"/>
  <c r="DU36" i="45"/>
  <c r="DY36" i="45"/>
  <c r="EC36" i="45"/>
  <c r="EG36" i="45"/>
  <c r="EK36" i="45"/>
  <c r="EO36" i="45"/>
  <c r="ES36" i="45"/>
  <c r="EW36" i="45"/>
  <c r="FA36" i="45"/>
  <c r="FE36" i="45"/>
  <c r="FI36" i="45"/>
  <c r="FM36" i="45"/>
  <c r="FQ36" i="45"/>
  <c r="FU36" i="45"/>
  <c r="FY36" i="45"/>
  <c r="GG36" i="45"/>
  <c r="GC36" i="45"/>
  <c r="GK36" i="45"/>
  <c r="GW35" i="45"/>
  <c r="HQ35" i="45"/>
  <c r="HA35" i="45"/>
  <c r="GO35" i="45"/>
  <c r="GS36" i="45"/>
  <c r="HE35" i="45"/>
  <c r="GW36" i="45"/>
  <c r="GO36" i="45"/>
  <c r="HA36" i="45"/>
  <c r="HI36" i="45"/>
  <c r="HU36" i="45"/>
  <c r="HQ36" i="45"/>
  <c r="HM36" i="45"/>
  <c r="C38" i="45"/>
  <c r="HC36" i="45"/>
  <c r="HX37" i="45"/>
  <c r="E38" i="45"/>
  <c r="D38" i="45"/>
  <c r="HE36" i="45" l="1"/>
  <c r="G37" i="45"/>
  <c r="BT37" i="45"/>
  <c r="BP37" i="45"/>
  <c r="EY37" i="45"/>
  <c r="CI37" i="45"/>
  <c r="AV37" i="45"/>
  <c r="DK37" i="45"/>
  <c r="BA37" i="45"/>
  <c r="GI37" i="45"/>
  <c r="FS37" i="45"/>
  <c r="AZ37" i="45"/>
  <c r="EI37" i="45"/>
  <c r="CU37" i="45"/>
  <c r="V37" i="45"/>
  <c r="AP37" i="45"/>
  <c r="FO37" i="45"/>
  <c r="EE37" i="45"/>
  <c r="FX37" i="45"/>
  <c r="GB37" i="45"/>
  <c r="CQ37" i="45"/>
  <c r="BJ37" i="45"/>
  <c r="CE37" i="45"/>
  <c r="BF37" i="45"/>
  <c r="GA37" i="45"/>
  <c r="GF37" i="45"/>
  <c r="GQ37" i="45"/>
  <c r="CA37" i="45"/>
  <c r="W37" i="45"/>
  <c r="CZ37" i="45"/>
  <c r="FD37" i="45"/>
  <c r="ER37" i="45"/>
  <c r="GR37" i="45"/>
  <c r="EA37" i="45"/>
  <c r="AU37" i="45"/>
  <c r="AG37" i="45"/>
  <c r="BO37" i="45"/>
  <c r="GJ37" i="45"/>
  <c r="AF37" i="45"/>
  <c r="FK37" i="45"/>
  <c r="EN37" i="45"/>
  <c r="R37" i="45"/>
  <c r="BW37" i="45"/>
  <c r="EM37" i="45"/>
  <c r="DH37" i="45"/>
  <c r="CJ37" i="45"/>
  <c r="FW37" i="45"/>
  <c r="AQ37" i="45"/>
  <c r="EJ37" i="45"/>
  <c r="BX37" i="45"/>
  <c r="DS37" i="45"/>
  <c r="EF37" i="45"/>
  <c r="DL37" i="45"/>
  <c r="DW37" i="45"/>
  <c r="EV37" i="45"/>
  <c r="Q37" i="45"/>
  <c r="DG37" i="45"/>
  <c r="CF37" i="45"/>
  <c r="BS37" i="45"/>
  <c r="AB37" i="45"/>
  <c r="GE37" i="45"/>
  <c r="DX37" i="45"/>
  <c r="DT37" i="45"/>
  <c r="C39" i="45"/>
  <c r="AK37" i="45"/>
  <c r="CN37" i="45"/>
  <c r="EQ37" i="45"/>
  <c r="L37" i="45"/>
  <c r="CR37" i="45"/>
  <c r="EB37" i="45"/>
  <c r="BE37" i="45"/>
  <c r="AL37" i="45"/>
  <c r="FH37" i="45"/>
  <c r="DC37" i="45"/>
  <c r="CV37" i="45"/>
  <c r="DP37" i="45"/>
  <c r="CM37" i="45"/>
  <c r="FC37" i="45"/>
  <c r="H37" i="45"/>
  <c r="CB37" i="45"/>
  <c r="M37" i="45"/>
  <c r="EU37" i="45"/>
  <c r="AA37" i="45"/>
  <c r="FG37" i="45"/>
  <c r="FT37" i="45"/>
  <c r="EZ37" i="45"/>
  <c r="DO37" i="45"/>
  <c r="CY37" i="45"/>
  <c r="FL37" i="45"/>
  <c r="E39" i="45"/>
  <c r="BK37" i="45"/>
  <c r="FP37" i="45"/>
  <c r="DD37" i="45"/>
  <c r="X37" i="45" l="1"/>
  <c r="S37" i="45"/>
  <c r="N37" i="45"/>
  <c r="I37" i="45"/>
  <c r="AC37" i="45"/>
  <c r="AH37" i="45"/>
  <c r="AM37" i="45"/>
  <c r="AR37" i="45"/>
  <c r="AW37" i="45"/>
  <c r="BB37" i="45"/>
  <c r="BG37" i="45"/>
  <c r="BL37" i="45"/>
  <c r="BQ37" i="45"/>
  <c r="BU37" i="45"/>
  <c r="BY37" i="45"/>
  <c r="CC37" i="45"/>
  <c r="CG37" i="45"/>
  <c r="CK37" i="45"/>
  <c r="CO37" i="45"/>
  <c r="CS37" i="45"/>
  <c r="CW37" i="45"/>
  <c r="DA37" i="45"/>
  <c r="DE37" i="45"/>
  <c r="DI37" i="45"/>
  <c r="DM37" i="45"/>
  <c r="DQ37" i="45"/>
  <c r="DU37" i="45"/>
  <c r="DY37" i="45"/>
  <c r="EC37" i="45"/>
  <c r="EG37" i="45"/>
  <c r="EK37" i="45"/>
  <c r="EO37" i="45"/>
  <c r="ES37" i="45"/>
  <c r="EW37" i="45"/>
  <c r="FA37" i="45"/>
  <c r="FE37" i="45"/>
  <c r="FI37" i="45"/>
  <c r="FM37" i="45"/>
  <c r="FQ37" i="45"/>
  <c r="FU37" i="45"/>
  <c r="FY37" i="45"/>
  <c r="GG37" i="45"/>
  <c r="GC37" i="45"/>
  <c r="GK37" i="45"/>
  <c r="GS37" i="45"/>
  <c r="HL37" i="45"/>
  <c r="HX38" i="45"/>
  <c r="HK37" i="45"/>
  <c r="GU37" i="45"/>
  <c r="GZ37" i="45"/>
  <c r="HP37" i="45"/>
  <c r="HH37" i="45"/>
  <c r="HO37" i="45"/>
  <c r="GN37" i="45"/>
  <c r="HQ37" i="45" l="1"/>
  <c r="HM37" i="45"/>
  <c r="H38" i="45"/>
  <c r="GR38" i="45"/>
  <c r="BT38" i="45"/>
  <c r="GQ38" i="45"/>
  <c r="DP38" i="45"/>
  <c r="BS38" i="45"/>
  <c r="FW38" i="45"/>
  <c r="D39" i="45"/>
  <c r="HC38" i="45"/>
  <c r="CM38" i="45"/>
  <c r="EY38" i="45"/>
  <c r="EE38" i="45"/>
  <c r="HT38" i="45"/>
  <c r="HO38" i="45"/>
  <c r="GE38" i="45"/>
  <c r="DT38" i="45"/>
  <c r="GB38" i="45"/>
  <c r="DS38" i="45"/>
  <c r="G38" i="45"/>
  <c r="FS38" i="45"/>
  <c r="CF38" i="45"/>
  <c r="CR38" i="45"/>
  <c r="EI38" i="45"/>
  <c r="BK38" i="45"/>
  <c r="BW38" i="45"/>
  <c r="HG37" i="45"/>
  <c r="AP38" i="45"/>
  <c r="DO38" i="45"/>
  <c r="EA38" i="45"/>
  <c r="FL38" i="45"/>
  <c r="CQ38" i="45"/>
  <c r="GA38" i="45"/>
  <c r="FO38" i="45"/>
  <c r="BA38" i="45"/>
  <c r="CZ38" i="45"/>
  <c r="EM38" i="45"/>
  <c r="V38" i="45"/>
  <c r="HS37" i="45"/>
  <c r="AU38" i="45"/>
  <c r="GV38" i="45"/>
  <c r="ER38" i="45"/>
  <c r="CB38" i="45"/>
  <c r="BJ38" i="45"/>
  <c r="AV38" i="45"/>
  <c r="CY38" i="45"/>
  <c r="AK38" i="45"/>
  <c r="AL38" i="45"/>
  <c r="DL38" i="45"/>
  <c r="GZ38" i="45"/>
  <c r="DG38" i="45"/>
  <c r="FH38" i="45"/>
  <c r="FG38" i="45"/>
  <c r="EU38" i="45"/>
  <c r="EJ38" i="45"/>
  <c r="CU38" i="45"/>
  <c r="EN38" i="45"/>
  <c r="W38" i="45"/>
  <c r="EQ38" i="45"/>
  <c r="AF38" i="45"/>
  <c r="FK38" i="45"/>
  <c r="FC38" i="45"/>
  <c r="CJ38" i="45"/>
  <c r="CE38" i="45"/>
  <c r="DD38" i="45"/>
  <c r="AB38" i="45"/>
  <c r="GI38" i="45"/>
  <c r="CV38" i="45"/>
  <c r="BE38" i="45"/>
  <c r="GM38" i="45"/>
  <c r="EB38" i="45"/>
  <c r="FX38" i="45"/>
  <c r="BO38" i="45"/>
  <c r="E40" i="45"/>
  <c r="DC38" i="45"/>
  <c r="R38" i="45"/>
  <c r="FT38" i="45"/>
  <c r="HT37" i="45"/>
  <c r="BF38" i="45"/>
  <c r="HC37" i="45"/>
  <c r="AA38" i="45"/>
  <c r="GF38" i="45"/>
  <c r="HD38" i="45"/>
  <c r="GY37" i="45"/>
  <c r="BP38" i="45"/>
  <c r="AZ38" i="45"/>
  <c r="EZ38" i="45"/>
  <c r="HD37" i="45"/>
  <c r="HK38" i="45"/>
  <c r="DX38" i="45"/>
  <c r="GY38" i="45"/>
  <c r="DH38" i="45"/>
  <c r="Q38" i="45"/>
  <c r="CN38" i="45"/>
  <c r="GN38" i="45"/>
  <c r="D40" i="45"/>
  <c r="GM37" i="45"/>
  <c r="CA38" i="45"/>
  <c r="M38" i="45"/>
  <c r="HG38" i="45"/>
  <c r="HL38" i="45"/>
  <c r="BX38" i="45"/>
  <c r="HH38" i="45"/>
  <c r="CI38" i="45"/>
  <c r="EF38" i="45"/>
  <c r="FP38" i="45"/>
  <c r="AQ38" i="45"/>
  <c r="FD38" i="45"/>
  <c r="AG38" i="45"/>
  <c r="DK38" i="45"/>
  <c r="DW38" i="45"/>
  <c r="HS38" i="45"/>
  <c r="L38" i="45"/>
  <c r="EV38" i="45"/>
  <c r="GV37" i="45"/>
  <c r="GJ38" i="45"/>
  <c r="X38" i="45" l="1"/>
  <c r="S38" i="45"/>
  <c r="N38" i="45"/>
  <c r="I38" i="45"/>
  <c r="AC38" i="45"/>
  <c r="AH38" i="45"/>
  <c r="AM38" i="45"/>
  <c r="AR38" i="45"/>
  <c r="AW38" i="45"/>
  <c r="BB38" i="45"/>
  <c r="BG38" i="45"/>
  <c r="BL38" i="45"/>
  <c r="BQ38" i="45"/>
  <c r="BU38" i="45"/>
  <c r="BY38" i="45"/>
  <c r="CC38" i="45"/>
  <c r="CG38" i="45"/>
  <c r="CK38" i="45"/>
  <c r="CO38" i="45"/>
  <c r="CS38" i="45"/>
  <c r="CW38" i="45"/>
  <c r="DA38" i="45"/>
  <c r="DE38" i="45"/>
  <c r="DI38" i="45"/>
  <c r="DM38" i="45"/>
  <c r="DQ38" i="45"/>
  <c r="DU38" i="45"/>
  <c r="DY38" i="45"/>
  <c r="EC38" i="45"/>
  <c r="EG38" i="45"/>
  <c r="EK38" i="45"/>
  <c r="EO38" i="45"/>
  <c r="ES38" i="45"/>
  <c r="EW38" i="45"/>
  <c r="FA38" i="45"/>
  <c r="FE38" i="45"/>
  <c r="FI38" i="45"/>
  <c r="FM38" i="45"/>
  <c r="FQ38" i="45"/>
  <c r="FU38" i="45"/>
  <c r="FY38" i="45"/>
  <c r="GG38" i="45"/>
  <c r="GK38" i="45"/>
  <c r="GC38" i="45"/>
  <c r="GW37" i="45"/>
  <c r="HU37" i="45"/>
  <c r="HI37" i="45"/>
  <c r="GS38" i="45"/>
  <c r="GO37" i="45"/>
  <c r="HE37" i="45"/>
  <c r="HA37" i="45"/>
  <c r="GO38" i="45"/>
  <c r="HA38" i="45"/>
  <c r="HE38" i="45"/>
  <c r="HI38" i="45"/>
  <c r="HU38" i="45"/>
  <c r="HM38" i="45"/>
  <c r="GU38" i="45"/>
  <c r="HP38" i="45"/>
  <c r="D41" i="45"/>
  <c r="E41" i="45"/>
  <c r="HX39" i="45"/>
  <c r="HX40" i="45"/>
  <c r="C41" i="45"/>
  <c r="C40" i="45"/>
  <c r="HQ38" i="45" l="1"/>
  <c r="GW38" i="45"/>
  <c r="R9" i="48"/>
  <c r="R40" i="45"/>
  <c r="G39" i="45"/>
  <c r="FC40" i="45"/>
  <c r="BO39" i="45"/>
  <c r="EZ40" i="45"/>
  <c r="CB39" i="45"/>
  <c r="EV39" i="45"/>
  <c r="FP40" i="45"/>
  <c r="CN39" i="45"/>
  <c r="ER39" i="45"/>
  <c r="CE39" i="45"/>
  <c r="FS40" i="45"/>
  <c r="FL40" i="45"/>
  <c r="DD39" i="45"/>
  <c r="CQ39" i="45"/>
  <c r="AB40" i="45"/>
  <c r="AF40" i="45"/>
  <c r="DG40" i="45"/>
  <c r="CM39" i="45"/>
  <c r="EQ39" i="45"/>
  <c r="GF40" i="45"/>
  <c r="DH39" i="45"/>
  <c r="DH40" i="45"/>
  <c r="FO39" i="45"/>
  <c r="DC39" i="45"/>
  <c r="EQ40" i="45"/>
  <c r="Q39" i="45"/>
  <c r="H39" i="45"/>
  <c r="GE40" i="45"/>
  <c r="DS39" i="45"/>
  <c r="FC39" i="45"/>
  <c r="CJ39" i="45"/>
  <c r="EB39" i="45"/>
  <c r="FK40" i="45"/>
  <c r="EV40" i="45"/>
  <c r="EE40" i="45"/>
  <c r="CU40" i="45"/>
  <c r="GI40" i="45"/>
  <c r="CU39" i="45"/>
  <c r="FK39" i="45"/>
  <c r="BO40" i="45"/>
  <c r="GJ39" i="45"/>
  <c r="AK39" i="45"/>
  <c r="CV40" i="45"/>
  <c r="GB39" i="45"/>
  <c r="EN39" i="45"/>
  <c r="AQ40" i="45"/>
  <c r="DC40" i="45"/>
  <c r="R39" i="45"/>
  <c r="H40" i="45"/>
  <c r="DO39" i="45"/>
  <c r="BE39" i="45"/>
  <c r="FP39" i="45"/>
  <c r="FH39" i="45"/>
  <c r="BK39" i="45"/>
  <c r="DW39" i="45"/>
  <c r="BX39" i="45"/>
  <c r="FD40" i="45"/>
  <c r="CA40" i="45"/>
  <c r="DO40" i="45"/>
  <c r="AL40" i="45"/>
  <c r="BT39" i="45"/>
  <c r="FH40" i="45"/>
  <c r="BF40" i="45"/>
  <c r="V40" i="45"/>
  <c r="M39" i="45"/>
  <c r="DK40" i="45"/>
  <c r="FW40" i="45"/>
  <c r="GB40" i="45"/>
  <c r="AU40" i="45"/>
  <c r="GR39" i="45"/>
  <c r="BS40" i="45"/>
  <c r="CF39" i="45"/>
  <c r="BT40" i="45"/>
  <c r="CY39" i="45"/>
  <c r="GQ39" i="45"/>
  <c r="CI40" i="45"/>
  <c r="AB39" i="45"/>
  <c r="EZ39" i="45"/>
  <c r="BS39" i="45"/>
  <c r="CJ40" i="45"/>
  <c r="AV39" i="45"/>
  <c r="AG40" i="45"/>
  <c r="CZ40" i="45"/>
  <c r="AG39" i="45"/>
  <c r="CI39" i="45"/>
  <c r="DL39" i="45"/>
  <c r="EY39" i="45"/>
  <c r="GU40" i="45"/>
  <c r="DT39" i="45"/>
  <c r="DT40" i="45"/>
  <c r="FG39" i="45"/>
  <c r="FT40" i="45"/>
  <c r="EY40" i="45"/>
  <c r="FL39" i="45"/>
  <c r="BJ39" i="45"/>
  <c r="GI39" i="45"/>
  <c r="EA39" i="45"/>
  <c r="CR39" i="45"/>
  <c r="W40" i="45"/>
  <c r="L40" i="45"/>
  <c r="BE40" i="45"/>
  <c r="CR40" i="45"/>
  <c r="DL40" i="45"/>
  <c r="DX39" i="45"/>
  <c r="DW40" i="45"/>
  <c r="DP40" i="45"/>
  <c r="EJ39" i="45"/>
  <c r="CQ40" i="45"/>
  <c r="FO40" i="45"/>
  <c r="BJ40" i="45"/>
  <c r="ER40" i="45"/>
  <c r="AK40" i="45"/>
  <c r="DS40" i="45"/>
  <c r="EA40" i="45"/>
  <c r="FD39" i="45"/>
  <c r="AP39" i="45"/>
  <c r="CE40" i="45"/>
  <c r="AA39" i="45"/>
  <c r="FW39" i="45"/>
  <c r="EN40" i="45"/>
  <c r="HX41" i="45"/>
  <c r="DD40" i="45"/>
  <c r="DK39" i="45"/>
  <c r="FG40" i="45"/>
  <c r="CZ39" i="45"/>
  <c r="BW40" i="45"/>
  <c r="BA39" i="45"/>
  <c r="V39" i="45"/>
  <c r="M40" i="45"/>
  <c r="GF39" i="45"/>
  <c r="DX40" i="45"/>
  <c r="AQ39" i="45"/>
  <c r="GE39" i="45"/>
  <c r="BP40" i="45"/>
  <c r="BX40" i="45"/>
  <c r="AL39" i="45"/>
  <c r="AA40" i="45"/>
  <c r="AP40" i="45"/>
  <c r="GJ40" i="45"/>
  <c r="GA40" i="45"/>
  <c r="AF39" i="45"/>
  <c r="CN40" i="45"/>
  <c r="CV39" i="45"/>
  <c r="CF40" i="45"/>
  <c r="EB40" i="45"/>
  <c r="EI40" i="45"/>
  <c r="GQ40" i="45"/>
  <c r="FT39" i="45"/>
  <c r="BW39" i="45"/>
  <c r="W39" i="45"/>
  <c r="L39" i="45"/>
  <c r="AZ39" i="45"/>
  <c r="EE39" i="45"/>
  <c r="EU40" i="45"/>
  <c r="DP39" i="45"/>
  <c r="FX39" i="45"/>
  <c r="BA40" i="45"/>
  <c r="EM40" i="45"/>
  <c r="FX40" i="45"/>
  <c r="CM40" i="45"/>
  <c r="CB40" i="45"/>
  <c r="EM39" i="45"/>
  <c r="EF40" i="45"/>
  <c r="EU39" i="45"/>
  <c r="EF39" i="45"/>
  <c r="AV40" i="45"/>
  <c r="BP39" i="45"/>
  <c r="BK40" i="45"/>
  <c r="BF39" i="45"/>
  <c r="AZ40" i="45"/>
  <c r="GR40" i="45"/>
  <c r="EI39" i="45"/>
  <c r="Q40" i="45"/>
  <c r="G40" i="45"/>
  <c r="CA39" i="45"/>
  <c r="AU39" i="45"/>
  <c r="CY40" i="45"/>
  <c r="EJ40" i="45"/>
  <c r="FS39" i="45"/>
  <c r="DG39" i="45"/>
  <c r="GA39" i="45"/>
  <c r="X39" i="45" l="1"/>
  <c r="X40" i="45"/>
  <c r="S39" i="45"/>
  <c r="S40" i="45"/>
  <c r="N39" i="45"/>
  <c r="N40" i="45"/>
  <c r="I39" i="45"/>
  <c r="I40" i="45"/>
  <c r="AC39" i="45"/>
  <c r="AC40" i="45"/>
  <c r="AH40" i="45"/>
  <c r="AH39" i="45"/>
  <c r="AM40" i="45"/>
  <c r="AM39" i="45"/>
  <c r="AR39" i="45"/>
  <c r="AR40" i="45"/>
  <c r="AW40" i="45"/>
  <c r="AW39" i="45"/>
  <c r="BB39" i="45"/>
  <c r="BB40" i="45"/>
  <c r="BG39" i="45"/>
  <c r="BG40" i="45"/>
  <c r="BL40" i="45"/>
  <c r="BL39" i="45"/>
  <c r="BQ40" i="45"/>
  <c r="BQ39" i="45"/>
  <c r="BU40" i="45"/>
  <c r="BU39" i="45"/>
  <c r="BY40" i="45"/>
  <c r="BY39" i="45"/>
  <c r="CC39" i="45"/>
  <c r="CC40" i="45"/>
  <c r="CG39" i="45"/>
  <c r="CG40" i="45"/>
  <c r="CK40" i="45"/>
  <c r="CK39" i="45"/>
  <c r="CO39" i="45"/>
  <c r="CO40" i="45"/>
  <c r="CS40" i="45"/>
  <c r="CS39" i="45"/>
  <c r="CW39" i="45"/>
  <c r="CW40" i="45"/>
  <c r="DA39" i="45"/>
  <c r="DA40" i="45"/>
  <c r="DE39" i="45"/>
  <c r="DE40" i="45"/>
  <c r="DI40" i="45"/>
  <c r="DI39" i="45"/>
  <c r="DM40" i="45"/>
  <c r="DM39" i="45"/>
  <c r="DQ40" i="45"/>
  <c r="DQ39" i="45"/>
  <c r="DU39" i="45"/>
  <c r="DU40" i="45"/>
  <c r="DY39" i="45"/>
  <c r="DY40" i="45"/>
  <c r="EC40" i="45"/>
  <c r="EC39" i="45"/>
  <c r="EG40" i="45"/>
  <c r="EG39" i="45"/>
  <c r="EK40" i="45"/>
  <c r="EK39" i="45"/>
  <c r="EO40" i="45"/>
  <c r="EO39" i="45"/>
  <c r="ES39" i="45"/>
  <c r="ES40" i="45"/>
  <c r="EW39" i="45"/>
  <c r="EW40" i="45"/>
  <c r="FA40" i="45"/>
  <c r="FA39" i="45"/>
  <c r="FE40" i="45"/>
  <c r="FE39" i="45"/>
  <c r="FI40" i="45"/>
  <c r="FI39" i="45"/>
  <c r="FM40" i="45"/>
  <c r="FM39" i="45"/>
  <c r="FQ40" i="45"/>
  <c r="FQ39" i="45"/>
  <c r="FU39" i="45"/>
  <c r="FU40" i="45"/>
  <c r="FY39" i="45"/>
  <c r="FY40" i="45"/>
  <c r="GG40" i="45"/>
  <c r="GG39" i="45"/>
  <c r="GC40" i="45"/>
  <c r="GK39" i="45"/>
  <c r="GK40" i="45"/>
  <c r="GC39" i="45"/>
  <c r="GS39" i="45"/>
  <c r="GS40" i="45"/>
  <c r="G41" i="45"/>
  <c r="GI41" i="45"/>
  <c r="GM39" i="45"/>
  <c r="FP41" i="45"/>
  <c r="BS41" i="45"/>
  <c r="FC41" i="45"/>
  <c r="DX41" i="45"/>
  <c r="DW41" i="45"/>
  <c r="HK39" i="45"/>
  <c r="D42" i="45"/>
  <c r="ER41" i="45"/>
  <c r="DK41" i="45"/>
  <c r="H41" i="45"/>
  <c r="CQ41" i="45"/>
  <c r="CM41" i="45"/>
  <c r="CJ41" i="45"/>
  <c r="AP41" i="45"/>
  <c r="AB41" i="45"/>
  <c r="BK41" i="45"/>
  <c r="EU41" i="45"/>
  <c r="BO41" i="45"/>
  <c r="GE41" i="45"/>
  <c r="DG41" i="45"/>
  <c r="EE41" i="45"/>
  <c r="V41" i="45"/>
  <c r="EI41" i="45"/>
  <c r="FD41" i="45"/>
  <c r="DL41" i="45"/>
  <c r="AA41" i="45"/>
  <c r="DD41" i="45"/>
  <c r="EZ41" i="45"/>
  <c r="AZ41" i="45"/>
  <c r="AL41" i="45"/>
  <c r="EB41" i="45"/>
  <c r="CY41" i="45"/>
  <c r="GB41" i="45"/>
  <c r="EV41" i="45"/>
  <c r="W41" i="45"/>
  <c r="GJ41" i="45"/>
  <c r="GF41" i="45"/>
  <c r="GQ41" i="45"/>
  <c r="EY41" i="45"/>
  <c r="HT39" i="45"/>
  <c r="FX41" i="45"/>
  <c r="CR41" i="45"/>
  <c r="FS41" i="45"/>
  <c r="BA41" i="45"/>
  <c r="BX41" i="45"/>
  <c r="EF41" i="45"/>
  <c r="CU41" i="45"/>
  <c r="R41" i="45"/>
  <c r="GA41" i="45"/>
  <c r="HC39" i="45"/>
  <c r="CZ41" i="45"/>
  <c r="FT41" i="45"/>
  <c r="BP41" i="45"/>
  <c r="AK41" i="45"/>
  <c r="FW41" i="45"/>
  <c r="CI41" i="45"/>
  <c r="BT41" i="45"/>
  <c r="AV41" i="45"/>
  <c r="FL41" i="45"/>
  <c r="BJ41" i="45"/>
  <c r="Q41" i="45"/>
  <c r="DO41" i="45"/>
  <c r="CF41" i="45"/>
  <c r="EA41" i="45"/>
  <c r="EM41" i="45"/>
  <c r="FO41" i="45"/>
  <c r="BW41" i="45"/>
  <c r="AG41" i="45"/>
  <c r="CA41" i="45"/>
  <c r="AQ41" i="45"/>
  <c r="FG41" i="45"/>
  <c r="DT41" i="45"/>
  <c r="L41" i="45"/>
  <c r="BE41" i="45"/>
  <c r="EQ41" i="45"/>
  <c r="AF41" i="45"/>
  <c r="GV39" i="45"/>
  <c r="HD39" i="45"/>
  <c r="CE41" i="45"/>
  <c r="HP39" i="45"/>
  <c r="EN41" i="45"/>
  <c r="HG40" i="45"/>
  <c r="AU41" i="45"/>
  <c r="DC41" i="45"/>
  <c r="M41" i="45"/>
  <c r="DS41" i="45"/>
  <c r="BF41" i="45"/>
  <c r="CV41" i="45"/>
  <c r="DP41" i="45"/>
  <c r="FK41" i="45"/>
  <c r="FH41" i="45"/>
  <c r="DH41" i="45"/>
  <c r="CB41" i="45"/>
  <c r="GR41" i="45"/>
  <c r="CN41" i="45"/>
  <c r="EJ41" i="45"/>
  <c r="X41" i="45" l="1"/>
  <c r="S41" i="45"/>
  <c r="N41" i="45"/>
  <c r="I41" i="45"/>
  <c r="AC41" i="45"/>
  <c r="AH41" i="45"/>
  <c r="AM41" i="45"/>
  <c r="AR41" i="45"/>
  <c r="AW41" i="45"/>
  <c r="BB41" i="45"/>
  <c r="BG41" i="45"/>
  <c r="BL41" i="45"/>
  <c r="BQ41" i="45"/>
  <c r="BU41" i="45"/>
  <c r="BY41" i="45"/>
  <c r="CC41" i="45"/>
  <c r="CG41" i="45"/>
  <c r="CK41" i="45"/>
  <c r="CO41" i="45"/>
  <c r="CS41" i="45"/>
  <c r="CW41" i="45"/>
  <c r="DA41" i="45"/>
  <c r="DE41" i="45"/>
  <c r="DI41" i="45"/>
  <c r="DM41" i="45"/>
  <c r="DQ41" i="45"/>
  <c r="DU41" i="45"/>
  <c r="DY41" i="45"/>
  <c r="EC41" i="45"/>
  <c r="EG41" i="45"/>
  <c r="EK41" i="45"/>
  <c r="EO41" i="45"/>
  <c r="ES41" i="45"/>
  <c r="EW41" i="45"/>
  <c r="FA41" i="45"/>
  <c r="FE41" i="45"/>
  <c r="FI41" i="45"/>
  <c r="FM41" i="45"/>
  <c r="FQ41" i="45"/>
  <c r="FU41" i="45"/>
  <c r="FY41" i="45"/>
  <c r="GG41" i="45"/>
  <c r="GC41" i="45"/>
  <c r="GK41" i="45"/>
  <c r="GS41" i="45"/>
  <c r="GZ39" i="45"/>
  <c r="HO39" i="45"/>
  <c r="GN40" i="45"/>
  <c r="GM40" i="45"/>
  <c r="GZ40" i="45"/>
  <c r="GU39" i="45"/>
  <c r="HH40" i="45"/>
  <c r="C42" i="45"/>
  <c r="HP40" i="45"/>
  <c r="HS40" i="45"/>
  <c r="GV40" i="45"/>
  <c r="GN39" i="45"/>
  <c r="HH39" i="45"/>
  <c r="HC40" i="45"/>
  <c r="GY40" i="45"/>
  <c r="HG39" i="45"/>
  <c r="HD40" i="45"/>
  <c r="GW39" i="45" l="1"/>
  <c r="GW40" i="45"/>
  <c r="GO40" i="45"/>
  <c r="GO39" i="45"/>
  <c r="HA40" i="45"/>
  <c r="M53" i="48"/>
  <c r="HE40" i="45"/>
  <c r="HE39" i="45"/>
  <c r="HI40" i="45"/>
  <c r="HI39" i="45"/>
  <c r="HQ39" i="45"/>
  <c r="HP41" i="45"/>
  <c r="GY39" i="45"/>
  <c r="HS39" i="45"/>
  <c r="HL39" i="45"/>
  <c r="HT40" i="45"/>
  <c r="HL40" i="45"/>
  <c r="HO40" i="45"/>
  <c r="HK40" i="45"/>
  <c r="C43" i="45"/>
  <c r="HU39" i="45" l="1"/>
  <c r="HA39" i="45"/>
  <c r="HM39" i="45"/>
  <c r="HQ40" i="45"/>
  <c r="HM40" i="45"/>
  <c r="HU40" i="45"/>
  <c r="GY41" i="45"/>
  <c r="GU41" i="45"/>
  <c r="HT41" i="45"/>
  <c r="E43" i="45"/>
  <c r="HH41" i="45"/>
  <c r="GV41" i="45"/>
  <c r="HO41" i="45"/>
  <c r="HC41" i="45"/>
  <c r="HK41" i="45"/>
  <c r="HX42" i="45"/>
  <c r="GN41" i="45"/>
  <c r="HL41" i="45"/>
  <c r="GW41" i="45" l="1"/>
  <c r="HQ41" i="45"/>
  <c r="HM41" i="45"/>
  <c r="L42" i="45"/>
  <c r="AZ42" i="45"/>
  <c r="E42" i="45"/>
  <c r="FD42" i="45"/>
  <c r="BW42" i="45"/>
  <c r="AA42" i="45"/>
  <c r="GR42" i="45"/>
  <c r="FX42" i="45"/>
  <c r="HG41" i="45"/>
  <c r="AL42" i="45"/>
  <c r="GJ42" i="45"/>
  <c r="FT42" i="45"/>
  <c r="H42" i="45"/>
  <c r="AF42" i="45"/>
  <c r="FG42" i="45"/>
  <c r="EN42" i="45"/>
  <c r="CB42" i="45"/>
  <c r="DO42" i="45"/>
  <c r="FH42" i="45"/>
  <c r="BF42" i="45"/>
  <c r="FS42" i="45"/>
  <c r="EY42" i="45"/>
  <c r="DD42" i="45"/>
  <c r="BX42" i="45"/>
  <c r="DH42" i="45"/>
  <c r="G42" i="45"/>
  <c r="BO42" i="45"/>
  <c r="CR42" i="45"/>
  <c r="FL42" i="45"/>
  <c r="DS42" i="45"/>
  <c r="HS41" i="45"/>
  <c r="CE42" i="45"/>
  <c r="BA42" i="45"/>
  <c r="GF42" i="45"/>
  <c r="GQ42" i="45"/>
  <c r="EB42" i="45"/>
  <c r="HG42" i="45"/>
  <c r="DX42" i="45"/>
  <c r="GI42" i="45"/>
  <c r="CM42" i="45"/>
  <c r="AQ42" i="45"/>
  <c r="DK42" i="45"/>
  <c r="Q42" i="45"/>
  <c r="BK42" i="45"/>
  <c r="V42" i="45"/>
  <c r="FO42" i="45"/>
  <c r="DT42" i="45"/>
  <c r="GB42" i="45"/>
  <c r="CZ42" i="45"/>
  <c r="CQ42" i="45"/>
  <c r="EJ42" i="45"/>
  <c r="AB42" i="45"/>
  <c r="EU42" i="45"/>
  <c r="GM41" i="45"/>
  <c r="CU42" i="45"/>
  <c r="GU42" i="45"/>
  <c r="EA42" i="45"/>
  <c r="GE42" i="45"/>
  <c r="BP42" i="45"/>
  <c r="EI42" i="45"/>
  <c r="CV42" i="45"/>
  <c r="CJ42" i="45"/>
  <c r="FC42" i="45"/>
  <c r="FW42" i="45"/>
  <c r="CA42" i="45"/>
  <c r="W42" i="45"/>
  <c r="AV42" i="45"/>
  <c r="EQ42" i="45"/>
  <c r="DW42" i="45"/>
  <c r="FP42" i="45"/>
  <c r="R42" i="45"/>
  <c r="ER42" i="45"/>
  <c r="EF42" i="45"/>
  <c r="D44" i="45"/>
  <c r="BT42" i="45"/>
  <c r="BE42" i="45"/>
  <c r="AK42" i="45"/>
  <c r="EZ42" i="45"/>
  <c r="DP42" i="45"/>
  <c r="BS42" i="45"/>
  <c r="EM42" i="45"/>
  <c r="HD41" i="45"/>
  <c r="DL42" i="45"/>
  <c r="EE42" i="45"/>
  <c r="M42" i="45"/>
  <c r="CF42" i="45"/>
  <c r="DC42" i="45"/>
  <c r="AP42" i="45"/>
  <c r="EV42" i="45"/>
  <c r="DG42" i="45"/>
  <c r="CI42" i="45"/>
  <c r="HK42" i="45"/>
  <c r="GA42" i="45"/>
  <c r="AU42" i="45"/>
  <c r="CN42" i="45"/>
  <c r="AG42" i="45"/>
  <c r="CY42" i="45"/>
  <c r="FK42" i="45"/>
  <c r="GZ41" i="45"/>
  <c r="GV42" i="45"/>
  <c r="BJ42" i="45"/>
  <c r="X42" i="45" l="1"/>
  <c r="S42" i="45"/>
  <c r="N42" i="45"/>
  <c r="I42" i="45"/>
  <c r="AC42" i="45"/>
  <c r="AH42" i="45"/>
  <c r="AM42" i="45"/>
  <c r="AR42" i="45"/>
  <c r="AW42" i="45"/>
  <c r="BB42" i="45"/>
  <c r="BG42" i="45"/>
  <c r="BL42" i="45"/>
  <c r="BQ42" i="45"/>
  <c r="BU42" i="45"/>
  <c r="BY42" i="45"/>
  <c r="CC42" i="45"/>
  <c r="CG42" i="45"/>
  <c r="CK42" i="45"/>
  <c r="CO42" i="45"/>
  <c r="CS42" i="45"/>
  <c r="CW42" i="45"/>
  <c r="DA42" i="45"/>
  <c r="DE42" i="45"/>
  <c r="DI42" i="45"/>
  <c r="DM42" i="45"/>
  <c r="DQ42" i="45"/>
  <c r="DU42" i="45"/>
  <c r="DY42" i="45"/>
  <c r="EC42" i="45"/>
  <c r="EG42" i="45"/>
  <c r="EK42" i="45"/>
  <c r="EO42" i="45"/>
  <c r="ES42" i="45"/>
  <c r="EW42" i="45"/>
  <c r="FA42" i="45"/>
  <c r="FE42" i="45"/>
  <c r="FI42" i="45"/>
  <c r="FM42" i="45"/>
  <c r="FQ42" i="45"/>
  <c r="FU42" i="45"/>
  <c r="FY42" i="45"/>
  <c r="GG42" i="45"/>
  <c r="GK42" i="45"/>
  <c r="GC42" i="45"/>
  <c r="HI41" i="45"/>
  <c r="HU41" i="45"/>
  <c r="GO41" i="45"/>
  <c r="HA41" i="45"/>
  <c r="GS42" i="45"/>
  <c r="HE41" i="45"/>
  <c r="HD42" i="45"/>
  <c r="HC42" i="45"/>
  <c r="HT42" i="45"/>
  <c r="D43" i="45"/>
  <c r="GZ42" i="45"/>
  <c r="HH42" i="45"/>
  <c r="GN42" i="45"/>
  <c r="E44" i="45"/>
  <c r="HL42" i="45"/>
  <c r="HP42" i="45"/>
  <c r="GM42" i="45"/>
  <c r="HO42" i="45"/>
  <c r="GY42" i="45"/>
  <c r="GW42" i="45" l="1"/>
  <c r="GO42" i="45"/>
  <c r="HA42" i="45"/>
  <c r="HE42" i="45"/>
  <c r="HI42" i="45"/>
  <c r="HM42" i="45"/>
  <c r="HQ42" i="45"/>
  <c r="E45" i="45"/>
  <c r="C45" i="45"/>
  <c r="C46" i="45"/>
  <c r="D46" i="45"/>
  <c r="D45" i="45"/>
  <c r="HS42" i="45"/>
  <c r="HX43" i="45"/>
  <c r="E46" i="45"/>
  <c r="C44" i="45"/>
  <c r="HX44" i="45"/>
  <c r="HU42" i="45" l="1"/>
  <c r="R44" i="45"/>
  <c r="H44" i="45"/>
  <c r="BA43" i="45"/>
  <c r="CV43" i="45"/>
  <c r="BX43" i="45"/>
  <c r="DL44" i="45"/>
  <c r="EN44" i="45"/>
  <c r="DT43" i="45"/>
  <c r="DS43" i="45"/>
  <c r="DK44" i="45"/>
  <c r="BO43" i="45"/>
  <c r="AF44" i="45"/>
  <c r="EU44" i="45"/>
  <c r="BW44" i="45"/>
  <c r="CQ44" i="45"/>
  <c r="CJ43" i="45"/>
  <c r="AZ43" i="45"/>
  <c r="BF43" i="45"/>
  <c r="GR44" i="45"/>
  <c r="FD44" i="45"/>
  <c r="BJ44" i="45"/>
  <c r="GA44" i="45"/>
  <c r="AB43" i="45"/>
  <c r="EQ44" i="45"/>
  <c r="AF43" i="45"/>
  <c r="EM44" i="45"/>
  <c r="V44" i="45"/>
  <c r="M44" i="45"/>
  <c r="FT43" i="45"/>
  <c r="FK43" i="45"/>
  <c r="AA44" i="45"/>
  <c r="AP43" i="45"/>
  <c r="GQ43" i="45"/>
  <c r="AG44" i="45"/>
  <c r="EZ43" i="45"/>
  <c r="FL43" i="45"/>
  <c r="FH44" i="45"/>
  <c r="GV44" i="45"/>
  <c r="W44" i="45"/>
  <c r="L43" i="45"/>
  <c r="DS44" i="45"/>
  <c r="EQ43" i="45"/>
  <c r="BA44" i="45"/>
  <c r="FL44" i="45"/>
  <c r="ER44" i="45"/>
  <c r="AK44" i="45"/>
  <c r="DC44" i="45"/>
  <c r="DW43" i="45"/>
  <c r="FO43" i="45"/>
  <c r="EZ44" i="45"/>
  <c r="CI44" i="45"/>
  <c r="CB44" i="45"/>
  <c r="CU44" i="45"/>
  <c r="AV44" i="45"/>
  <c r="DH43" i="45"/>
  <c r="GE44" i="45"/>
  <c r="EU43" i="45"/>
  <c r="DG44" i="45"/>
  <c r="EE43" i="45"/>
  <c r="GB43" i="45"/>
  <c r="EB44" i="45"/>
  <c r="BP44" i="45"/>
  <c r="FX43" i="45"/>
  <c r="AK43" i="45"/>
  <c r="FK44" i="45"/>
  <c r="V43" i="45"/>
  <c r="L44" i="45"/>
  <c r="ER43" i="45"/>
  <c r="FC43" i="45"/>
  <c r="BJ43" i="45"/>
  <c r="FO44" i="45"/>
  <c r="AB44" i="45"/>
  <c r="FX44" i="45"/>
  <c r="AV43" i="45"/>
  <c r="EF44" i="45"/>
  <c r="CY44" i="45"/>
  <c r="BP43" i="45"/>
  <c r="AP44" i="45"/>
  <c r="DP43" i="45"/>
  <c r="DD44" i="45"/>
  <c r="BO44" i="45"/>
  <c r="EI44" i="45"/>
  <c r="FD43" i="45"/>
  <c r="FH43" i="45"/>
  <c r="CF43" i="45"/>
  <c r="CM44" i="45"/>
  <c r="GB44" i="45"/>
  <c r="AZ44" i="45"/>
  <c r="EA44" i="45"/>
  <c r="CA44" i="45"/>
  <c r="DO43" i="45"/>
  <c r="AG43" i="45"/>
  <c r="BE44" i="45"/>
  <c r="W43" i="45"/>
  <c r="M43" i="45"/>
  <c r="CR44" i="45"/>
  <c r="BW43" i="45"/>
  <c r="CN43" i="45"/>
  <c r="GR43" i="45"/>
  <c r="GE43" i="45"/>
  <c r="DG43" i="45"/>
  <c r="EM43" i="45"/>
  <c r="EV44" i="45"/>
  <c r="BS43" i="45"/>
  <c r="FP43" i="45"/>
  <c r="FS44" i="45"/>
  <c r="R43" i="45"/>
  <c r="H43" i="45"/>
  <c r="FC44" i="45"/>
  <c r="CZ43" i="45"/>
  <c r="EI43" i="45"/>
  <c r="AL44" i="45"/>
  <c r="FG43" i="45"/>
  <c r="BK44" i="45"/>
  <c r="DL43" i="45"/>
  <c r="CI43" i="45"/>
  <c r="CJ44" i="45"/>
  <c r="EY43" i="45"/>
  <c r="DX44" i="45"/>
  <c r="EA43" i="45"/>
  <c r="CR43" i="45"/>
  <c r="EV43" i="45"/>
  <c r="CN44" i="45"/>
  <c r="EE44" i="45"/>
  <c r="BT44" i="45"/>
  <c r="CA43" i="45"/>
  <c r="EJ43" i="45"/>
  <c r="FW44" i="45"/>
  <c r="GJ44" i="45"/>
  <c r="CZ44" i="45"/>
  <c r="GQ44" i="45"/>
  <c r="Q43" i="45"/>
  <c r="G43" i="45"/>
  <c r="EY44" i="45"/>
  <c r="BX44" i="45"/>
  <c r="EF43" i="45"/>
  <c r="DX43" i="45"/>
  <c r="EB43" i="45"/>
  <c r="DO44" i="45"/>
  <c r="GJ43" i="45"/>
  <c r="BF44" i="45"/>
  <c r="AQ44" i="45"/>
  <c r="FS43" i="45"/>
  <c r="CU43" i="45"/>
  <c r="FG44" i="45"/>
  <c r="DW44" i="45"/>
  <c r="CQ43" i="45"/>
  <c r="GI44" i="45"/>
  <c r="CV44" i="45"/>
  <c r="FP44" i="45"/>
  <c r="GF43" i="45"/>
  <c r="DH44" i="45"/>
  <c r="CE43" i="45"/>
  <c r="FT44" i="45"/>
  <c r="CF44" i="45"/>
  <c r="GI43" i="45"/>
  <c r="Q44" i="45"/>
  <c r="G44" i="45"/>
  <c r="DT44" i="45"/>
  <c r="CY43" i="45"/>
  <c r="DD43" i="45"/>
  <c r="BK43" i="45"/>
  <c r="BE43" i="45"/>
  <c r="EJ44" i="45"/>
  <c r="AL43" i="45"/>
  <c r="AQ43" i="45"/>
  <c r="BS44" i="45"/>
  <c r="AA43" i="45"/>
  <c r="GF44" i="45"/>
  <c r="CM43" i="45"/>
  <c r="GA43" i="45"/>
  <c r="AU43" i="45"/>
  <c r="CB43" i="45"/>
  <c r="CE44" i="45"/>
  <c r="DC43" i="45"/>
  <c r="FW43" i="45"/>
  <c r="EN43" i="45"/>
  <c r="DK43" i="45"/>
  <c r="BT43" i="45"/>
  <c r="AU44" i="45"/>
  <c r="DP44" i="45"/>
  <c r="X43" i="45" l="1"/>
  <c r="X44" i="45"/>
  <c r="S44" i="45"/>
  <c r="S43" i="45"/>
  <c r="N44" i="45"/>
  <c r="N43" i="45"/>
  <c r="I44" i="45"/>
  <c r="I43" i="45"/>
  <c r="AC43" i="45"/>
  <c r="AC44" i="45"/>
  <c r="AH43" i="45"/>
  <c r="AH44" i="45"/>
  <c r="AM43" i="45"/>
  <c r="AM44" i="45"/>
  <c r="AR44" i="45"/>
  <c r="AR43" i="45"/>
  <c r="AW43" i="45"/>
  <c r="AW44" i="45"/>
  <c r="BB43" i="45"/>
  <c r="BB44" i="45"/>
  <c r="BG44" i="45"/>
  <c r="BG43" i="45"/>
  <c r="BL43" i="45"/>
  <c r="BL44" i="45"/>
  <c r="BQ43" i="45"/>
  <c r="BQ44" i="45"/>
  <c r="BU44" i="45"/>
  <c r="BU43" i="45"/>
  <c r="BY43" i="45"/>
  <c r="BY44" i="45"/>
  <c r="CC44" i="45"/>
  <c r="CC43" i="45"/>
  <c r="CG43" i="45"/>
  <c r="CG44" i="45"/>
  <c r="CK44" i="45"/>
  <c r="CK43" i="45"/>
  <c r="CO44" i="45"/>
  <c r="CO43" i="45"/>
  <c r="CS44" i="45"/>
  <c r="CS43" i="45"/>
  <c r="CW44" i="45"/>
  <c r="CW43" i="45"/>
  <c r="DA44" i="45"/>
  <c r="DA43" i="45"/>
  <c r="DE43" i="45"/>
  <c r="DE44" i="45"/>
  <c r="DI43" i="45"/>
  <c r="DI44" i="45"/>
  <c r="DM43" i="45"/>
  <c r="DM44" i="45"/>
  <c r="DQ43" i="45"/>
  <c r="DQ44" i="45"/>
  <c r="DU43" i="45"/>
  <c r="DU44" i="45"/>
  <c r="DY44" i="45"/>
  <c r="DY43" i="45"/>
  <c r="EC44" i="45"/>
  <c r="EC43" i="45"/>
  <c r="EG44" i="45"/>
  <c r="EG43" i="45"/>
  <c r="EK43" i="45"/>
  <c r="EK44" i="45"/>
  <c r="EO44" i="45"/>
  <c r="EO43" i="45"/>
  <c r="ES43" i="45"/>
  <c r="ES44" i="45"/>
  <c r="EW44" i="45"/>
  <c r="EW43" i="45"/>
  <c r="FA43" i="45"/>
  <c r="FA44" i="45"/>
  <c r="FE43" i="45"/>
  <c r="FE44" i="45"/>
  <c r="FI44" i="45"/>
  <c r="FI43" i="45"/>
  <c r="FM43" i="45"/>
  <c r="FM44" i="45"/>
  <c r="FQ43" i="45"/>
  <c r="FQ44" i="45"/>
  <c r="FU44" i="45"/>
  <c r="FU43" i="45"/>
  <c r="FY44" i="45"/>
  <c r="FY43" i="45"/>
  <c r="GG44" i="45"/>
  <c r="GG43" i="45"/>
  <c r="GC44" i="45"/>
  <c r="GK43" i="45"/>
  <c r="GK44" i="45"/>
  <c r="GC43" i="45"/>
  <c r="GS43" i="45"/>
  <c r="GS44" i="45"/>
  <c r="D47" i="45"/>
  <c r="HC43" i="45"/>
  <c r="HG44" i="45"/>
  <c r="HT44" i="45"/>
  <c r="HP44" i="45"/>
  <c r="HX45" i="45"/>
  <c r="HC44" i="45"/>
  <c r="GZ44" i="45"/>
  <c r="HO44" i="45"/>
  <c r="HQ44" i="45" l="1"/>
  <c r="I12" i="6"/>
  <c r="C29" i="2"/>
  <c r="L45" i="45"/>
  <c r="DT45" i="45"/>
  <c r="BS45" i="45"/>
  <c r="GB45" i="45"/>
  <c r="HK43" i="45"/>
  <c r="DW45" i="45"/>
  <c r="DO45" i="45"/>
  <c r="GY44" i="45"/>
  <c r="C47" i="45"/>
  <c r="AV45" i="45"/>
  <c r="DH45" i="45"/>
  <c r="EF45" i="45"/>
  <c r="AP45" i="45"/>
  <c r="BE45" i="45"/>
  <c r="G45" i="45"/>
  <c r="BA45" i="45"/>
  <c r="HX46" i="45"/>
  <c r="BF45" i="45"/>
  <c r="HS43" i="45"/>
  <c r="GV43" i="45"/>
  <c r="FX45" i="45"/>
  <c r="FL45" i="45"/>
  <c r="FH45" i="45"/>
  <c r="EJ45" i="45"/>
  <c r="GU44" i="45"/>
  <c r="DC45" i="45"/>
  <c r="GR45" i="45"/>
  <c r="H45" i="45"/>
  <c r="HH44" i="45"/>
  <c r="FG45" i="45"/>
  <c r="GQ45" i="45"/>
  <c r="AL45" i="45"/>
  <c r="FO45" i="45"/>
  <c r="AK45" i="45"/>
  <c r="DD45" i="45"/>
  <c r="DK45" i="45"/>
  <c r="CE45" i="45"/>
  <c r="HT43" i="45"/>
  <c r="HK44" i="45"/>
  <c r="BP45" i="45"/>
  <c r="GE45" i="45"/>
  <c r="AU45" i="45"/>
  <c r="GJ45" i="45"/>
  <c r="R45" i="45"/>
  <c r="GI45" i="45"/>
  <c r="EM45" i="45"/>
  <c r="CV45" i="45"/>
  <c r="CF45" i="45"/>
  <c r="EN45" i="45"/>
  <c r="HG43" i="45"/>
  <c r="W45" i="45"/>
  <c r="HD43" i="45"/>
  <c r="EI45" i="45"/>
  <c r="HL44" i="45"/>
  <c r="CJ45" i="45"/>
  <c r="CB45" i="45"/>
  <c r="CR45" i="45"/>
  <c r="DL45" i="45"/>
  <c r="HS44" i="45"/>
  <c r="FT45" i="45"/>
  <c r="AF45" i="45"/>
  <c r="EY45" i="45"/>
  <c r="CA45" i="45"/>
  <c r="BT45" i="45"/>
  <c r="BX45" i="45"/>
  <c r="HO43" i="45"/>
  <c r="DG45" i="45"/>
  <c r="BK45" i="45"/>
  <c r="GM43" i="45"/>
  <c r="AG45" i="45"/>
  <c r="AB45" i="45"/>
  <c r="EV45" i="45"/>
  <c r="V45" i="45"/>
  <c r="HL43" i="45"/>
  <c r="FP45" i="45"/>
  <c r="GY43" i="45"/>
  <c r="DP45" i="45"/>
  <c r="EQ45" i="45"/>
  <c r="GU43" i="45"/>
  <c r="EA45" i="45"/>
  <c r="FD45" i="45"/>
  <c r="HP43" i="45"/>
  <c r="GN44" i="45"/>
  <c r="FS45" i="45"/>
  <c r="CU45" i="45"/>
  <c r="CY45" i="45"/>
  <c r="EB45" i="45"/>
  <c r="CZ45" i="45"/>
  <c r="CQ45" i="45"/>
  <c r="FC45" i="45"/>
  <c r="DX45" i="45"/>
  <c r="GN43" i="45"/>
  <c r="GM44" i="45"/>
  <c r="Q45" i="45"/>
  <c r="DS45" i="45"/>
  <c r="EE45" i="45"/>
  <c r="HH43" i="45"/>
  <c r="EZ45" i="45"/>
  <c r="FW45" i="45"/>
  <c r="GA45" i="45"/>
  <c r="AZ45" i="45"/>
  <c r="HD44" i="45"/>
  <c r="ER45" i="45"/>
  <c r="CN45" i="45"/>
  <c r="E47" i="45"/>
  <c r="BW45" i="45"/>
  <c r="FK45" i="45"/>
  <c r="GZ43" i="45"/>
  <c r="M45" i="45"/>
  <c r="GF45" i="45"/>
  <c r="AQ45" i="45"/>
  <c r="EU45" i="45"/>
  <c r="BJ45" i="45"/>
  <c r="AA45" i="45"/>
  <c r="BO45" i="45"/>
  <c r="CM45" i="45"/>
  <c r="CI45" i="45"/>
  <c r="X45" i="45" l="1"/>
  <c r="S45" i="45"/>
  <c r="N45" i="45"/>
  <c r="I45" i="45"/>
  <c r="AC45" i="45"/>
  <c r="AH45" i="45"/>
  <c r="AM45" i="45"/>
  <c r="AR45" i="45"/>
  <c r="AW45" i="45"/>
  <c r="BB45" i="45"/>
  <c r="BG45" i="45"/>
  <c r="BL45" i="45"/>
  <c r="BQ45" i="45"/>
  <c r="BU45" i="45"/>
  <c r="BY45" i="45"/>
  <c r="CC45" i="45"/>
  <c r="CG45" i="45"/>
  <c r="CK45" i="45"/>
  <c r="CO45" i="45"/>
  <c r="CS45" i="45"/>
  <c r="CW45" i="45"/>
  <c r="DA45" i="45"/>
  <c r="DE45" i="45"/>
  <c r="DI45" i="45"/>
  <c r="DM45" i="45"/>
  <c r="DQ45" i="45"/>
  <c r="DU45" i="45"/>
  <c r="DY45" i="45"/>
  <c r="EC45" i="45"/>
  <c r="EG45" i="45"/>
  <c r="EK45" i="45"/>
  <c r="EO45" i="45"/>
  <c r="ES45" i="45"/>
  <c r="EW45" i="45"/>
  <c r="FA45" i="45"/>
  <c r="FE45" i="45"/>
  <c r="FI45" i="45"/>
  <c r="FM45" i="45"/>
  <c r="FQ45" i="45"/>
  <c r="FU45" i="45"/>
  <c r="FY45" i="45"/>
  <c r="GG45" i="45"/>
  <c r="GC45" i="45"/>
  <c r="GK45" i="45"/>
  <c r="GW44" i="45"/>
  <c r="HM43" i="45"/>
  <c r="HA43" i="45"/>
  <c r="HE43" i="45"/>
  <c r="HQ43" i="45"/>
  <c r="HM44" i="45"/>
  <c r="HE44" i="45"/>
  <c r="HI44" i="45"/>
  <c r="HU44" i="45"/>
  <c r="GO43" i="45"/>
  <c r="HA44" i="45"/>
  <c r="GW43" i="45"/>
  <c r="HU43" i="45"/>
  <c r="GS45" i="45"/>
  <c r="HI43" i="45"/>
  <c r="GO44" i="45"/>
  <c r="L46" i="45"/>
  <c r="GE46" i="45"/>
  <c r="EB46" i="45"/>
  <c r="FL46" i="45"/>
  <c r="DX46" i="45"/>
  <c r="EI46" i="45"/>
  <c r="CR46" i="45"/>
  <c r="EF46" i="45"/>
  <c r="BW46" i="45"/>
  <c r="BP46" i="45"/>
  <c r="FD46" i="45"/>
  <c r="EV46" i="45"/>
  <c r="GR46" i="45"/>
  <c r="R46" i="45"/>
  <c r="GF46" i="45"/>
  <c r="GZ46" i="45"/>
  <c r="M46" i="45"/>
  <c r="EJ46" i="45"/>
  <c r="AA46" i="45"/>
  <c r="GJ46" i="45"/>
  <c r="DO46" i="45"/>
  <c r="BS46" i="45"/>
  <c r="BX46" i="45"/>
  <c r="EA46" i="45"/>
  <c r="EE46" i="45"/>
  <c r="HT46" i="45"/>
  <c r="AK46" i="45"/>
  <c r="EZ46" i="45"/>
  <c r="BK46" i="45"/>
  <c r="AF46" i="45"/>
  <c r="FX46" i="45"/>
  <c r="GQ46" i="45"/>
  <c r="G46" i="45"/>
  <c r="CA46" i="45"/>
  <c r="DL46" i="45"/>
  <c r="FO46" i="45"/>
  <c r="FC46" i="45"/>
  <c r="ER46" i="45"/>
  <c r="FK46" i="45"/>
  <c r="DT46" i="45"/>
  <c r="BA46" i="45"/>
  <c r="HS45" i="45"/>
  <c r="CY46" i="45"/>
  <c r="CU46" i="45"/>
  <c r="DD46" i="45"/>
  <c r="EU46" i="45"/>
  <c r="DK46" i="45"/>
  <c r="DG46" i="45"/>
  <c r="H46" i="45"/>
  <c r="AL46" i="45"/>
  <c r="AP46" i="45"/>
  <c r="EQ46" i="45"/>
  <c r="CQ46" i="45"/>
  <c r="CZ46" i="45"/>
  <c r="GI46" i="45"/>
  <c r="DS46" i="45"/>
  <c r="BJ46" i="45"/>
  <c r="HL46" i="45"/>
  <c r="CE46" i="45"/>
  <c r="FW46" i="45"/>
  <c r="W46" i="45"/>
  <c r="AB46" i="45"/>
  <c r="DP46" i="45"/>
  <c r="FH46" i="45"/>
  <c r="BO46" i="45"/>
  <c r="CN46" i="45"/>
  <c r="CF46" i="45"/>
  <c r="CB46" i="45"/>
  <c r="DC46" i="45"/>
  <c r="HP46" i="45"/>
  <c r="EY46" i="45"/>
  <c r="HD46" i="45"/>
  <c r="V46" i="45"/>
  <c r="FS46" i="45"/>
  <c r="BT46" i="45"/>
  <c r="CJ46" i="45"/>
  <c r="AV46" i="45"/>
  <c r="AU46" i="45"/>
  <c r="FG46" i="45"/>
  <c r="HS46" i="45"/>
  <c r="AQ46" i="45"/>
  <c r="HK46" i="45"/>
  <c r="GA46" i="45"/>
  <c r="FP46" i="45"/>
  <c r="GY45" i="45"/>
  <c r="Q46" i="45"/>
  <c r="GB46" i="45"/>
  <c r="CV46" i="45"/>
  <c r="DH46" i="45"/>
  <c r="BE46" i="45"/>
  <c r="AZ46" i="45"/>
  <c r="DW46" i="45"/>
  <c r="FT46" i="45"/>
  <c r="GM46" i="45"/>
  <c r="AG46" i="45"/>
  <c r="BF46" i="45"/>
  <c r="CM46" i="45"/>
  <c r="EM46" i="45"/>
  <c r="EN46" i="45"/>
  <c r="CI46" i="45"/>
  <c r="X46" i="45" l="1"/>
  <c r="S46" i="45"/>
  <c r="N46" i="45"/>
  <c r="I46" i="45"/>
  <c r="AC46" i="45"/>
  <c r="AH46" i="45"/>
  <c r="AM46" i="45"/>
  <c r="AR46" i="45"/>
  <c r="AW46" i="45"/>
  <c r="BB46" i="45"/>
  <c r="BG46" i="45"/>
  <c r="BL46" i="45"/>
  <c r="BQ46" i="45"/>
  <c r="BU46" i="45"/>
  <c r="BY46" i="45"/>
  <c r="CC46" i="45"/>
  <c r="CG46" i="45"/>
  <c r="CK46" i="45"/>
  <c r="CO46" i="45"/>
  <c r="CS46" i="45"/>
  <c r="CW46" i="45"/>
  <c r="DA46" i="45"/>
  <c r="DE46" i="45"/>
  <c r="DI46" i="45"/>
  <c r="DM46" i="45"/>
  <c r="DQ46" i="45"/>
  <c r="DU46" i="45"/>
  <c r="DY46" i="45"/>
  <c r="EC46" i="45"/>
  <c r="EG46" i="45"/>
  <c r="EK46" i="45"/>
  <c r="EO46" i="45"/>
  <c r="ES46" i="45"/>
  <c r="EW46" i="45"/>
  <c r="FA46" i="45"/>
  <c r="FE46" i="45"/>
  <c r="FI46" i="45"/>
  <c r="FM46" i="45"/>
  <c r="FQ46" i="45"/>
  <c r="FU46" i="45"/>
  <c r="FY46" i="45"/>
  <c r="GG46" i="45"/>
  <c r="GK46" i="45"/>
  <c r="GC46" i="45"/>
  <c r="GS46" i="45"/>
  <c r="L12" i="6"/>
  <c r="M12" i="6"/>
  <c r="HU46" i="45" l="1"/>
  <c r="HM46" i="45"/>
  <c r="I13" i="6"/>
  <c r="I14" i="6" s="1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69" i="12"/>
  <c r="GN45" i="45"/>
  <c r="HH45" i="45"/>
  <c r="GY46" i="45"/>
  <c r="HX47" i="45"/>
  <c r="GM45" i="45"/>
  <c r="HC46" i="45"/>
  <c r="HP45" i="45"/>
  <c r="Z12" i="6"/>
  <c r="GV45" i="45"/>
  <c r="HO46" i="45"/>
  <c r="HT45" i="45"/>
  <c r="HC45" i="45"/>
  <c r="HK45" i="45"/>
  <c r="GZ45" i="45"/>
  <c r="HL45" i="45"/>
  <c r="HD45" i="45"/>
  <c r="HH46" i="45"/>
  <c r="GN46" i="45"/>
  <c r="HA45" i="45" l="1"/>
  <c r="HU45" i="45"/>
  <c r="GO46" i="45"/>
  <c r="HE46" i="45"/>
  <c r="HA46" i="45"/>
  <c r="GO45" i="45"/>
  <c r="HM45" i="45"/>
  <c r="HE45" i="45"/>
  <c r="HQ46" i="45"/>
  <c r="I15" i="6"/>
  <c r="G47" i="45"/>
  <c r="BA47" i="45"/>
  <c r="H47" i="45"/>
  <c r="AV47" i="45"/>
  <c r="AG47" i="45"/>
  <c r="AU47" i="45"/>
  <c r="W47" i="45"/>
  <c r="AL47" i="45"/>
  <c r="AZ47" i="45"/>
  <c r="AQ47" i="45"/>
  <c r="V47" i="45"/>
  <c r="AA47" i="45"/>
  <c r="R47" i="45"/>
  <c r="Q47" i="45"/>
  <c r="AP47" i="45"/>
  <c r="L47" i="45"/>
  <c r="AF47" i="45"/>
  <c r="M47" i="45"/>
  <c r="AB47" i="45"/>
  <c r="AK47" i="45"/>
  <c r="X47" i="45" l="1"/>
  <c r="S47" i="45"/>
  <c r="N47" i="45"/>
  <c r="I47" i="45"/>
  <c r="AC47" i="45"/>
  <c r="AH47" i="45"/>
  <c r="AM47" i="45"/>
  <c r="AR47" i="45"/>
  <c r="AW47" i="45"/>
  <c r="BB47" i="45"/>
  <c r="I16" i="6"/>
  <c r="GF47" i="45"/>
  <c r="BJ47" i="45"/>
  <c r="CA47" i="45"/>
  <c r="EF47" i="45"/>
  <c r="CM47" i="45"/>
  <c r="DK47" i="45"/>
  <c r="EJ47" i="45"/>
  <c r="CZ47" i="45"/>
  <c r="DC47" i="45"/>
  <c r="FK47" i="45"/>
  <c r="FO47" i="45"/>
  <c r="CV47" i="45"/>
  <c r="DG47" i="45"/>
  <c r="EU47" i="45"/>
  <c r="BS47" i="45"/>
  <c r="BK47" i="45"/>
  <c r="BF47" i="45"/>
  <c r="FC47" i="45"/>
  <c r="GJ47" i="45"/>
  <c r="FX47" i="45"/>
  <c r="DL47" i="45"/>
  <c r="CN47" i="45"/>
  <c r="EV47" i="45"/>
  <c r="DH47" i="45"/>
  <c r="BO47" i="45"/>
  <c r="GA47" i="45"/>
  <c r="DO47" i="45"/>
  <c r="BX47" i="45"/>
  <c r="DD47" i="45"/>
  <c r="FG47" i="45"/>
  <c r="GQ47" i="45"/>
  <c r="FT47" i="45"/>
  <c r="BW47" i="45"/>
  <c r="CY47" i="45"/>
  <c r="ER47" i="45"/>
  <c r="DP47" i="45"/>
  <c r="DT47" i="45"/>
  <c r="GB47" i="45"/>
  <c r="DX47" i="45"/>
  <c r="FW47" i="45"/>
  <c r="FL47" i="45"/>
  <c r="EQ47" i="45"/>
  <c r="CR47" i="45"/>
  <c r="FD47" i="45"/>
  <c r="EM47" i="45"/>
  <c r="GI47" i="45"/>
  <c r="CB47" i="45"/>
  <c r="CI47" i="45"/>
  <c r="EY47" i="45"/>
  <c r="FH47" i="45"/>
  <c r="EI47" i="45"/>
  <c r="DW47" i="45"/>
  <c r="CF47" i="45"/>
  <c r="BT47" i="45"/>
  <c r="EA47" i="45"/>
  <c r="GE47" i="45"/>
  <c r="FP47" i="45"/>
  <c r="FS47" i="45"/>
  <c r="BE47" i="45"/>
  <c r="CE47" i="45"/>
  <c r="CJ47" i="45"/>
  <c r="BP47" i="45"/>
  <c r="DS47" i="45"/>
  <c r="EN47" i="45"/>
  <c r="CU47" i="45"/>
  <c r="EE47" i="45"/>
  <c r="GR47" i="45"/>
  <c r="EB47" i="45"/>
  <c r="EZ47" i="45"/>
  <c r="CQ47" i="45"/>
  <c r="EW47" i="45" l="1"/>
  <c r="DA47" i="45"/>
  <c r="FU47" i="45"/>
  <c r="DI47" i="45"/>
  <c r="CW47" i="45"/>
  <c r="CO47" i="45"/>
  <c r="DQ47" i="45"/>
  <c r="DM47" i="45"/>
  <c r="FE47" i="45"/>
  <c r="FY47" i="45"/>
  <c r="BY47" i="45"/>
  <c r="GK47" i="45"/>
  <c r="CG47" i="45"/>
  <c r="EO47" i="45"/>
  <c r="FQ47" i="45"/>
  <c r="BU47" i="45"/>
  <c r="FA47" i="45"/>
  <c r="ES47" i="45"/>
  <c r="CC47" i="45"/>
  <c r="BL47" i="45"/>
  <c r="DE47" i="45"/>
  <c r="CS47" i="45"/>
  <c r="FM47" i="45"/>
  <c r="DU47" i="45"/>
  <c r="GC47" i="45"/>
  <c r="FI47" i="45"/>
  <c r="BG47" i="45"/>
  <c r="CK47" i="45"/>
  <c r="EK47" i="45"/>
  <c r="EG47" i="45"/>
  <c r="EC47" i="45"/>
  <c r="GS47" i="45"/>
  <c r="DY47" i="45"/>
  <c r="BQ47" i="45"/>
  <c r="GG47" i="45"/>
  <c r="I17" i="6"/>
  <c r="B409" i="12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D418" i="12"/>
  <c r="B424" i="12" l="1"/>
  <c r="I18" i="6"/>
  <c r="HG46" i="45"/>
  <c r="M15" i="6"/>
  <c r="HO45" i="45"/>
  <c r="GN47" i="45"/>
  <c r="HO47" i="45"/>
  <c r="HL47" i="45"/>
  <c r="L14" i="6"/>
  <c r="GZ47" i="45"/>
  <c r="HC47" i="45"/>
  <c r="GM47" i="45"/>
  <c r="HS47" i="45"/>
  <c r="V12" i="6"/>
  <c r="HG45" i="45"/>
  <c r="L17" i="6"/>
  <c r="M14" i="6"/>
  <c r="M16" i="6"/>
  <c r="HP47" i="45"/>
  <c r="HD47" i="45"/>
  <c r="HT47" i="45"/>
  <c r="GU45" i="45"/>
  <c r="M13" i="6"/>
  <c r="W12" i="6"/>
  <c r="GV46" i="45"/>
  <c r="L18" i="6"/>
  <c r="GV47" i="45"/>
  <c r="GU47" i="45"/>
  <c r="HK47" i="45"/>
  <c r="HG47" i="45"/>
  <c r="HH47" i="45"/>
  <c r="L16" i="6"/>
  <c r="GY47" i="45"/>
  <c r="L15" i="6"/>
  <c r="GU46" i="45"/>
  <c r="M17" i="6"/>
  <c r="L13" i="6"/>
  <c r="GO47" i="45" l="1"/>
  <c r="GW45" i="45"/>
  <c r="HI47" i="45"/>
  <c r="GW46" i="45"/>
  <c r="HA47" i="45"/>
  <c r="HQ45" i="45"/>
  <c r="HI46" i="45"/>
  <c r="HE47" i="45"/>
  <c r="GW47" i="45"/>
  <c r="X12" i="6"/>
  <c r="N12" i="6" s="1"/>
  <c r="HQ47" i="45"/>
  <c r="HM47" i="45"/>
  <c r="HU47" i="45"/>
  <c r="HI45" i="45"/>
  <c r="B425" i="12"/>
  <c r="I19" i="6"/>
  <c r="Z14" i="6"/>
  <c r="Z15" i="6"/>
  <c r="Z13" i="6"/>
  <c r="Z17" i="6"/>
  <c r="Z16" i="6"/>
  <c r="L19" i="6"/>
  <c r="M18" i="6"/>
  <c r="B426" i="12" l="1"/>
  <c r="I20" i="6"/>
  <c r="V17" i="6"/>
  <c r="W14" i="6"/>
  <c r="M20" i="6"/>
  <c r="V16" i="6"/>
  <c r="V15" i="6"/>
  <c r="W15" i="6"/>
  <c r="M19" i="6"/>
  <c r="W17" i="6"/>
  <c r="W13" i="6"/>
  <c r="W16" i="6"/>
  <c r="V14" i="6"/>
  <c r="Z18" i="6"/>
  <c r="X14" i="6" l="1"/>
  <c r="N14" i="6" s="1"/>
  <c r="X15" i="6"/>
  <c r="N15" i="6" s="1"/>
  <c r="X16" i="6"/>
  <c r="N16" i="6" s="1"/>
  <c r="X17" i="6"/>
  <c r="N17" i="6" s="1"/>
  <c r="B427" i="12"/>
  <c r="I21" i="6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Z19" i="6"/>
  <c r="L20" i="6"/>
  <c r="V18" i="6"/>
  <c r="W18" i="6"/>
  <c r="M21" i="6"/>
  <c r="Z20" i="6"/>
  <c r="X18" i="6" l="1"/>
  <c r="N18" i="6" s="1"/>
  <c r="B428" i="12"/>
  <c r="B429" i="12" s="1"/>
  <c r="I22" i="6"/>
  <c r="AA19" i="35"/>
  <c r="L21" i="6"/>
  <c r="W20" i="6"/>
  <c r="Z21" i="6"/>
  <c r="M22" i="6"/>
  <c r="W19" i="6"/>
  <c r="V19" i="6"/>
  <c r="V20" i="6"/>
  <c r="X19" i="6" l="1"/>
  <c r="N19" i="6" s="1"/>
  <c r="B430" i="12"/>
  <c r="X20" i="6"/>
  <c r="N20" i="6" s="1"/>
  <c r="I23" i="6"/>
  <c r="V21" i="6"/>
  <c r="L22" i="6"/>
  <c r="Z22" i="6"/>
  <c r="W21" i="6"/>
  <c r="M23" i="6"/>
  <c r="B431" i="12" l="1"/>
  <c r="X21" i="6"/>
  <c r="N21" i="6" s="1"/>
  <c r="I24" i="6"/>
  <c r="L3" i="39"/>
  <c r="L2" i="39"/>
  <c r="F1" i="39"/>
  <c r="G1" i="39" s="1"/>
  <c r="H1" i="39" s="1"/>
  <c r="F1" i="38"/>
  <c r="G1" i="38" s="1"/>
  <c r="H1" i="38" s="1"/>
  <c r="I1" i="38" s="1"/>
  <c r="L3" i="38"/>
  <c r="L2" i="38"/>
  <c r="G38" i="11"/>
  <c r="H38" i="11" s="1"/>
  <c r="G36" i="11"/>
  <c r="H36" i="11" s="1"/>
  <c r="G34" i="11"/>
  <c r="H34" i="11" s="1"/>
  <c r="AB19" i="35"/>
  <c r="Z23" i="6"/>
  <c r="L17" i="39"/>
  <c r="I6" i="39"/>
  <c r="L23" i="6"/>
  <c r="V22" i="6"/>
  <c r="W22" i="6"/>
  <c r="M24" i="6"/>
  <c r="I5" i="39" l="1"/>
  <c r="B432" i="12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X22" i="6"/>
  <c r="N22" i="6" s="1"/>
  <c r="I25" i="6"/>
  <c r="AC14" i="35"/>
  <c r="AA15" i="35"/>
  <c r="AA16" i="35"/>
  <c r="AC15" i="35"/>
  <c r="AB15" i="35"/>
  <c r="AB17" i="35"/>
  <c r="AA11" i="35"/>
  <c r="AA13" i="35"/>
  <c r="AA8" i="35"/>
  <c r="AB9" i="35"/>
  <c r="AB10" i="35"/>
  <c r="AC11" i="35"/>
  <c r="AB11" i="35"/>
  <c r="AC9" i="35"/>
  <c r="AB13" i="35"/>
  <c r="AB8" i="35"/>
  <c r="AB12" i="35"/>
  <c r="AC13" i="35"/>
  <c r="AC16" i="35"/>
  <c r="AC17" i="35"/>
  <c r="AC8" i="35"/>
  <c r="AA9" i="35"/>
  <c r="AC10" i="35"/>
  <c r="AA17" i="35"/>
  <c r="AB14" i="35"/>
  <c r="AA14" i="35"/>
  <c r="AC12" i="35"/>
  <c r="AA10" i="35"/>
  <c r="AA12" i="35"/>
  <c r="AB16" i="35"/>
  <c r="L23" i="39"/>
  <c r="L18" i="38"/>
  <c r="L22" i="38"/>
  <c r="L43" i="38"/>
  <c r="L42" i="38"/>
  <c r="L44" i="39"/>
  <c r="L14" i="38"/>
  <c r="L38" i="38"/>
  <c r="L46" i="39"/>
  <c r="L33" i="39"/>
  <c r="L29" i="38"/>
  <c r="E6" i="39"/>
  <c r="L15" i="39"/>
  <c r="L38" i="39"/>
  <c r="L43" i="39"/>
  <c r="L10" i="38"/>
  <c r="L47" i="38"/>
  <c r="L20" i="39"/>
  <c r="L42" i="39"/>
  <c r="F6" i="38"/>
  <c r="L32" i="39"/>
  <c r="L24" i="6"/>
  <c r="L31" i="38"/>
  <c r="L11" i="38"/>
  <c r="W23" i="6"/>
  <c r="L22" i="39"/>
  <c r="L15" i="38"/>
  <c r="L16" i="39"/>
  <c r="L46" i="38"/>
  <c r="L24" i="39"/>
  <c r="L28" i="39"/>
  <c r="V23" i="6"/>
  <c r="F6" i="39"/>
  <c r="L33" i="38"/>
  <c r="L40" i="39"/>
  <c r="H6" i="38"/>
  <c r="L37" i="39"/>
  <c r="L31" i="39"/>
  <c r="L17" i="38"/>
  <c r="L32" i="38"/>
  <c r="L41" i="38"/>
  <c r="L28" i="38"/>
  <c r="L40" i="38"/>
  <c r="L26" i="39"/>
  <c r="L14" i="39"/>
  <c r="G6" i="39"/>
  <c r="L18" i="39"/>
  <c r="L19" i="38"/>
  <c r="L19" i="39"/>
  <c r="L35" i="39"/>
  <c r="L41" i="39"/>
  <c r="L13" i="38"/>
  <c r="L34" i="39"/>
  <c r="L23" i="38"/>
  <c r="L21" i="38"/>
  <c r="L26" i="38"/>
  <c r="Z24" i="6"/>
  <c r="H6" i="39"/>
  <c r="L12" i="38"/>
  <c r="L37" i="38"/>
  <c r="E6" i="38"/>
  <c r="L36" i="39"/>
  <c r="L11" i="39"/>
  <c r="L45" i="39"/>
  <c r="L12" i="39"/>
  <c r="L30" i="39"/>
  <c r="I6" i="38"/>
  <c r="L47" i="39"/>
  <c r="L44" i="38"/>
  <c r="L21" i="39"/>
  <c r="L39" i="39"/>
  <c r="L10" i="39"/>
  <c r="L27" i="38"/>
  <c r="M25" i="6"/>
  <c r="L36" i="38"/>
  <c r="L30" i="38"/>
  <c r="L24" i="38"/>
  <c r="G6" i="38"/>
  <c r="L20" i="38"/>
  <c r="L45" i="38"/>
  <c r="L35" i="38"/>
  <c r="L16" i="38"/>
  <c r="L34" i="38"/>
  <c r="L13" i="39"/>
  <c r="L25" i="38"/>
  <c r="L39" i="38"/>
  <c r="L25" i="39"/>
  <c r="L27" i="39"/>
  <c r="L29" i="39"/>
  <c r="I5" i="38" l="1"/>
  <c r="G5" i="38"/>
  <c r="F5" i="38"/>
  <c r="E5" i="38"/>
  <c r="H5" i="38"/>
  <c r="F5" i="39"/>
  <c r="E5" i="39"/>
  <c r="G5" i="39"/>
  <c r="H5" i="39"/>
  <c r="X23" i="6"/>
  <c r="N23" i="6" s="1"/>
  <c r="I26" i="6"/>
  <c r="AG13" i="35"/>
  <c r="AG8" i="35"/>
  <c r="AG19" i="35"/>
  <c r="AG9" i="35"/>
  <c r="AG12" i="35"/>
  <c r="AG10" i="35"/>
  <c r="AG16" i="35"/>
  <c r="AG17" i="35"/>
  <c r="AG11" i="35"/>
  <c r="AG15" i="35"/>
  <c r="AG14" i="35"/>
  <c r="AF10" i="35"/>
  <c r="AE12" i="35"/>
  <c r="AF13" i="35"/>
  <c r="AF17" i="35"/>
  <c r="AF15" i="35"/>
  <c r="AF9" i="35"/>
  <c r="AF16" i="35"/>
  <c r="AE9" i="35"/>
  <c r="AF8" i="35"/>
  <c r="AE19" i="35"/>
  <c r="AE10" i="35"/>
  <c r="AE13" i="35"/>
  <c r="AF12" i="35"/>
  <c r="AF19" i="35"/>
  <c r="AE15" i="35"/>
  <c r="AE11" i="35"/>
  <c r="AF14" i="35"/>
  <c r="AF11" i="35"/>
  <c r="AE8" i="35"/>
  <c r="AE17" i="35"/>
  <c r="AE16" i="35"/>
  <c r="AE14" i="35"/>
  <c r="F24" i="39"/>
  <c r="F25" i="39"/>
  <c r="E25" i="39"/>
  <c r="G9" i="48"/>
  <c r="M9" i="14"/>
  <c r="L25" i="6"/>
  <c r="I43" i="39"/>
  <c r="G35" i="39"/>
  <c r="F35" i="39"/>
  <c r="I35" i="39"/>
  <c r="H24" i="39"/>
  <c r="G43" i="39"/>
  <c r="H35" i="39"/>
  <c r="G25" i="39"/>
  <c r="F43" i="39"/>
  <c r="I24" i="39"/>
  <c r="H43" i="39"/>
  <c r="E35" i="39"/>
  <c r="G24" i="39"/>
  <c r="H10" i="39"/>
  <c r="H25" i="39"/>
  <c r="E24" i="39"/>
  <c r="E43" i="39"/>
  <c r="I25" i="39"/>
  <c r="F9" i="48"/>
  <c r="Q8" i="35" l="1"/>
  <c r="Q9" i="35"/>
  <c r="Q10" i="35"/>
  <c r="Q11" i="35"/>
  <c r="Q12" i="35"/>
  <c r="Q13" i="35"/>
  <c r="Q14" i="35"/>
  <c r="Q15" i="35"/>
  <c r="Q16" i="35"/>
  <c r="Q17" i="35"/>
  <c r="Q18" i="35"/>
  <c r="P8" i="35"/>
  <c r="P9" i="35"/>
  <c r="P10" i="35"/>
  <c r="P11" i="35"/>
  <c r="P12" i="35"/>
  <c r="P13" i="35"/>
  <c r="P14" i="35"/>
  <c r="P15" i="35"/>
  <c r="P16" i="35"/>
  <c r="P17" i="35"/>
  <c r="P18" i="35"/>
  <c r="R18" i="35"/>
  <c r="J18" i="35" s="1"/>
  <c r="R17" i="35"/>
  <c r="J17" i="35" s="1"/>
  <c r="R13" i="35"/>
  <c r="J13" i="35" s="1"/>
  <c r="R9" i="35"/>
  <c r="J9" i="35" s="1"/>
  <c r="R12" i="35"/>
  <c r="J12" i="35" s="1"/>
  <c r="R16" i="35"/>
  <c r="J16" i="35" s="1"/>
  <c r="R8" i="35"/>
  <c r="J8" i="35" s="1"/>
  <c r="R11" i="35"/>
  <c r="J11" i="35" s="1"/>
  <c r="R14" i="35"/>
  <c r="J14" i="35" s="1"/>
  <c r="R10" i="35"/>
  <c r="J10" i="35" s="1"/>
  <c r="R15" i="35"/>
  <c r="J15" i="35" s="1"/>
  <c r="I27" i="6"/>
  <c r="F27" i="48"/>
  <c r="I28" i="6" l="1"/>
  <c r="I18" i="35"/>
  <c r="I14" i="35"/>
  <c r="I10" i="35"/>
  <c r="G17" i="35"/>
  <c r="F17" i="35"/>
  <c r="G13" i="35"/>
  <c r="F13" i="35"/>
  <c r="G9" i="35"/>
  <c r="F9" i="35"/>
  <c r="D16" i="35"/>
  <c r="C16" i="35"/>
  <c r="D12" i="35"/>
  <c r="C12" i="35"/>
  <c r="D8" i="35"/>
  <c r="C8" i="35"/>
  <c r="I15" i="35"/>
  <c r="I11" i="35"/>
  <c r="G18" i="35"/>
  <c r="F18" i="35"/>
  <c r="G14" i="35"/>
  <c r="F14" i="35"/>
  <c r="G10" i="35"/>
  <c r="F10" i="35"/>
  <c r="D17" i="35"/>
  <c r="C17" i="35"/>
  <c r="C13" i="35"/>
  <c r="D13" i="35"/>
  <c r="C9" i="35"/>
  <c r="D9" i="35"/>
  <c r="I16" i="35"/>
  <c r="I12" i="35"/>
  <c r="I8" i="35"/>
  <c r="F15" i="35"/>
  <c r="G15" i="35"/>
  <c r="G11" i="35"/>
  <c r="F11" i="35"/>
  <c r="C18" i="35"/>
  <c r="D18" i="35"/>
  <c r="C14" i="35"/>
  <c r="D14" i="35"/>
  <c r="C10" i="35"/>
  <c r="D10" i="35"/>
  <c r="I17" i="35"/>
  <c r="I13" i="35"/>
  <c r="I9" i="35"/>
  <c r="F16" i="35"/>
  <c r="G16" i="35"/>
  <c r="F12" i="35"/>
  <c r="G12" i="35"/>
  <c r="F8" i="35"/>
  <c r="G8" i="35"/>
  <c r="D15" i="35"/>
  <c r="C15" i="35"/>
  <c r="D11" i="35"/>
  <c r="C11" i="35"/>
  <c r="AE27" i="48"/>
  <c r="AE40" i="48" l="1"/>
  <c r="AE26" i="48"/>
  <c r="AE24" i="48"/>
  <c r="AF37" i="48"/>
  <c r="AA30" i="48"/>
  <c r="I29" i="6"/>
  <c r="AA37" i="48"/>
  <c r="AK37" i="48" s="1"/>
  <c r="Z27" i="48"/>
  <c r="AJ27" i="48" s="1"/>
  <c r="Z24" i="48"/>
  <c r="AJ24" i="48" s="1"/>
  <c r="AA32" i="48" l="1"/>
  <c r="AA31" i="48"/>
  <c r="AA34" i="48"/>
  <c r="AA35" i="48"/>
  <c r="AA33" i="48"/>
  <c r="AA36" i="48"/>
  <c r="Z53" i="48"/>
  <c r="Z34" i="48" s="1"/>
  <c r="V53" i="48"/>
  <c r="X53" i="48" s="1"/>
  <c r="Y53" i="48"/>
  <c r="I30" i="6"/>
  <c r="Y18" i="48" l="1"/>
  <c r="Y37" i="48"/>
  <c r="Z35" i="48"/>
  <c r="Z12" i="48"/>
  <c r="Z19" i="48"/>
  <c r="Z23" i="48"/>
  <c r="Z16" i="48"/>
  <c r="Y38" i="48"/>
  <c r="Z22" i="48"/>
  <c r="Z41" i="48"/>
  <c r="Z48" i="48"/>
  <c r="Y31" i="48"/>
  <c r="Y39" i="48"/>
  <c r="Y45" i="48"/>
  <c r="Z29" i="48"/>
  <c r="Z36" i="48"/>
  <c r="Z42" i="48"/>
  <c r="Z49" i="48"/>
  <c r="Z33" i="48"/>
  <c r="Y17" i="48"/>
  <c r="X24" i="48"/>
  <c r="X27" i="48"/>
  <c r="X12" i="48"/>
  <c r="X18" i="48"/>
  <c r="X25" i="48"/>
  <c r="X30" i="48"/>
  <c r="X21" i="48"/>
  <c r="X14" i="48"/>
  <c r="X26" i="48"/>
  <c r="X17" i="48"/>
  <c r="X20" i="48"/>
  <c r="X23" i="48"/>
  <c r="X15" i="48"/>
  <c r="X19" i="48"/>
  <c r="X28" i="48"/>
  <c r="X31" i="48"/>
  <c r="X13" i="48"/>
  <c r="X22" i="48"/>
  <c r="X29" i="48"/>
  <c r="X16" i="48"/>
  <c r="X32" i="48"/>
  <c r="X34" i="48"/>
  <c r="X33" i="48"/>
  <c r="X35" i="48"/>
  <c r="X36" i="48"/>
  <c r="X37" i="48"/>
  <c r="X39" i="48"/>
  <c r="X38" i="48"/>
  <c r="X40" i="48"/>
  <c r="X41" i="48"/>
  <c r="X42" i="48"/>
  <c r="X44" i="48"/>
  <c r="X43" i="48"/>
  <c r="X45" i="48"/>
  <c r="X46" i="48"/>
  <c r="X47" i="48"/>
  <c r="X48" i="48"/>
  <c r="X49" i="48"/>
  <c r="Z44" i="48"/>
  <c r="Y46" i="48"/>
  <c r="Z25" i="48"/>
  <c r="Z43" i="48"/>
  <c r="Y47" i="48"/>
  <c r="Y41" i="48"/>
  <c r="Y32" i="48"/>
  <c r="Y26" i="48"/>
  <c r="Y34" i="48"/>
  <c r="Y40" i="48"/>
  <c r="Y24" i="48"/>
  <c r="Z46" i="48"/>
  <c r="Z30" i="48"/>
  <c r="Z37" i="48"/>
  <c r="Z38" i="48"/>
  <c r="Z40" i="48"/>
  <c r="AJ40" i="48" s="1"/>
  <c r="Z17" i="48"/>
  <c r="Z18" i="48"/>
  <c r="Z45" i="48"/>
  <c r="Z47" i="48"/>
  <c r="Z31" i="48"/>
  <c r="Z26" i="48"/>
  <c r="AJ26" i="48" s="1"/>
  <c r="Z32" i="48"/>
  <c r="Z39" i="48"/>
  <c r="Y12" i="48"/>
  <c r="Y27" i="48"/>
  <c r="F32" i="2"/>
  <c r="Y36" i="48"/>
  <c r="Y13" i="48"/>
  <c r="Y29" i="48"/>
  <c r="Y42" i="48"/>
  <c r="Y25" i="48"/>
  <c r="Y28" i="48"/>
  <c r="Y33" i="48"/>
  <c r="Y35" i="48"/>
  <c r="Y20" i="48"/>
  <c r="Y48" i="48"/>
  <c r="Y44" i="48"/>
  <c r="Y22" i="48"/>
  <c r="Y21" i="48"/>
  <c r="Y14" i="48"/>
  <c r="Y15" i="48"/>
  <c r="Y19" i="48"/>
  <c r="Y30" i="48"/>
  <c r="Y49" i="48"/>
  <c r="Y43" i="48"/>
  <c r="Y23" i="48"/>
  <c r="Y16" i="48"/>
  <c r="F33" i="2"/>
  <c r="I31" i="6"/>
  <c r="X55" i="48" l="1"/>
  <c r="X54" i="48"/>
  <c r="Z54" i="48"/>
  <c r="Y54" i="48"/>
  <c r="I32" i="6"/>
  <c r="I33" i="6" l="1"/>
  <c r="I34" i="6" l="1"/>
  <c r="I35" i="6" l="1"/>
  <c r="I36" i="6" l="1"/>
  <c r="I37" i="6" l="1"/>
  <c r="I38" i="6" l="1"/>
  <c r="I39" i="6" l="1"/>
  <c r="I40" i="6" l="1"/>
  <c r="AE25" i="48" l="1"/>
  <c r="AJ25" i="48" s="1"/>
  <c r="AE17" i="48"/>
  <c r="AJ17" i="48" s="1"/>
  <c r="AF36" i="48"/>
  <c r="AK36" i="48" s="1"/>
  <c r="I41" i="6"/>
  <c r="I42" i="6" l="1"/>
  <c r="I43" i="6" l="1"/>
  <c r="I44" i="6" l="1"/>
  <c r="I45" i="6" l="1"/>
  <c r="I46" i="6" l="1"/>
  <c r="AE44" i="48" l="1"/>
  <c r="AJ44" i="48" s="1"/>
  <c r="I47" i="6"/>
  <c r="I48" i="6" l="1"/>
  <c r="AE41" i="48" l="1"/>
  <c r="AJ41" i="48" s="1"/>
  <c r="AE43" i="48"/>
  <c r="AJ43" i="48" s="1"/>
  <c r="AE42" i="48"/>
  <c r="AJ42" i="48" s="1"/>
  <c r="AF32" i="48" l="1"/>
  <c r="AK32" i="48" s="1"/>
  <c r="AF35" i="48"/>
  <c r="AK35" i="48" s="1"/>
  <c r="AF31" i="48" l="1"/>
  <c r="AK31" i="48" s="1"/>
  <c r="AD12" i="48"/>
  <c r="AI12" i="48" s="1"/>
  <c r="AE18" i="48"/>
  <c r="AJ18" i="48" s="1"/>
  <c r="AF34" i="48" l="1"/>
  <c r="AK34" i="48" s="1"/>
  <c r="AE37" i="48" l="1"/>
  <c r="AJ37" i="48" s="1"/>
  <c r="AE49" i="48"/>
  <c r="AJ49" i="48" s="1"/>
  <c r="AF33" i="48"/>
  <c r="AF30" i="48" l="1"/>
  <c r="AK30" i="48" s="1"/>
  <c r="AK33" i="48"/>
  <c r="AE48" i="48" l="1"/>
  <c r="AJ48" i="48" s="1"/>
  <c r="AE47" i="48" l="1"/>
  <c r="AJ47" i="48" s="1"/>
  <c r="AE19" i="48"/>
  <c r="AJ19" i="48" s="1"/>
  <c r="AE22" i="48"/>
  <c r="AJ22" i="48" s="1"/>
  <c r="AE36" i="48"/>
  <c r="AJ36" i="48" s="1"/>
  <c r="AE46" i="48" l="1"/>
  <c r="AJ46" i="48" s="1"/>
  <c r="AE23" i="48" l="1"/>
  <c r="AJ23" i="48" s="1"/>
  <c r="E10" i="38"/>
  <c r="F38" i="39"/>
  <c r="F31" i="38"/>
  <c r="E43" i="38"/>
  <c r="M43" i="6"/>
  <c r="H26" i="38"/>
  <c r="F30" i="39"/>
  <c r="E28" i="39"/>
  <c r="I43" i="38"/>
  <c r="I41" i="38"/>
  <c r="F26" i="39"/>
  <c r="E18" i="39"/>
  <c r="H36" i="38"/>
  <c r="G36" i="38"/>
  <c r="G40" i="38"/>
  <c r="I42" i="39"/>
  <c r="G47" i="39"/>
  <c r="E30" i="38"/>
  <c r="E41" i="39"/>
  <c r="E44" i="39"/>
  <c r="G40" i="39"/>
  <c r="E46" i="39"/>
  <c r="F24" i="38"/>
  <c r="I44" i="39"/>
  <c r="M28" i="6"/>
  <c r="E11" i="39"/>
  <c r="G33" i="39"/>
  <c r="H28" i="39"/>
  <c r="G26" i="38"/>
  <c r="M40" i="6"/>
  <c r="G21" i="39"/>
  <c r="I36" i="38"/>
  <c r="M48" i="6"/>
  <c r="E29" i="39"/>
  <c r="E18" i="38"/>
  <c r="G31" i="39"/>
  <c r="H39" i="39"/>
  <c r="I26" i="39"/>
  <c r="I12" i="38"/>
  <c r="G28" i="39"/>
  <c r="I41" i="39"/>
  <c r="E13" i="39"/>
  <c r="G27" i="48"/>
  <c r="M32" i="6"/>
  <c r="L45" i="6"/>
  <c r="M38" i="6"/>
  <c r="G12" i="38"/>
  <c r="M30" i="6"/>
  <c r="F34" i="38"/>
  <c r="G20" i="39"/>
  <c r="H23" i="38"/>
  <c r="L40" i="6"/>
  <c r="H18" i="38"/>
  <c r="M37" i="6"/>
  <c r="F11" i="39"/>
  <c r="G25" i="38"/>
  <c r="H38" i="38"/>
  <c r="E13" i="38"/>
  <c r="H15" i="38"/>
  <c r="F37" i="39"/>
  <c r="E38" i="38"/>
  <c r="H32" i="39"/>
  <c r="G39" i="38"/>
  <c r="E31" i="38"/>
  <c r="I11" i="38"/>
  <c r="H15" i="39"/>
  <c r="H37" i="39"/>
  <c r="H12" i="38"/>
  <c r="F45" i="39"/>
  <c r="L32" i="6"/>
  <c r="I23" i="39"/>
  <c r="L46" i="6"/>
  <c r="H31" i="38"/>
  <c r="I18" i="39"/>
  <c r="I28" i="39"/>
  <c r="L35" i="6"/>
  <c r="F29" i="39"/>
  <c r="H46" i="39"/>
  <c r="F15" i="39"/>
  <c r="I15" i="38"/>
  <c r="F20" i="39"/>
  <c r="H41" i="38"/>
  <c r="G17" i="39"/>
  <c r="M29" i="6"/>
  <c r="H40" i="39"/>
  <c r="F47" i="38"/>
  <c r="G37" i="38"/>
  <c r="F14" i="39"/>
  <c r="H27" i="39"/>
  <c r="E37" i="39"/>
  <c r="F47" i="39"/>
  <c r="G32" i="39"/>
  <c r="I22" i="39"/>
  <c r="E33" i="38"/>
  <c r="G29" i="39"/>
  <c r="G18" i="38"/>
  <c r="G42" i="38"/>
  <c r="I30" i="39"/>
  <c r="L33" i="6"/>
  <c r="F25" i="38"/>
  <c r="M41" i="6"/>
  <c r="H11" i="39"/>
  <c r="F44" i="39"/>
  <c r="I44" i="38"/>
  <c r="M46" i="14"/>
  <c r="V24" i="6"/>
  <c r="F38" i="38"/>
  <c r="L47" i="6"/>
  <c r="F36" i="38"/>
  <c r="E15" i="38"/>
  <c r="E30" i="39"/>
  <c r="E22" i="38"/>
  <c r="G30" i="39"/>
  <c r="H25" i="38"/>
  <c r="F40" i="39"/>
  <c r="G41" i="39"/>
  <c r="H30" i="38"/>
  <c r="L43" i="6"/>
  <c r="F44" i="38"/>
  <c r="I13" i="39"/>
  <c r="F46" i="39"/>
  <c r="E12" i="39"/>
  <c r="H42" i="38"/>
  <c r="H40" i="38"/>
  <c r="F26" i="38"/>
  <c r="G27" i="38"/>
  <c r="F36" i="39"/>
  <c r="F33" i="39"/>
  <c r="F43" i="38"/>
  <c r="F32" i="39"/>
  <c r="E29" i="38"/>
  <c r="F18" i="39"/>
  <c r="M26" i="6"/>
  <c r="L34" i="6"/>
  <c r="F12" i="39"/>
  <c r="H36" i="39"/>
  <c r="I27" i="39"/>
  <c r="I47" i="39"/>
  <c r="L39" i="6"/>
  <c r="L30" i="6"/>
  <c r="F40" i="38"/>
  <c r="I33" i="38"/>
  <c r="H32" i="38"/>
  <c r="H33" i="38"/>
  <c r="L44" i="6"/>
  <c r="I20" i="39"/>
  <c r="F34" i="39"/>
  <c r="E14" i="39"/>
  <c r="G20" i="38"/>
  <c r="F46" i="38"/>
  <c r="G46" i="38"/>
  <c r="E37" i="38"/>
  <c r="F29" i="38"/>
  <c r="H31" i="39"/>
  <c r="E46" i="38"/>
  <c r="I46" i="38"/>
  <c r="E45" i="38"/>
  <c r="H27" i="38"/>
  <c r="G41" i="38"/>
  <c r="I32" i="38"/>
  <c r="E23" i="38"/>
  <c r="H45" i="38"/>
  <c r="G33" i="38"/>
  <c r="E31" i="39"/>
  <c r="G23" i="39"/>
  <c r="H20" i="39"/>
  <c r="I19" i="39"/>
  <c r="G44" i="39"/>
  <c r="I45" i="38"/>
  <c r="I46" i="39"/>
  <c r="H19" i="38"/>
  <c r="E11" i="38"/>
  <c r="H38" i="39"/>
  <c r="G11" i="39"/>
  <c r="L36" i="6"/>
  <c r="F37" i="38"/>
  <c r="H23" i="39"/>
  <c r="E12" i="38"/>
  <c r="I21" i="39"/>
  <c r="G38" i="38"/>
  <c r="G15" i="38"/>
  <c r="E15" i="39"/>
  <c r="I14" i="38"/>
  <c r="F10" i="39"/>
  <c r="G38" i="39"/>
  <c r="I11" i="39"/>
  <c r="H20" i="38"/>
  <c r="G15" i="39"/>
  <c r="M39" i="6"/>
  <c r="G43" i="38"/>
  <c r="H17" i="39"/>
  <c r="G45" i="39"/>
  <c r="E32" i="39"/>
  <c r="E47" i="39"/>
  <c r="I20" i="38"/>
  <c r="F19" i="38"/>
  <c r="F31" i="39"/>
  <c r="H39" i="38"/>
  <c r="H33" i="39"/>
  <c r="L42" i="6"/>
  <c r="F27" i="39"/>
  <c r="H22" i="39"/>
  <c r="H14" i="38"/>
  <c r="H18" i="39"/>
  <c r="G29" i="38"/>
  <c r="F28" i="38"/>
  <c r="F16" i="48"/>
  <c r="H47" i="39"/>
  <c r="I10" i="38"/>
  <c r="E10" i="39"/>
  <c r="F16" i="38"/>
  <c r="E20" i="38"/>
  <c r="V13" i="6"/>
  <c r="H13" i="38"/>
  <c r="G45" i="38"/>
  <c r="F20" i="38"/>
  <c r="F22" i="39"/>
  <c r="I35" i="38"/>
  <c r="E25" i="38"/>
  <c r="M34" i="6"/>
  <c r="H21" i="38"/>
  <c r="I12" i="39"/>
  <c r="I19" i="38"/>
  <c r="M27" i="6"/>
  <c r="G10" i="39"/>
  <c r="F17" i="39"/>
  <c r="L48" i="6"/>
  <c r="G35" i="38"/>
  <c r="E22" i="39"/>
  <c r="G23" i="38"/>
  <c r="L41" i="6"/>
  <c r="M44" i="6"/>
  <c r="E45" i="39"/>
  <c r="H22" i="38"/>
  <c r="F35" i="38"/>
  <c r="F21" i="39"/>
  <c r="G16" i="38"/>
  <c r="E14" i="38"/>
  <c r="I14" i="39"/>
  <c r="I10" i="39"/>
  <c r="I18" i="38"/>
  <c r="H29" i="39"/>
  <c r="G34" i="39"/>
  <c r="E41" i="38"/>
  <c r="H42" i="39"/>
  <c r="G13" i="39"/>
  <c r="E24" i="38"/>
  <c r="E19" i="39"/>
  <c r="F39" i="38"/>
  <c r="E16" i="39"/>
  <c r="I33" i="39"/>
  <c r="E21" i="38"/>
  <c r="E32" i="38"/>
  <c r="I37" i="38"/>
  <c r="G10" i="38"/>
  <c r="H43" i="38"/>
  <c r="F22" i="38"/>
  <c r="I31" i="38"/>
  <c r="H26" i="39"/>
  <c r="H30" i="39"/>
  <c r="F19" i="48"/>
  <c r="I32" i="39"/>
  <c r="H41" i="39"/>
  <c r="G17" i="38"/>
  <c r="L26" i="6"/>
  <c r="H10" i="38"/>
  <c r="M19" i="14"/>
  <c r="M35" i="6"/>
  <c r="I28" i="38"/>
  <c r="F14" i="38"/>
  <c r="I16" i="38"/>
  <c r="G47" i="38"/>
  <c r="H16" i="39"/>
  <c r="E17" i="38"/>
  <c r="G16" i="39"/>
  <c r="F41" i="38"/>
  <c r="G24" i="38"/>
  <c r="F33" i="38"/>
  <c r="E42" i="38"/>
  <c r="I17" i="38"/>
  <c r="I34" i="39"/>
  <c r="G37" i="39"/>
  <c r="I16" i="39"/>
  <c r="F27" i="38"/>
  <c r="E26" i="39"/>
  <c r="G14" i="39"/>
  <c r="L29" i="6"/>
  <c r="G46" i="39"/>
  <c r="E44" i="38"/>
  <c r="M36" i="6"/>
  <c r="E16" i="38"/>
  <c r="E36" i="39"/>
  <c r="H16" i="38"/>
  <c r="G21" i="38"/>
  <c r="I27" i="38"/>
  <c r="F23" i="38"/>
  <c r="H28" i="38"/>
  <c r="F13" i="39"/>
  <c r="M27" i="14"/>
  <c r="G26" i="39"/>
  <c r="G18" i="39"/>
  <c r="I24" i="38"/>
  <c r="I37" i="39"/>
  <c r="F30" i="38"/>
  <c r="M45" i="6"/>
  <c r="F18" i="38"/>
  <c r="H47" i="38"/>
  <c r="F45" i="38"/>
  <c r="I15" i="39"/>
  <c r="H34" i="38"/>
  <c r="H45" i="39"/>
  <c r="E26" i="38"/>
  <c r="H19" i="39"/>
  <c r="E38" i="39"/>
  <c r="W24" i="6"/>
  <c r="G27" i="39"/>
  <c r="H24" i="38"/>
  <c r="E17" i="39"/>
  <c r="F32" i="38"/>
  <c r="F17" i="38"/>
  <c r="M47" i="6"/>
  <c r="H11" i="38"/>
  <c r="I38" i="39"/>
  <c r="G22" i="38"/>
  <c r="H17" i="38"/>
  <c r="E19" i="38"/>
  <c r="G14" i="38"/>
  <c r="H29" i="38"/>
  <c r="L38" i="6"/>
  <c r="M31" i="6"/>
  <c r="G28" i="48"/>
  <c r="I40" i="38"/>
  <c r="H34" i="39"/>
  <c r="E40" i="38"/>
  <c r="H44" i="39"/>
  <c r="I30" i="38"/>
  <c r="I42" i="38"/>
  <c r="E39" i="39"/>
  <c r="G36" i="39"/>
  <c r="H46" i="38"/>
  <c r="I25" i="38"/>
  <c r="G28" i="38"/>
  <c r="G32" i="38"/>
  <c r="I47" i="38"/>
  <c r="G11" i="38"/>
  <c r="I31" i="39"/>
  <c r="I40" i="39"/>
  <c r="E47" i="38"/>
  <c r="G19" i="39"/>
  <c r="L28" i="6"/>
  <c r="G31" i="38"/>
  <c r="I34" i="38"/>
  <c r="H13" i="39"/>
  <c r="H14" i="39"/>
  <c r="G30" i="38"/>
  <c r="E40" i="39"/>
  <c r="E28" i="38"/>
  <c r="E33" i="39"/>
  <c r="M33" i="6"/>
  <c r="L27" i="6"/>
  <c r="E36" i="38"/>
  <c r="G19" i="38"/>
  <c r="E35" i="38"/>
  <c r="I38" i="38"/>
  <c r="I36" i="39"/>
  <c r="G38" i="48" s="1"/>
  <c r="M33" i="14"/>
  <c r="E39" i="38"/>
  <c r="L37" i="6"/>
  <c r="E34" i="38"/>
  <c r="G34" i="38"/>
  <c r="I26" i="38"/>
  <c r="E23" i="39"/>
  <c r="I23" i="38"/>
  <c r="I21" i="38"/>
  <c r="F16" i="39"/>
  <c r="F13" i="38"/>
  <c r="E20" i="39"/>
  <c r="F28" i="39"/>
  <c r="G39" i="39"/>
  <c r="M28" i="14"/>
  <c r="I13" i="38"/>
  <c r="M46" i="6"/>
  <c r="F42" i="39"/>
  <c r="I29" i="38"/>
  <c r="G42" i="39"/>
  <c r="H37" i="38"/>
  <c r="M16" i="14"/>
  <c r="F12" i="38"/>
  <c r="I45" i="39"/>
  <c r="F41" i="39"/>
  <c r="G12" i="39"/>
  <c r="E27" i="39"/>
  <c r="E42" i="39"/>
  <c r="H35" i="38"/>
  <c r="G13" i="38"/>
  <c r="G22" i="39"/>
  <c r="F39" i="39"/>
  <c r="I39" i="38"/>
  <c r="I17" i="39"/>
  <c r="I29" i="39"/>
  <c r="M42" i="6"/>
  <c r="E34" i="39"/>
  <c r="F15" i="38"/>
  <c r="G44" i="38"/>
  <c r="Z25" i="6"/>
  <c r="E27" i="38"/>
  <c r="I39" i="39"/>
  <c r="F10" i="38"/>
  <c r="H12" i="39"/>
  <c r="H44" i="38"/>
  <c r="L31" i="6"/>
  <c r="F11" i="38"/>
  <c r="F19" i="39"/>
  <c r="E21" i="39"/>
  <c r="I22" i="38"/>
  <c r="F42" i="38"/>
  <c r="F23" i="39"/>
  <c r="F21" i="38"/>
  <c r="H21" i="39"/>
  <c r="M38" i="14"/>
  <c r="M41" i="14"/>
  <c r="F41" i="48"/>
  <c r="X13" i="6" l="1"/>
  <c r="N13" i="6" s="1"/>
  <c r="U27" i="48"/>
  <c r="X24" i="6"/>
  <c r="N24" i="6" s="1"/>
  <c r="U16" i="48"/>
  <c r="M30" i="14"/>
  <c r="F32" i="48"/>
  <c r="F40" i="48"/>
  <c r="G25" i="48"/>
  <c r="M45" i="14"/>
  <c r="F29" i="48"/>
  <c r="G26" i="48"/>
  <c r="F30" i="48"/>
  <c r="Z41" i="6"/>
  <c r="M24" i="14"/>
  <c r="F15" i="48"/>
  <c r="G37" i="48"/>
  <c r="Z34" i="6"/>
  <c r="G36" i="48"/>
  <c r="Z26" i="6"/>
  <c r="F44" i="48"/>
  <c r="G48" i="48"/>
  <c r="F14" i="48"/>
  <c r="F20" i="48"/>
  <c r="M17" i="14"/>
  <c r="G32" i="48"/>
  <c r="M20" i="14"/>
  <c r="G16" i="48"/>
  <c r="Z39" i="6"/>
  <c r="M23" i="14"/>
  <c r="F49" i="48"/>
  <c r="Z32" i="6"/>
  <c r="Z42" i="6"/>
  <c r="F18" i="48"/>
  <c r="M37" i="14"/>
  <c r="G29" i="48"/>
  <c r="G47" i="48"/>
  <c r="M29" i="14"/>
  <c r="F17" i="48"/>
  <c r="F48" i="48"/>
  <c r="Z45" i="6"/>
  <c r="Z27" i="6"/>
  <c r="Z47" i="6"/>
  <c r="M13" i="14"/>
  <c r="F26" i="48"/>
  <c r="M21" i="14"/>
  <c r="G13" i="48"/>
  <c r="M48" i="14"/>
  <c r="F38" i="48"/>
  <c r="Z35" i="6"/>
  <c r="G12" i="48"/>
  <c r="Z31" i="6"/>
  <c r="M35" i="14"/>
  <c r="F35" i="48"/>
  <c r="G17" i="48"/>
  <c r="G44" i="48"/>
  <c r="F31" i="48"/>
  <c r="M44" i="14"/>
  <c r="Z48" i="6"/>
  <c r="F47" i="48"/>
  <c r="F46" i="48"/>
  <c r="G45" i="48"/>
  <c r="F23" i="48"/>
  <c r="M15" i="14"/>
  <c r="G18" i="48"/>
  <c r="F45" i="48"/>
  <c r="F24" i="48"/>
  <c r="G15" i="48"/>
  <c r="Z33" i="6"/>
  <c r="F37" i="48"/>
  <c r="F34" i="48"/>
  <c r="M49" i="14"/>
  <c r="Z40" i="6"/>
  <c r="G41" i="48"/>
  <c r="G33" i="48"/>
  <c r="G35" i="48"/>
  <c r="M18" i="14"/>
  <c r="G23" i="48"/>
  <c r="M32" i="14"/>
  <c r="M40" i="14"/>
  <c r="M39" i="14"/>
  <c r="G14" i="48"/>
  <c r="V25" i="6"/>
  <c r="G40" i="48"/>
  <c r="G19" i="48"/>
  <c r="F13" i="48"/>
  <c r="M25" i="14"/>
  <c r="F36" i="48"/>
  <c r="Z38" i="6"/>
  <c r="F25" i="48"/>
  <c r="F39" i="48"/>
  <c r="G24" i="48"/>
  <c r="F21" i="48"/>
  <c r="M42" i="14"/>
  <c r="G46" i="48"/>
  <c r="M36" i="14"/>
  <c r="G42" i="48"/>
  <c r="F33" i="48"/>
  <c r="Z30" i="6"/>
  <c r="M26" i="14"/>
  <c r="Z43" i="6"/>
  <c r="G49" i="48"/>
  <c r="G31" i="48"/>
  <c r="G30" i="48"/>
  <c r="Z29" i="6"/>
  <c r="W25" i="6"/>
  <c r="Z37" i="6"/>
  <c r="Z36" i="6"/>
  <c r="M43" i="14"/>
  <c r="M31" i="14"/>
  <c r="M22" i="14"/>
  <c r="F28" i="48"/>
  <c r="F42" i="48"/>
  <c r="G20" i="48"/>
  <c r="M14" i="14"/>
  <c r="Z44" i="6"/>
  <c r="M47" i="14"/>
  <c r="F22" i="48"/>
  <c r="G43" i="48"/>
  <c r="M12" i="14"/>
  <c r="G21" i="48"/>
  <c r="M34" i="14"/>
  <c r="G34" i="48"/>
  <c r="G22" i="48"/>
  <c r="F12" i="48"/>
  <c r="Z46" i="6"/>
  <c r="G39" i="48"/>
  <c r="F43" i="48"/>
  <c r="Z28" i="6"/>
  <c r="U28" i="48" l="1"/>
  <c r="AC28" i="48" s="1"/>
  <c r="AH28" i="48" s="1"/>
  <c r="U46" i="48"/>
  <c r="AD46" i="48" s="1"/>
  <c r="AI46" i="48" s="1"/>
  <c r="U38" i="48"/>
  <c r="AE38" i="48" s="1"/>
  <c r="AJ38" i="48" s="1"/>
  <c r="AF16" i="48"/>
  <c r="AK16" i="48" s="1"/>
  <c r="AD16" i="48"/>
  <c r="AI16" i="48" s="1"/>
  <c r="U42" i="48"/>
  <c r="U30" i="48"/>
  <c r="U33" i="48"/>
  <c r="U15" i="48"/>
  <c r="AD15" i="48" s="1"/>
  <c r="AI15" i="48" s="1"/>
  <c r="U31" i="48"/>
  <c r="U21" i="48"/>
  <c r="AD21" i="48" s="1"/>
  <c r="AI21" i="48" s="1"/>
  <c r="U34" i="48"/>
  <c r="U12" i="48"/>
  <c r="AC12" i="48" s="1"/>
  <c r="U39" i="48"/>
  <c r="U32" i="48"/>
  <c r="U29" i="48"/>
  <c r="AD29" i="48" s="1"/>
  <c r="AI29" i="48" s="1"/>
  <c r="U19" i="48"/>
  <c r="AC19" i="48" s="1"/>
  <c r="AH19" i="48" s="1"/>
  <c r="U41" i="48"/>
  <c r="AD41" i="48" s="1"/>
  <c r="AI41" i="48" s="1"/>
  <c r="U18" i="48"/>
  <c r="AD18" i="48" s="1"/>
  <c r="AI18" i="48" s="1"/>
  <c r="U48" i="48"/>
  <c r="AD48" i="48" s="1"/>
  <c r="AI48" i="48" s="1"/>
  <c r="U44" i="48"/>
  <c r="AC44" i="48" s="1"/>
  <c r="AH44" i="48" s="1"/>
  <c r="U45" i="48"/>
  <c r="U23" i="48"/>
  <c r="AC23" i="48" s="1"/>
  <c r="AH23" i="48" s="1"/>
  <c r="U14" i="48"/>
  <c r="AD14" i="48" s="1"/>
  <c r="AI14" i="48" s="1"/>
  <c r="U24" i="48"/>
  <c r="AC24" i="48" s="1"/>
  <c r="AH24" i="48" s="1"/>
  <c r="U22" i="48"/>
  <c r="AC22" i="48" s="1"/>
  <c r="AH22" i="48" s="1"/>
  <c r="U49" i="48"/>
  <c r="AD49" i="48" s="1"/>
  <c r="AI49" i="48" s="1"/>
  <c r="U35" i="48"/>
  <c r="U25" i="48"/>
  <c r="AD25" i="48" s="1"/>
  <c r="AI25" i="48" s="1"/>
  <c r="U17" i="48"/>
  <c r="AD17" i="48" s="1"/>
  <c r="AI17" i="48" s="1"/>
  <c r="U26" i="48"/>
  <c r="AC26" i="48" s="1"/>
  <c r="AH26" i="48" s="1"/>
  <c r="U13" i="48"/>
  <c r="AC13" i="48" s="1"/>
  <c r="AH13" i="48" s="1"/>
  <c r="U37" i="48"/>
  <c r="AC37" i="48" s="1"/>
  <c r="AH37" i="48" s="1"/>
  <c r="U43" i="48"/>
  <c r="AD43" i="48" s="1"/>
  <c r="AI43" i="48" s="1"/>
  <c r="U36" i="48"/>
  <c r="AC36" i="48" s="1"/>
  <c r="AH36" i="48" s="1"/>
  <c r="U20" i="48"/>
  <c r="AD20" i="48" s="1"/>
  <c r="AI20" i="48" s="1"/>
  <c r="U40" i="48"/>
  <c r="AD40" i="48" s="1"/>
  <c r="AI40" i="48" s="1"/>
  <c r="G53" i="48"/>
  <c r="U47" i="48"/>
  <c r="AD47" i="48" s="1"/>
  <c r="AI47" i="48" s="1"/>
  <c r="U42" i="14"/>
  <c r="U45" i="14"/>
  <c r="U43" i="14"/>
  <c r="U35" i="14"/>
  <c r="U34" i="14"/>
  <c r="U17" i="14"/>
  <c r="U32" i="14"/>
  <c r="U36" i="14"/>
  <c r="U30" i="14"/>
  <c r="U19" i="14"/>
  <c r="U12" i="14"/>
  <c r="V12" i="14" s="1"/>
  <c r="W12" i="14" s="1"/>
  <c r="U39" i="14"/>
  <c r="U38" i="14"/>
  <c r="U18" i="14"/>
  <c r="U47" i="14"/>
  <c r="U15" i="14"/>
  <c r="U46" i="14"/>
  <c r="U27" i="14"/>
  <c r="U25" i="14"/>
  <c r="U48" i="14"/>
  <c r="U29" i="14"/>
  <c r="U22" i="14"/>
  <c r="U40" i="14"/>
  <c r="U16" i="14"/>
  <c r="U14" i="14"/>
  <c r="U21" i="14"/>
  <c r="U20" i="14"/>
  <c r="U28" i="14"/>
  <c r="U33" i="14"/>
  <c r="U41" i="14"/>
  <c r="U31" i="14"/>
  <c r="U24" i="14"/>
  <c r="U44" i="14"/>
  <c r="U13" i="14"/>
  <c r="X25" i="6"/>
  <c r="N25" i="6" s="1"/>
  <c r="U26" i="14"/>
  <c r="U49" i="14"/>
  <c r="U37" i="14"/>
  <c r="U23" i="14"/>
  <c r="AE29" i="48"/>
  <c r="AJ29" i="48" s="1"/>
  <c r="AE45" i="48"/>
  <c r="AJ45" i="48" s="1"/>
  <c r="AE16" i="48"/>
  <c r="AJ16" i="48" s="1"/>
  <c r="AC16" i="48"/>
  <c r="AH16" i="48" s="1"/>
  <c r="AC46" i="48"/>
  <c r="AH46" i="48" s="1"/>
  <c r="AD27" i="48"/>
  <c r="AI27" i="48" s="1"/>
  <c r="AC27" i="48"/>
  <c r="AH27" i="48" s="1"/>
  <c r="AD38" i="48"/>
  <c r="AI38" i="48" s="1"/>
  <c r="I34" i="11"/>
  <c r="I36" i="11"/>
  <c r="I38" i="11"/>
  <c r="V28" i="6"/>
  <c r="V39" i="6"/>
  <c r="V36" i="6"/>
  <c r="W30" i="6"/>
  <c r="W27" i="6"/>
  <c r="V32" i="6"/>
  <c r="W36" i="6"/>
  <c r="V38" i="6"/>
  <c r="V35" i="6"/>
  <c r="V41" i="6"/>
  <c r="W44" i="6"/>
  <c r="W42" i="6"/>
  <c r="V37" i="6"/>
  <c r="V44" i="6"/>
  <c r="V48" i="6"/>
  <c r="V30" i="6"/>
  <c r="W28" i="6"/>
  <c r="W48" i="6"/>
  <c r="V31" i="6"/>
  <c r="W40" i="6"/>
  <c r="V27" i="6"/>
  <c r="W33" i="6"/>
  <c r="V46" i="6"/>
  <c r="V40" i="6"/>
  <c r="W46" i="6"/>
  <c r="W47" i="6"/>
  <c r="W26" i="6"/>
  <c r="V42" i="6"/>
  <c r="W32" i="6"/>
  <c r="V47" i="6"/>
  <c r="V43" i="6"/>
  <c r="W34" i="6"/>
  <c r="V45" i="6"/>
  <c r="W39" i="6"/>
  <c r="W29" i="6"/>
  <c r="W45" i="6"/>
  <c r="W41" i="6"/>
  <c r="V29" i="6"/>
  <c r="W38" i="6"/>
  <c r="V34" i="6"/>
  <c r="W35" i="6"/>
  <c r="V33" i="6"/>
  <c r="W43" i="6"/>
  <c r="W31" i="6"/>
  <c r="W37" i="6"/>
  <c r="V26" i="6"/>
  <c r="AC38" i="48" l="1"/>
  <c r="AH38" i="48" s="1"/>
  <c r="AD28" i="48"/>
  <c r="AI28" i="48" s="1"/>
  <c r="AC49" i="48"/>
  <c r="AH49" i="48" s="1"/>
  <c r="AC31" i="48"/>
  <c r="AH31" i="48" s="1"/>
  <c r="AD31" i="48"/>
  <c r="AI31" i="48" s="1"/>
  <c r="AC33" i="48"/>
  <c r="AH33" i="48" s="1"/>
  <c r="AD33" i="48"/>
  <c r="AI33" i="48" s="1"/>
  <c r="AD32" i="48"/>
  <c r="AI32" i="48" s="1"/>
  <c r="AE32" i="48"/>
  <c r="AJ32" i="48" s="1"/>
  <c r="AC30" i="48"/>
  <c r="AH30" i="48" s="1"/>
  <c r="AE30" i="48"/>
  <c r="AJ30" i="48" s="1"/>
  <c r="AE35" i="48"/>
  <c r="AJ35" i="48" s="1"/>
  <c r="AD35" i="48"/>
  <c r="AI35" i="48" s="1"/>
  <c r="AC34" i="48"/>
  <c r="AH34" i="48" s="1"/>
  <c r="AE34" i="48"/>
  <c r="AJ34" i="48" s="1"/>
  <c r="AD39" i="48"/>
  <c r="AI39" i="48" s="1"/>
  <c r="AE39" i="48"/>
  <c r="AJ39" i="48" s="1"/>
  <c r="AD42" i="48"/>
  <c r="AI42" i="48" s="1"/>
  <c r="AF42" i="48"/>
  <c r="AK42" i="48" s="1"/>
  <c r="AE33" i="48"/>
  <c r="AJ33" i="48" s="1"/>
  <c r="AC42" i="48"/>
  <c r="AH42" i="48" s="1"/>
  <c r="AD23" i="48"/>
  <c r="AI23" i="48" s="1"/>
  <c r="AC32" i="48"/>
  <c r="AH32" i="48" s="1"/>
  <c r="AD30" i="48"/>
  <c r="AI30" i="48" s="1"/>
  <c r="AD34" i="48"/>
  <c r="AI34" i="48" s="1"/>
  <c r="AC21" i="48"/>
  <c r="AH21" i="48" s="1"/>
  <c r="AC48" i="48"/>
  <c r="AH48" i="48" s="1"/>
  <c r="AD22" i="48"/>
  <c r="AI22" i="48" s="1"/>
  <c r="AD36" i="48"/>
  <c r="AI36" i="48" s="1"/>
  <c r="AE12" i="48"/>
  <c r="AJ12" i="48" s="1"/>
  <c r="AC39" i="48"/>
  <c r="AH39" i="48" s="1"/>
  <c r="AE31" i="48"/>
  <c r="AJ31" i="48" s="1"/>
  <c r="AC15" i="48"/>
  <c r="AH15" i="48" s="1"/>
  <c r="AD19" i="48"/>
  <c r="AI19" i="48" s="1"/>
  <c r="AD24" i="48"/>
  <c r="AI24" i="48" s="1"/>
  <c r="AC35" i="48"/>
  <c r="AH35" i="48" s="1"/>
  <c r="AC29" i="48"/>
  <c r="AH29" i="48" s="1"/>
  <c r="AC18" i="48"/>
  <c r="AH18" i="48" s="1"/>
  <c r="AD44" i="48"/>
  <c r="AI44" i="48" s="1"/>
  <c r="AC14" i="48"/>
  <c r="AH14" i="48" s="1"/>
  <c r="AC45" i="48"/>
  <c r="AH45" i="48" s="1"/>
  <c r="AD45" i="48"/>
  <c r="AI45" i="48" s="1"/>
  <c r="AC41" i="48"/>
  <c r="AH41" i="48" s="1"/>
  <c r="AC17" i="48"/>
  <c r="AH17" i="48" s="1"/>
  <c r="AC20" i="48"/>
  <c r="AH20" i="48" s="1"/>
  <c r="AC43" i="48"/>
  <c r="AH43" i="48" s="1"/>
  <c r="AD13" i="48"/>
  <c r="AI13" i="48" s="1"/>
  <c r="AD26" i="48"/>
  <c r="AI26" i="48" s="1"/>
  <c r="AC47" i="48"/>
  <c r="AH47" i="48" s="1"/>
  <c r="AC25" i="48"/>
  <c r="AH25" i="48" s="1"/>
  <c r="AD37" i="48"/>
  <c r="AI37" i="48" s="1"/>
  <c r="AC40" i="48"/>
  <c r="AH40" i="48" s="1"/>
  <c r="V45" i="14"/>
  <c r="W45" i="14" s="1"/>
  <c r="V31" i="14"/>
  <c r="W31" i="14" s="1"/>
  <c r="V35" i="14"/>
  <c r="W35" i="14" s="1"/>
  <c r="V25" i="14"/>
  <c r="W25" i="14" s="1"/>
  <c r="V14" i="14"/>
  <c r="W14" i="14" s="1"/>
  <c r="V29" i="14"/>
  <c r="W29" i="14" s="1"/>
  <c r="V23" i="14"/>
  <c r="W23" i="14" s="1"/>
  <c r="V20" i="14"/>
  <c r="W20" i="14" s="1"/>
  <c r="V13" i="14"/>
  <c r="W13" i="14" s="1"/>
  <c r="V24" i="14"/>
  <c r="W24" i="14" s="1"/>
  <c r="V28" i="14"/>
  <c r="W28" i="14" s="1"/>
  <c r="V22" i="14"/>
  <c r="W22" i="14" s="1"/>
  <c r="V32" i="14"/>
  <c r="W32" i="14" s="1"/>
  <c r="V39" i="14"/>
  <c r="W39" i="14" s="1"/>
  <c r="V36" i="14"/>
  <c r="W36" i="14" s="1"/>
  <c r="V44" i="14"/>
  <c r="W44" i="14" s="1"/>
  <c r="V19" i="14"/>
  <c r="W19" i="14" s="1"/>
  <c r="V46" i="14"/>
  <c r="W46" i="14" s="1"/>
  <c r="V37" i="14"/>
  <c r="W37" i="14" s="1"/>
  <c r="V18" i="14"/>
  <c r="W18" i="14" s="1"/>
  <c r="V16" i="14"/>
  <c r="W16" i="14" s="1"/>
  <c r="V34" i="14"/>
  <c r="W34" i="14" s="1"/>
  <c r="V33" i="14"/>
  <c r="W33" i="14" s="1"/>
  <c r="V15" i="14"/>
  <c r="W15" i="14" s="1"/>
  <c r="V17" i="14"/>
  <c r="W17" i="14" s="1"/>
  <c r="V30" i="14"/>
  <c r="W30" i="14" s="1"/>
  <c r="V21" i="14"/>
  <c r="W21" i="14" s="1"/>
  <c r="V27" i="14"/>
  <c r="W27" i="14" s="1"/>
  <c r="V49" i="14"/>
  <c r="W49" i="14" s="1"/>
  <c r="X26" i="6"/>
  <c r="X39" i="6"/>
  <c r="N39" i="6" s="1"/>
  <c r="X42" i="6"/>
  <c r="N42" i="6" s="1"/>
  <c r="X27" i="6"/>
  <c r="N27" i="6" s="1"/>
  <c r="X43" i="6"/>
  <c r="N43" i="6" s="1"/>
  <c r="X41" i="6"/>
  <c r="N41" i="6" s="1"/>
  <c r="X28" i="6"/>
  <c r="N28" i="6" s="1"/>
  <c r="X40" i="6"/>
  <c r="N40" i="6" s="1"/>
  <c r="X32" i="6"/>
  <c r="N32" i="6" s="1"/>
  <c r="X48" i="6"/>
  <c r="N48" i="6" s="1"/>
  <c r="X38" i="6"/>
  <c r="N38" i="6" s="1"/>
  <c r="X37" i="6"/>
  <c r="N37" i="6" s="1"/>
  <c r="X46" i="6"/>
  <c r="N46" i="6" s="1"/>
  <c r="X34" i="6"/>
  <c r="N34" i="6" s="1"/>
  <c r="X36" i="6"/>
  <c r="N36" i="6" s="1"/>
  <c r="X30" i="6"/>
  <c r="N30" i="6" s="1"/>
  <c r="X45" i="6"/>
  <c r="N45" i="6" s="1"/>
  <c r="X35" i="6"/>
  <c r="N35" i="6" s="1"/>
  <c r="X44" i="6"/>
  <c r="N44" i="6" s="1"/>
  <c r="X29" i="6"/>
  <c r="N29" i="6" s="1"/>
  <c r="X33" i="6"/>
  <c r="N33" i="6" s="1"/>
  <c r="X31" i="6"/>
  <c r="N31" i="6" s="1"/>
  <c r="X47" i="6"/>
  <c r="N47" i="6" s="1"/>
  <c r="V41" i="14"/>
  <c r="W41" i="14" s="1"/>
  <c r="V48" i="14"/>
  <c r="W48" i="14" s="1"/>
  <c r="V43" i="14"/>
  <c r="W43" i="14" s="1"/>
  <c r="V38" i="14"/>
  <c r="W38" i="14" s="1"/>
  <c r="V26" i="14"/>
  <c r="W26" i="14" s="1"/>
  <c r="AH12" i="48"/>
  <c r="V40" i="14"/>
  <c r="W40" i="14" s="1"/>
  <c r="V42" i="14"/>
  <c r="W42" i="14" s="1"/>
  <c r="V47" i="14"/>
  <c r="W47" i="14" s="1"/>
  <c r="AJ54" i="48" l="1"/>
  <c r="E33" i="2" s="1"/>
  <c r="AE54" i="48"/>
  <c r="D33" i="2" s="1"/>
  <c r="D9" i="2" s="1"/>
  <c r="V17" i="20" s="1"/>
  <c r="AD54" i="48"/>
  <c r="D32" i="2" s="1"/>
  <c r="D8" i="2" s="1"/>
  <c r="V16" i="20" s="1"/>
  <c r="AH54" i="48"/>
  <c r="E31" i="2" s="1"/>
  <c r="AI54" i="48"/>
  <c r="E32" i="2" s="1"/>
  <c r="AC54" i="48"/>
  <c r="D31" i="2" s="1"/>
  <c r="D7" i="2" s="1"/>
  <c r="V15" i="20" s="1"/>
  <c r="X47" i="14"/>
  <c r="X26" i="14"/>
  <c r="X48" i="14"/>
  <c r="X39" i="14"/>
  <c r="X22" i="14"/>
  <c r="X15" i="14"/>
  <c r="X34" i="14"/>
  <c r="X46" i="14"/>
  <c r="X45" i="14"/>
  <c r="X41" i="14"/>
  <c r="X49" i="14"/>
  <c r="X21" i="14"/>
  <c r="X28" i="14"/>
  <c r="X14" i="14"/>
  <c r="X16" i="14"/>
  <c r="X12" i="14"/>
  <c r="X19" i="14"/>
  <c r="X29" i="14"/>
  <c r="X42" i="14"/>
  <c r="X40" i="14"/>
  <c r="X38" i="14"/>
  <c r="X32" i="14"/>
  <c r="X30" i="14"/>
  <c r="X33" i="14"/>
  <c r="X18" i="14"/>
  <c r="X20" i="14"/>
  <c r="X44" i="14"/>
  <c r="X23" i="14"/>
  <c r="X31" i="14"/>
  <c r="X43" i="14"/>
  <c r="X27" i="14"/>
  <c r="X17" i="14"/>
  <c r="X13" i="14"/>
  <c r="X24" i="14"/>
  <c r="X37" i="14"/>
  <c r="X36" i="14"/>
  <c r="X35" i="14"/>
  <c r="X25" i="14"/>
  <c r="N26" i="6"/>
  <c r="J37" i="11" l="1"/>
  <c r="J38" i="11" s="1"/>
  <c r="J35" i="11"/>
  <c r="J36" i="11" s="1"/>
  <c r="J33" i="11"/>
  <c r="J34" i="11" s="1"/>
  <c r="Q43" i="6"/>
  <c r="G14" i="14"/>
  <c r="D14" i="14" s="1"/>
  <c r="G12" i="14"/>
  <c r="C12" i="14" s="1"/>
  <c r="G9" i="14"/>
  <c r="D9" i="14" s="1"/>
  <c r="G16" i="14"/>
  <c r="C16" i="14" s="1"/>
  <c r="Q48" i="6"/>
  <c r="Q36" i="6"/>
  <c r="Q40" i="6"/>
  <c r="Q34" i="6"/>
  <c r="G17" i="14"/>
  <c r="D17" i="14" s="1"/>
  <c r="G10" i="14"/>
  <c r="Q37" i="6"/>
  <c r="Q35" i="6"/>
  <c r="G11" i="14"/>
  <c r="G8" i="14"/>
  <c r="G13" i="14"/>
  <c r="Q47" i="6"/>
  <c r="G15" i="14"/>
  <c r="Q21" i="6"/>
  <c r="Q15" i="6"/>
  <c r="N50" i="6"/>
  <c r="Q23" i="6"/>
  <c r="Q44" i="6"/>
  <c r="Q32" i="6"/>
  <c r="Q33" i="6"/>
  <c r="Q16" i="6"/>
  <c r="Q41" i="6"/>
  <c r="Q26" i="6"/>
  <c r="Q22" i="6"/>
  <c r="Q11" i="6"/>
  <c r="Q12" i="6"/>
  <c r="Q24" i="6"/>
  <c r="Q19" i="6"/>
  <c r="Q46" i="6"/>
  <c r="Q13" i="6"/>
  <c r="Q20" i="6"/>
  <c r="Q25" i="6"/>
  <c r="Q17" i="6"/>
  <c r="Q18" i="6"/>
  <c r="Q14" i="6"/>
  <c r="Q39" i="6"/>
  <c r="Q27" i="6"/>
  <c r="Q30" i="6"/>
  <c r="Q42" i="6"/>
  <c r="Q38" i="6"/>
  <c r="Q29" i="6"/>
  <c r="Q28" i="6"/>
  <c r="Q45" i="6"/>
  <c r="Q31" i="6"/>
  <c r="C14" i="14" l="1"/>
  <c r="B14" i="14"/>
  <c r="B12" i="14"/>
  <c r="D12" i="14"/>
  <c r="B17" i="14"/>
  <c r="C17" i="14"/>
  <c r="B16" i="14"/>
  <c r="D16" i="14"/>
  <c r="B9" i="14"/>
  <c r="C9" i="14"/>
  <c r="R12" i="6"/>
  <c r="S12" i="6" s="1"/>
  <c r="R45" i="6"/>
  <c r="S45" i="6" s="1"/>
  <c r="R42" i="6"/>
  <c r="S42" i="6" s="1"/>
  <c r="R30" i="6"/>
  <c r="S30" i="6" s="1"/>
  <c r="C8" i="14"/>
  <c r="B8" i="14"/>
  <c r="D8" i="14"/>
  <c r="B10" i="14"/>
  <c r="D10" i="14"/>
  <c r="C10" i="14"/>
  <c r="C11" i="14"/>
  <c r="B11" i="14"/>
  <c r="D11" i="14"/>
  <c r="R29" i="6"/>
  <c r="S29" i="6" s="1"/>
  <c r="R14" i="6"/>
  <c r="S14" i="6" s="1"/>
  <c r="B15" i="14"/>
  <c r="C15" i="14"/>
  <c r="D15" i="14"/>
  <c r="B13" i="14"/>
  <c r="D13" i="14"/>
  <c r="C13" i="14"/>
  <c r="R31" i="6"/>
  <c r="S31" i="6" s="1"/>
  <c r="R38" i="6"/>
  <c r="S38" i="6" s="1"/>
  <c r="R18" i="6"/>
  <c r="S18" i="6" s="1"/>
  <c r="R20" i="6"/>
  <c r="S20" i="6" s="1"/>
  <c r="R11" i="6"/>
  <c r="S11" i="6" s="1"/>
  <c r="R43" i="6"/>
  <c r="S43" i="6" s="1"/>
  <c r="R37" i="6"/>
  <c r="S37" i="6" s="1"/>
  <c r="R35" i="6"/>
  <c r="S35" i="6" s="1"/>
  <c r="R41" i="6"/>
  <c r="S41" i="6" s="1"/>
  <c r="R32" i="6"/>
  <c r="S32" i="6" s="1"/>
  <c r="R28" i="6"/>
  <c r="S28" i="6" s="1"/>
  <c r="R15" i="6"/>
  <c r="S15" i="6" s="1"/>
  <c r="R34" i="6"/>
  <c r="S34" i="6" s="1"/>
  <c r="R46" i="6"/>
  <c r="S46" i="6" s="1"/>
  <c r="R22" i="6"/>
  <c r="S22" i="6" s="1"/>
  <c r="R16" i="6"/>
  <c r="S16" i="6" s="1"/>
  <c r="R44" i="6"/>
  <c r="S44" i="6" s="1"/>
  <c r="R21" i="6"/>
  <c r="S21" i="6" s="1"/>
  <c r="R40" i="6"/>
  <c r="S40" i="6" s="1"/>
  <c r="R36" i="6"/>
  <c r="S36" i="6" s="1"/>
  <c r="R27" i="6"/>
  <c r="S27" i="6" s="1"/>
  <c r="R39" i="6"/>
  <c r="S39" i="6" s="1"/>
  <c r="R17" i="6"/>
  <c r="S17" i="6" s="1"/>
  <c r="R13" i="6"/>
  <c r="S13" i="6" s="1"/>
  <c r="R19" i="6"/>
  <c r="S19" i="6" s="1"/>
  <c r="R24" i="6"/>
  <c r="S24" i="6" s="1"/>
  <c r="R26" i="6"/>
  <c r="S26" i="6" s="1"/>
  <c r="R23" i="6"/>
  <c r="S23" i="6" s="1"/>
  <c r="R48" i="6"/>
  <c r="S48" i="6" s="1"/>
  <c r="R25" i="6"/>
  <c r="S25" i="6" s="1"/>
  <c r="R33" i="6"/>
  <c r="S33" i="6" s="1"/>
  <c r="O26" i="6"/>
  <c r="O40" i="6"/>
  <c r="O18" i="6"/>
  <c r="O21" i="6"/>
  <c r="O17" i="6"/>
  <c r="O35" i="6"/>
  <c r="O45" i="6"/>
  <c r="O27" i="6"/>
  <c r="O43" i="6"/>
  <c r="O29" i="6"/>
  <c r="O38" i="6"/>
  <c r="O16" i="6"/>
  <c r="O14" i="6"/>
  <c r="O30" i="6"/>
  <c r="O28" i="6"/>
  <c r="O44" i="6"/>
  <c r="O22" i="6"/>
  <c r="O15" i="6"/>
  <c r="O36" i="6"/>
  <c r="O31" i="6"/>
  <c r="O39" i="6"/>
  <c r="O11" i="6"/>
  <c r="O24" i="6"/>
  <c r="O41" i="6"/>
  <c r="O48" i="6"/>
  <c r="O20" i="6"/>
  <c r="O23" i="6"/>
  <c r="O19" i="6"/>
  <c r="O13" i="6"/>
  <c r="O37" i="6"/>
  <c r="O47" i="6"/>
  <c r="O42" i="6"/>
  <c r="O34" i="6"/>
  <c r="O33" i="6"/>
  <c r="O32" i="6"/>
  <c r="O46" i="6"/>
  <c r="O12" i="6"/>
  <c r="O25" i="6"/>
  <c r="R47" i="6"/>
  <c r="S47" i="6" s="1"/>
  <c r="O50" i="6" l="1"/>
  <c r="T42" i="6"/>
  <c r="T27" i="6"/>
  <c r="T16" i="6"/>
  <c r="T28" i="6"/>
  <c r="T38" i="6"/>
  <c r="T47" i="6"/>
  <c r="T48" i="6"/>
  <c r="T26" i="6"/>
  <c r="T17" i="6"/>
  <c r="T40" i="6"/>
  <c r="T22" i="6"/>
  <c r="T32" i="6"/>
  <c r="T43" i="6"/>
  <c r="T20" i="6"/>
  <c r="T36" i="6"/>
  <c r="T33" i="6"/>
  <c r="T25" i="6"/>
  <c r="T24" i="6"/>
  <c r="T21" i="6"/>
  <c r="T34" i="6"/>
  <c r="T41" i="6"/>
  <c r="T30" i="6"/>
  <c r="T12" i="6"/>
  <c r="T14" i="6"/>
  <c r="T11" i="6"/>
  <c r="T29" i="6"/>
  <c r="T18" i="6"/>
  <c r="T31" i="6"/>
  <c r="T13" i="6"/>
  <c r="T37" i="6"/>
  <c r="T23" i="6"/>
  <c r="T19" i="6"/>
  <c r="T39" i="6"/>
  <c r="T44" i="6"/>
  <c r="T46" i="6"/>
  <c r="T15" i="6"/>
  <c r="T35" i="6"/>
  <c r="T45" i="6"/>
  <c r="J44" i="6" l="1"/>
  <c r="J34" i="6"/>
  <c r="J40" i="6"/>
  <c r="J39" i="6"/>
  <c r="J15" i="6"/>
  <c r="J13" i="6"/>
  <c r="J48" i="6"/>
  <c r="J14" i="6"/>
  <c r="J27" i="6"/>
  <c r="J47" i="6"/>
  <c r="J21" i="6"/>
  <c r="J35" i="6"/>
  <c r="J24" i="6"/>
  <c r="J26" i="6"/>
  <c r="J28" i="6"/>
  <c r="J29" i="6"/>
  <c r="J18" i="6"/>
  <c r="J43" i="6"/>
  <c r="J23" i="6"/>
  <c r="J38" i="6"/>
  <c r="J36" i="6"/>
  <c r="J32" i="6"/>
  <c r="J41" i="6"/>
  <c r="J33" i="6"/>
  <c r="J11" i="6"/>
  <c r="J30" i="6"/>
  <c r="J25" i="6"/>
  <c r="J31" i="6"/>
  <c r="J16" i="6"/>
  <c r="J45" i="6"/>
  <c r="J46" i="6"/>
  <c r="J20" i="6"/>
  <c r="J42" i="6"/>
  <c r="J17" i="6"/>
  <c r="J12" i="6"/>
  <c r="J19" i="6"/>
  <c r="J37" i="6"/>
  <c r="J22" i="6"/>
  <c r="D46" i="6" l="1"/>
  <c r="E46" i="6"/>
  <c r="F46" i="6"/>
  <c r="C46" i="6"/>
  <c r="D31" i="6"/>
  <c r="C31" i="6"/>
  <c r="F31" i="6"/>
  <c r="E31" i="6"/>
  <c r="C32" i="6"/>
  <c r="F32" i="6"/>
  <c r="E32" i="6"/>
  <c r="D32" i="6"/>
  <c r="D18" i="6"/>
  <c r="E18" i="6"/>
  <c r="C18" i="6"/>
  <c r="F18" i="6"/>
  <c r="F37" i="6"/>
  <c r="C37" i="6"/>
  <c r="D37" i="6"/>
  <c r="E37" i="6"/>
  <c r="F17" i="6"/>
  <c r="E17" i="6"/>
  <c r="C17" i="6"/>
  <c r="D17" i="6"/>
  <c r="F45" i="6"/>
  <c r="D45" i="6"/>
  <c r="E45" i="6"/>
  <c r="C45" i="6"/>
  <c r="C11" i="6"/>
  <c r="D11" i="6"/>
  <c r="F11" i="6"/>
  <c r="E11" i="6"/>
  <c r="D23" i="6"/>
  <c r="F23" i="6"/>
  <c r="E23" i="6"/>
  <c r="C23" i="6"/>
  <c r="F28" i="6"/>
  <c r="D28" i="6"/>
  <c r="E28" i="6"/>
  <c r="C28" i="6"/>
  <c r="C27" i="6"/>
  <c r="D27" i="6"/>
  <c r="F27" i="6"/>
  <c r="E27" i="6"/>
  <c r="D40" i="6"/>
  <c r="C40" i="6"/>
  <c r="F40" i="6"/>
  <c r="E40" i="6"/>
  <c r="E22" i="6"/>
  <c r="F22" i="6"/>
  <c r="C22" i="6"/>
  <c r="D22" i="6"/>
  <c r="D38" i="6"/>
  <c r="F38" i="6"/>
  <c r="C38" i="6"/>
  <c r="E38" i="6"/>
  <c r="F47" i="6"/>
  <c r="C47" i="6"/>
  <c r="E47" i="6"/>
  <c r="D47" i="6"/>
  <c r="D42" i="6"/>
  <c r="E42" i="6"/>
  <c r="F42" i="6"/>
  <c r="C42" i="6"/>
  <c r="F25" i="6"/>
  <c r="C25" i="6"/>
  <c r="E25" i="6"/>
  <c r="D25" i="6"/>
  <c r="D33" i="6"/>
  <c r="F33" i="6"/>
  <c r="C33" i="6"/>
  <c r="E33" i="6"/>
  <c r="D36" i="6"/>
  <c r="F36" i="6"/>
  <c r="C36" i="6"/>
  <c r="E36" i="6"/>
  <c r="F24" i="6"/>
  <c r="E24" i="6"/>
  <c r="D24" i="6"/>
  <c r="C24" i="6"/>
  <c r="F21" i="6"/>
  <c r="D21" i="6"/>
  <c r="C21" i="6"/>
  <c r="E21" i="6"/>
  <c r="C14" i="6"/>
  <c r="D14" i="6"/>
  <c r="E14" i="6"/>
  <c r="F14" i="6"/>
  <c r="E13" i="6"/>
  <c r="F13" i="6"/>
  <c r="D13" i="6"/>
  <c r="C13" i="6"/>
  <c r="F34" i="6"/>
  <c r="C34" i="6"/>
  <c r="D34" i="6"/>
  <c r="E34" i="6"/>
  <c r="E35" i="6"/>
  <c r="F35" i="6"/>
  <c r="C35" i="6"/>
  <c r="D35" i="6"/>
  <c r="D39" i="6"/>
  <c r="E39" i="6"/>
  <c r="F39" i="6"/>
  <c r="C39" i="6"/>
  <c r="F19" i="6"/>
  <c r="D19" i="6"/>
  <c r="C19" i="6"/>
  <c r="E19" i="6"/>
  <c r="F16" i="6"/>
  <c r="C16" i="6"/>
  <c r="E16" i="6"/>
  <c r="D16" i="6"/>
  <c r="D12" i="6"/>
  <c r="F12" i="6"/>
  <c r="C12" i="6"/>
  <c r="E12" i="6"/>
  <c r="F20" i="6"/>
  <c r="C20" i="6"/>
  <c r="E20" i="6"/>
  <c r="D20" i="6"/>
  <c r="F30" i="6"/>
  <c r="E30" i="6"/>
  <c r="D30" i="6"/>
  <c r="C30" i="6"/>
  <c r="E41" i="6"/>
  <c r="D41" i="6"/>
  <c r="C41" i="6"/>
  <c r="F41" i="6"/>
  <c r="C43" i="6"/>
  <c r="D43" i="6"/>
  <c r="E43" i="6"/>
  <c r="F43" i="6"/>
  <c r="E29" i="6"/>
  <c r="C29" i="6"/>
  <c r="D29" i="6"/>
  <c r="F29" i="6"/>
  <c r="E26" i="6"/>
  <c r="F26" i="6"/>
  <c r="D26" i="6"/>
  <c r="C26" i="6"/>
  <c r="C48" i="6"/>
  <c r="F48" i="6"/>
  <c r="E48" i="6"/>
  <c r="D48" i="6"/>
  <c r="E15" i="6"/>
  <c r="F15" i="6"/>
  <c r="C15" i="6"/>
  <c r="D15" i="6"/>
  <c r="F44" i="6"/>
  <c r="E44" i="6"/>
  <c r="D44" i="6"/>
  <c r="C44" i="6"/>
  <c r="E50" i="6" l="1"/>
</calcChain>
</file>

<file path=xl/sharedStrings.xml><?xml version="1.0" encoding="utf-8"?>
<sst xmlns="http://schemas.openxmlformats.org/spreadsheetml/2006/main" count="2682" uniqueCount="680">
  <si>
    <t>Category Comparison</t>
  </si>
  <si>
    <t>Category</t>
  </si>
  <si>
    <t>EEI Index</t>
  </si>
  <si>
    <t>Regulated</t>
  </si>
  <si>
    <t>Mostly Regulated</t>
  </si>
  <si>
    <t>Average Return</t>
  </si>
  <si>
    <t>S&amp;P 500</t>
  </si>
  <si>
    <t>Market Capitalization For EEI Index Companies</t>
  </si>
  <si>
    <t>Company Name</t>
  </si>
  <si>
    <t>EXC</t>
  </si>
  <si>
    <t>D</t>
  </si>
  <si>
    <t>DUK</t>
  </si>
  <si>
    <t>SO</t>
  </si>
  <si>
    <t>FE</t>
  </si>
  <si>
    <t>ETR</t>
  </si>
  <si>
    <t>EIX</t>
  </si>
  <si>
    <t>PEG</t>
  </si>
  <si>
    <t>AEP</t>
  </si>
  <si>
    <t>SRE</t>
  </si>
  <si>
    <t>PGN</t>
  </si>
  <si>
    <t>CEG</t>
  </si>
  <si>
    <t>AEE</t>
  </si>
  <si>
    <t>DTE</t>
  </si>
  <si>
    <t>XEL</t>
  </si>
  <si>
    <t>NI</t>
  </si>
  <si>
    <t>SCG</t>
  </si>
  <si>
    <t>WEC</t>
  </si>
  <si>
    <t>CNP</t>
  </si>
  <si>
    <t>POM</t>
  </si>
  <si>
    <t>PNW</t>
  </si>
  <si>
    <t>MDU</t>
  </si>
  <si>
    <t>TE</t>
  </si>
  <si>
    <t>LNT</t>
  </si>
  <si>
    <t>NST</t>
  </si>
  <si>
    <t>OGE</t>
  </si>
  <si>
    <t>HE</t>
  </si>
  <si>
    <t>GXP</t>
  </si>
  <si>
    <t>VVC</t>
  </si>
  <si>
    <t>BKH</t>
  </si>
  <si>
    <t>IDA</t>
  </si>
  <si>
    <t>ALE</t>
  </si>
  <si>
    <t>CNL</t>
  </si>
  <si>
    <t>UNS</t>
  </si>
  <si>
    <t>EE</t>
  </si>
  <si>
    <t>AVA</t>
  </si>
  <si>
    <t>OTTR</t>
  </si>
  <si>
    <t>UIL</t>
  </si>
  <si>
    <t>MGEE</t>
  </si>
  <si>
    <t>EDE</t>
  </si>
  <si>
    <t>UTL</t>
  </si>
  <si>
    <t>Year</t>
  </si>
  <si>
    <t>Market Cap</t>
  </si>
  <si>
    <t>Change</t>
  </si>
  <si>
    <t>EEI Index - Market Cap ($ Billions)</t>
  </si>
  <si>
    <t>Nasdaq Composite*</t>
  </si>
  <si>
    <t xml:space="preserve">EEI Index Annual Return (%) </t>
  </si>
  <si>
    <t>EEI Index Cumulative Return ($)</t>
  </si>
  <si>
    <t>S&amp;P 500 Index Annual Return</t>
  </si>
  <si>
    <t xml:space="preserve">S&amp;P 500 Index Cumulative Return </t>
  </si>
  <si>
    <t>Dow Jones Industrial Avg Annual Return</t>
  </si>
  <si>
    <t>Dow Jones Indus Avg Cumulative Return</t>
  </si>
  <si>
    <t>Index</t>
  </si>
  <si>
    <t>(Reflects Reinvested Dividends)</t>
  </si>
  <si>
    <t>Regulated EEI Index Annual Return</t>
  </si>
  <si>
    <t xml:space="preserve">Regulated EEI Index Cumulative Return </t>
  </si>
  <si>
    <t>Mostly Regulated EEI Index Annual Return</t>
  </si>
  <si>
    <t>Mostly Regulated EEI Index Cumulative Return</t>
  </si>
  <si>
    <t>Total Industry</t>
  </si>
  <si>
    <t xml:space="preserve">% of Total </t>
  </si>
  <si>
    <t>NSTAR</t>
  </si>
  <si>
    <t>PPL</t>
  </si>
  <si>
    <t>EEI Index Top Ten Performers</t>
  </si>
  <si>
    <t>%</t>
  </si>
  <si>
    <t>Total</t>
  </si>
  <si>
    <t>Edison International</t>
  </si>
  <si>
    <t>CMS</t>
  </si>
  <si>
    <t>FirstEnergy Corp.</t>
  </si>
  <si>
    <t>Xcel Energy Inc.</t>
  </si>
  <si>
    <t>OGE Energy Corp.</t>
  </si>
  <si>
    <t>POR</t>
  </si>
  <si>
    <t>TEG</t>
  </si>
  <si>
    <t>Q3</t>
  </si>
  <si>
    <t>All Companies</t>
  </si>
  <si>
    <t>VIII. Returns by Quarter</t>
  </si>
  <si>
    <t>Q1</t>
  </si>
  <si>
    <t>Q2</t>
  </si>
  <si>
    <t>Q4</t>
  </si>
  <si>
    <t>I. Index Comparison</t>
  </si>
  <si>
    <t>II. Category Comparison</t>
  </si>
  <si>
    <t>IV. 10-Year Treasury Yield - Monthly</t>
  </si>
  <si>
    <t>XI. Market Capitalization</t>
  </si>
  <si>
    <t>XII. EEI Index Market Capitalization</t>
  </si>
  <si>
    <t>XIII. Comparative Category Total Annual Returns</t>
  </si>
  <si>
    <t>XIV. EEI Index Top Ten Performers</t>
  </si>
  <si>
    <t>III. Total Return Comparison</t>
  </si>
  <si>
    <t>R</t>
  </si>
  <si>
    <t xml:space="preserve"> </t>
  </si>
  <si>
    <t>VII. NYMEX Natural Gas Futures</t>
  </si>
  <si>
    <t xml:space="preserve">Note:  Return figures include capital gains and dividends.  </t>
  </si>
  <si>
    <t xml:space="preserve">* Price gain/(loss) only.  Other indices show total return.  </t>
  </si>
  <si>
    <t>CV</t>
  </si>
  <si>
    <t>ED</t>
  </si>
  <si>
    <t>PCG</t>
  </si>
  <si>
    <t>NVE</t>
  </si>
  <si>
    <t>Wgt.</t>
  </si>
  <si>
    <t xml:space="preserve">Annual </t>
  </si>
  <si>
    <t xml:space="preserve">Wgt. Mkt. </t>
  </si>
  <si>
    <t xml:space="preserve">Return </t>
  </si>
  <si>
    <t>Cap.</t>
  </si>
  <si>
    <t>Market</t>
  </si>
  <si>
    <t>Return</t>
  </si>
  <si>
    <t>Amount</t>
  </si>
  <si>
    <t>Percent</t>
  </si>
  <si>
    <t>AMERICAN ELECTRIC POWER CO</t>
  </si>
  <si>
    <t>BLACK HILLS CORP</t>
  </si>
  <si>
    <t>PROGRESS ENERGY INC</t>
  </si>
  <si>
    <t>CLECO CORP</t>
  </si>
  <si>
    <t>CENTRAL VERMONT PUBLIC SERVICE CORP</t>
  </si>
  <si>
    <t>DTE ENERGY CO</t>
  </si>
  <si>
    <t>DOMINION RESOURCES INC</t>
  </si>
  <si>
    <t>DUKE ENERGY CORP</t>
  </si>
  <si>
    <t>EL PASO ELECTRIC CO</t>
  </si>
  <si>
    <t>EMPIRE DISTRICT ELECTRIC CO</t>
  </si>
  <si>
    <t>ENTERGY CORP</t>
  </si>
  <si>
    <t xml:space="preserve">HAWAIIAN ELECTRIC INDUSTRIES INC </t>
  </si>
  <si>
    <t>CENTERPOINT ENERGY INC</t>
  </si>
  <si>
    <t>IDACORP INC</t>
  </si>
  <si>
    <t>GREAT PLAINS ENERGY INC</t>
  </si>
  <si>
    <t>NV ENERGY INC</t>
  </si>
  <si>
    <t xml:space="preserve">FIRSTENERGY CORP </t>
  </si>
  <si>
    <t>OGE ENERGY CORP</t>
  </si>
  <si>
    <t xml:space="preserve">OTTER TAIL CORP </t>
  </si>
  <si>
    <t>PPL CORP</t>
  </si>
  <si>
    <t xml:space="preserve">PINNACLE WEST CAPITAL CORP </t>
  </si>
  <si>
    <t xml:space="preserve">PEPCO HOLDINGS INC </t>
  </si>
  <si>
    <t>EDISON INTERNATIONAL</t>
  </si>
  <si>
    <t>SOUTHERN CO</t>
  </si>
  <si>
    <t>TECO ENERGY INC</t>
  </si>
  <si>
    <t>AMEREN CORP</t>
  </si>
  <si>
    <t>UIL HOLDINGS CORP</t>
  </si>
  <si>
    <t>UNITIL CORP</t>
  </si>
  <si>
    <t>CONSTELLATION ENERGY GROUP INC</t>
  </si>
  <si>
    <t>CMS ENERGY CORP</t>
  </si>
  <si>
    <t>CH ENERGY GROUP INC</t>
  </si>
  <si>
    <t xml:space="preserve">CONSOLIDATED EDISON INC </t>
  </si>
  <si>
    <t>MGE ENERGY INC</t>
  </si>
  <si>
    <t>ALLETE INC</t>
  </si>
  <si>
    <t>NISOURCE INC</t>
  </si>
  <si>
    <t>XCEL ENERGY INC</t>
  </si>
  <si>
    <t>NORTHWESTERN  CORP</t>
  </si>
  <si>
    <t>PG&amp;E CORP</t>
  </si>
  <si>
    <t>EXELON CORP</t>
  </si>
  <si>
    <t>PUBLIC SERVICE ENTERPRISE GROUP INC</t>
  </si>
  <si>
    <t>SEMPRA ENERGY</t>
  </si>
  <si>
    <t>SCANA CORP</t>
  </si>
  <si>
    <t>VECTREN CORP</t>
  </si>
  <si>
    <t>ALLIANT ENERGY CORP</t>
  </si>
  <si>
    <t>AVISTA CORP</t>
  </si>
  <si>
    <t>INTEGRYS ENERGY GROUP</t>
  </si>
  <si>
    <t>MDU RESOURCES GROUP INC</t>
  </si>
  <si>
    <t>PORTLAND GENERAL ELECTRIC</t>
  </si>
  <si>
    <t>* Price gain/loss only.  Other indices show total return.</t>
  </si>
  <si>
    <t>NWE</t>
  </si>
  <si>
    <t>Hawaiian Electric Industries, Inc.</t>
  </si>
  <si>
    <t>Southern Company</t>
  </si>
  <si>
    <t>MGE Energy, Inc.</t>
  </si>
  <si>
    <t>PG&amp;E Corporation</t>
  </si>
  <si>
    <t>Avista Corporation</t>
  </si>
  <si>
    <t>Source:  U.S. Federal Reserve</t>
  </si>
  <si>
    <t>V. 10-Year Treasury Yield - Daily</t>
  </si>
  <si>
    <t>Consolidated Edison, Inc.</t>
  </si>
  <si>
    <t>Duke Energy Corporation</t>
  </si>
  <si>
    <t>ALLETE, Inc.</t>
  </si>
  <si>
    <t>Alliant Energy Corporation</t>
  </si>
  <si>
    <t>MDU Resources Group, Inc.</t>
  </si>
  <si>
    <t>Portland General Electric Company</t>
  </si>
  <si>
    <t>American Electric Power Company, Inc.</t>
  </si>
  <si>
    <t>CenterPoint Energy, Inc.</t>
  </si>
  <si>
    <t>DTE Energy Company</t>
  </si>
  <si>
    <t>Entergy Corporation</t>
  </si>
  <si>
    <t>Exelon Corporation</t>
  </si>
  <si>
    <t>IDACORP, Inc.</t>
  </si>
  <si>
    <t>NorthWestern Corporation</t>
  </si>
  <si>
    <t>PPL Corporation</t>
  </si>
  <si>
    <t>Public Service Enterprise Group Incorporated</t>
  </si>
  <si>
    <t>Ameren Corporation</t>
  </si>
  <si>
    <t>Black Hills Corporation</t>
  </si>
  <si>
    <t>CMS Energy Corporation</t>
  </si>
  <si>
    <t>NiSource Inc.</t>
  </si>
  <si>
    <t>Otter Tail Corporation</t>
  </si>
  <si>
    <t>Pinnacle West Capital Corporation</t>
  </si>
  <si>
    <t>Unitil Corporation</t>
  </si>
  <si>
    <t>MR</t>
  </si>
  <si>
    <t>Index Comparison</t>
  </si>
  <si>
    <t>Dow Jones Industrial Average</t>
  </si>
  <si>
    <r>
      <t xml:space="preserve">BACKUP DATA:  </t>
    </r>
    <r>
      <rPr>
        <sz val="10"/>
        <rFont val="Calibri"/>
        <family val="2"/>
      </rPr>
      <t>(expand selection)</t>
    </r>
  </si>
  <si>
    <t>Peer Group Index</t>
  </si>
  <si>
    <t>NEXTERA ENERGY INC</t>
  </si>
  <si>
    <t>NEE</t>
  </si>
  <si>
    <t>NextEra Energy, Inc.</t>
  </si>
  <si>
    <t>http://www.federalreserve.gov/datadownload/Output.aspx?rel=H15&amp;series=bcb44e57fb57efbe90002369321bfb3f&amp;lastObs=&amp;from=&amp;to=&amp;filetype=csv&amp;label=include&amp;layout=seriescolumn</t>
  </si>
  <si>
    <t>http://www.federalreserve.gov/datadownload/Output.aspx?rel=H15&amp;series=0809abf197c17f1ff0b2180fe7015cc3&amp;lastObs=&amp;from=&amp;to=&amp;filetype=csv&amp;label=include&amp;layout=seriescolumn</t>
  </si>
  <si>
    <t>YTD</t>
  </si>
  <si>
    <t>IX &amp; X. Sector Comparisons</t>
  </si>
  <si>
    <t>DJ US Industry</t>
  </si>
  <si>
    <t>LTM</t>
  </si>
  <si>
    <t>Basic Materials</t>
  </si>
  <si>
    <t>Consumer Goods</t>
  </si>
  <si>
    <t>Consumer Services</t>
  </si>
  <si>
    <t>Financials</t>
  </si>
  <si>
    <t>Healthcare</t>
  </si>
  <si>
    <t>Industrials</t>
  </si>
  <si>
    <t>Oil &amp; Gas</t>
  </si>
  <si>
    <t>Technology</t>
  </si>
  <si>
    <t>Telecommunications</t>
  </si>
  <si>
    <t>Utilities</t>
  </si>
  <si>
    <t>Amt. Of  Qtr.</t>
  </si>
  <si>
    <t>Amt. of  Qtr</t>
  </si>
  <si>
    <t>Reinvest.</t>
  </si>
  <si>
    <t>Quarter</t>
  </si>
  <si>
    <t>Shares</t>
  </si>
  <si>
    <t>Price</t>
  </si>
  <si>
    <t xml:space="preserve"> to date</t>
  </si>
  <si>
    <t>Reinvest</t>
  </si>
  <si>
    <t>Factor MC</t>
  </si>
  <si>
    <t>ALLEGHENY ENERGY INC</t>
  </si>
  <si>
    <t>ATLANTIC ENERGY INC</t>
  </si>
  <si>
    <t>BANGOR HYDRO-ELEC CO</t>
  </si>
  <si>
    <t>CENTERIOR ENERGY CORP</t>
  </si>
  <si>
    <t>CENTRAL &amp; SOUTH WEST CORP</t>
  </si>
  <si>
    <t>CMP GROUP</t>
  </si>
  <si>
    <t>UNiCOM</t>
  </si>
  <si>
    <t>DUQUESNE LIGHT</t>
  </si>
  <si>
    <t>ESELCO INC</t>
  </si>
  <si>
    <t>EASTERN UTILITIES ASSOC</t>
  </si>
  <si>
    <t>FLORIDA PROGRESS CORP</t>
  </si>
  <si>
    <t>GPU INC</t>
  </si>
  <si>
    <t>GREEN MOUNTAIN POWER CORP</t>
  </si>
  <si>
    <t>GULF STATES UTILITIES CO</t>
  </si>
  <si>
    <t>IPALCO ENTERPRISES INC</t>
  </si>
  <si>
    <t>KU ENERGY CORP</t>
  </si>
  <si>
    <t>KANSAS GAS &amp; ELECTRIC</t>
  </si>
  <si>
    <t>MAINE AND MARITIMES CORP</t>
  </si>
  <si>
    <t>NEW ENGLAND ELECTRIC SYSTEM</t>
  </si>
  <si>
    <t>PSI RESOURCES INC</t>
  </si>
  <si>
    <t>ENRON</t>
  </si>
  <si>
    <t>PUGET ENERGY INC</t>
  </si>
  <si>
    <t>SOUTHWESTERN PUBLIC SVC CO</t>
  </si>
  <si>
    <t>TNP ENTERPRISES INC</t>
  </si>
  <si>
    <t>TXU CORP</t>
  </si>
  <si>
    <t>UPPER PENINSULA ENERGY CORP</t>
  </si>
  <si>
    <t>CIPSCO INC</t>
  </si>
  <si>
    <t>CILCORP INC</t>
  </si>
  <si>
    <t>CINERGY CORP</t>
  </si>
  <si>
    <t>COMMONWEALTH ENERGY SYSTEM</t>
  </si>
  <si>
    <t>DPL INC</t>
  </si>
  <si>
    <t>CONECTIV</t>
  </si>
  <si>
    <t>IES INDUSTRIES INC</t>
  </si>
  <si>
    <t>ILLINOVA</t>
  </si>
  <si>
    <t>INTERSTATE POWER CO</t>
  </si>
  <si>
    <t>IOWA-ILLINOIS GAS &amp; ELEC</t>
  </si>
  <si>
    <t>LG&amp;E ENERGY CORP</t>
  </si>
  <si>
    <t>KEYSPAN CORP</t>
  </si>
  <si>
    <t>MID-AMERICAN ENERGY</t>
  </si>
  <si>
    <t>MONTANA POWER CO</t>
  </si>
  <si>
    <t>ENERGY EAST CORP</t>
  </si>
  <si>
    <t>NIAGARA MOHAWK POWER</t>
  </si>
  <si>
    <t>ORANGE &amp; ROCKLAND UTILITIES</t>
  </si>
  <si>
    <t>PACIFICORP</t>
  </si>
  <si>
    <t xml:space="preserve">NEW CENTURY ENERGIES </t>
  </si>
  <si>
    <t>RGS ENERGY GROUP, INC</t>
  </si>
  <si>
    <t>ST JOSEPH LIGHT &amp; POWER</t>
  </si>
  <si>
    <t>SIERRA PACIFIC RES</t>
  </si>
  <si>
    <t>AQUILA INC</t>
  </si>
  <si>
    <t>Total EEI Index</t>
  </si>
  <si>
    <t>% Chg.</t>
  </si>
  <si>
    <t>Graph amount</t>
  </si>
  <si>
    <t>Ranking column</t>
  </si>
  <si>
    <t>Total should equal 1.0</t>
  </si>
  <si>
    <t>Dollars</t>
  </si>
  <si>
    <t>Lookup Information</t>
  </si>
  <si>
    <t>'12-Month Calculation'!</t>
  </si>
  <si>
    <t>a1</t>
  </si>
  <si>
    <t>'YTD Calculation'!</t>
  </si>
  <si>
    <t>Mkt Cap</t>
  </si>
  <si>
    <t>% Ret</t>
  </si>
  <si>
    <t>All</t>
  </si>
  <si>
    <t>Mkt Cap Weight</t>
  </si>
  <si>
    <t>Mkt Cap Weighted Return</t>
  </si>
  <si>
    <t>Weighted</t>
  </si>
  <si>
    <t>% of</t>
  </si>
  <si>
    <t>total</t>
  </si>
  <si>
    <t>Ticker</t>
  </si>
  <si>
    <t>Date</t>
  </si>
  <si>
    <t>10YT</t>
  </si>
  <si>
    <t>10YT (%)</t>
  </si>
  <si>
    <t>Contents</t>
  </si>
  <si>
    <t>Financial Analysis Contacts</t>
  </si>
  <si>
    <t>Mark Agnew</t>
  </si>
  <si>
    <t>202-508-5049</t>
  </si>
  <si>
    <t>magnew@eei.org</t>
  </si>
  <si>
    <t>Additional Internet Resources</t>
  </si>
  <si>
    <t>Edison Electric Institute (EEI)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</si>
  <si>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</si>
  <si>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</si>
  <si>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</si>
  <si>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</si>
  <si>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</si>
  <si>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 xml:space="preserve">VI. </t>
  </si>
  <si>
    <t>Natural Gas Spot Prices</t>
  </si>
  <si>
    <t xml:space="preserve">VII. </t>
  </si>
  <si>
    <t>NYMEX Natural Gas Futures</t>
  </si>
  <si>
    <t xml:space="preserve">VIII. </t>
  </si>
  <si>
    <t>Returns by Quarter</t>
  </si>
  <si>
    <t xml:space="preserve">XI. </t>
  </si>
  <si>
    <t>Market Capitalization</t>
  </si>
  <si>
    <t xml:space="preserve">XII. </t>
  </si>
  <si>
    <t>EEI Index Market Cap</t>
  </si>
  <si>
    <t xml:space="preserve">XIII. </t>
  </si>
  <si>
    <t xml:space="preserve">XIV. </t>
  </si>
  <si>
    <t>EEI Index Top 10</t>
  </si>
  <si>
    <t>Sector Comparison</t>
  </si>
  <si>
    <t>Last 12 Months</t>
  </si>
  <si>
    <t>10-Year Treasury - Daily</t>
  </si>
  <si>
    <t>Comp Category Return</t>
  </si>
  <si>
    <t>ND</t>
  </si>
  <si>
    <t>Rank</t>
  </si>
  <si>
    <t>Tie</t>
  </si>
  <si>
    <t>Match</t>
  </si>
  <si>
    <t>Notes:</t>
  </si>
  <si>
    <t>SNL Key</t>
  </si>
  <si>
    <t>Dividend</t>
  </si>
  <si>
    <t>AYE</t>
  </si>
  <si>
    <t>MAM</t>
  </si>
  <si>
    <t>NV ENERGY</t>
  </si>
  <si>
    <t>DPL</t>
  </si>
  <si>
    <t>.</t>
  </si>
  <si>
    <t>Company_Name</t>
  </si>
  <si>
    <t>SNL_Key</t>
  </si>
  <si>
    <t>'CompanyList'!</t>
  </si>
  <si>
    <t>'master'!</t>
  </si>
  <si>
    <t>5:5</t>
  </si>
  <si>
    <t>a:a</t>
  </si>
  <si>
    <t>Mkt_Cap</t>
  </si>
  <si>
    <t>Total Return Comparison</t>
  </si>
  <si>
    <t>10-Year Treasury - Monthly</t>
  </si>
  <si>
    <t>Go to Contents</t>
  </si>
  <si>
    <t>Wgt % Return</t>
  </si>
  <si>
    <t>% Return</t>
  </si>
  <si>
    <t>Annual  Return</t>
  </si>
  <si>
    <t>Wgt Mkt Cap %</t>
  </si>
  <si>
    <t>'Calc_YTD'!</t>
  </si>
  <si>
    <t>'Reg_Percent'!</t>
  </si>
  <si>
    <t>Market Cap &amp; Return Lookup</t>
  </si>
  <si>
    <t>Average</t>
  </si>
  <si>
    <t>Regulated Category</t>
  </si>
  <si>
    <t>Category Count</t>
  </si>
  <si>
    <t>Settings</t>
  </si>
  <si>
    <t>Master_Lookup</t>
  </si>
  <si>
    <t>Reg_Percent</t>
  </si>
  <si>
    <t>Calc_YTD</t>
  </si>
  <si>
    <t>YTD Calculation</t>
  </si>
  <si>
    <t>12-Month Calculation</t>
  </si>
  <si>
    <t>Calc_LTM</t>
  </si>
  <si>
    <t>CompanyList</t>
  </si>
  <si>
    <t>Market Cap Lookup</t>
  </si>
  <si>
    <t>Sorting</t>
  </si>
  <si>
    <t>Return Lookup</t>
  </si>
  <si>
    <t>Regulated Lookup</t>
  </si>
  <si>
    <t>Sort</t>
  </si>
  <si>
    <t>Re-Rank</t>
  </si>
  <si>
    <t>Note:  For the Category Comparison, straight, equal-weight averages are used (i.e., not market-capitalization-weighted).</t>
  </si>
  <si>
    <t>3-Month</t>
  </si>
  <si>
    <t>1-Year</t>
  </si>
  <si>
    <t>Sector/Group</t>
  </si>
  <si>
    <t>Q</t>
  </si>
  <si>
    <t>Year-to-Date</t>
  </si>
  <si>
    <t>Total Average Return</t>
  </si>
  <si>
    <t>Year-ago</t>
  </si>
  <si>
    <t>Prev Per</t>
  </si>
  <si>
    <t>Cur Per</t>
  </si>
  <si>
    <t>Raw Data</t>
  </si>
  <si>
    <t>Period Performance</t>
  </si>
  <si>
    <t>Ranking</t>
  </si>
  <si>
    <t>Last 12/31</t>
  </si>
  <si>
    <t xml:space="preserve">Quarterly Lookup Year: </t>
  </si>
  <si>
    <t xml:space="preserve">Quarterly Lookup Quarter: </t>
  </si>
  <si>
    <t>Avg Return*</t>
  </si>
  <si>
    <t>* This Weighted Avg Return differs from the standard EEI Index return because the standard is calculated using market cap</t>
  </si>
  <si>
    <t xml:space="preserve">   weights at the beginning of the period and this average is based on market cap weights at the end of the period.</t>
  </si>
  <si>
    <t>For the Category Comparison, straight, equal-weight averages are used (i.e., not market-cap-weighted).</t>
  </si>
  <si>
    <t>Company</t>
  </si>
  <si>
    <t>Total Return (%)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</si>
  <si>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</si>
  <si>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</si>
  <si>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</si>
  <si>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</si>
  <si>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</si>
  <si>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</si>
  <si>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</si>
  <si>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</si>
  <si>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</si>
  <si>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</si>
  <si>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</si>
  <si>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</si>
  <si>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</si>
  <si>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</si>
  <si>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</si>
  <si>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</si>
  <si>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</si>
  <si>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</si>
  <si>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</si>
  <si>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</si>
  <si>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</si>
  <si>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</si>
  <si>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</si>
  <si>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</si>
  <si>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</si>
  <si>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</si>
  <si>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</si>
  <si>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</si>
  <si>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</si>
  <si>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</si>
  <si>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</si>
  <si>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</si>
  <si>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</si>
  <si>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</si>
  <si>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</si>
  <si>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</si>
  <si>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</si>
  <si>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</si>
  <si>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</si>
  <si>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</si>
  <si>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</si>
  <si>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</si>
  <si>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</si>
  <si>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</si>
  <si>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</si>
  <si>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</si>
  <si>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</si>
  <si>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</si>
  <si>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</si>
  <si>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 xml:space="preserve">% Total </t>
  </si>
  <si>
    <t>Period</t>
  </si>
  <si>
    <t>2013-Q3</t>
  </si>
  <si>
    <t>2013-Q4</t>
  </si>
  <si>
    <t>2013-Q1</t>
  </si>
  <si>
    <t>2013-Q2</t>
  </si>
  <si>
    <t>Market Cap ($ MM)</t>
  </si>
  <si>
    <t>Total Return Comparison of the EEI Index by Category</t>
  </si>
  <si>
    <t>Year-to-Date Performance</t>
  </si>
  <si>
    <t>UNS ENERGY CORP</t>
  </si>
  <si>
    <t>(+AB112/AE112)-1</t>
  </si>
  <si>
    <t>(+AH112/AE112)-1</t>
  </si>
  <si>
    <t>(+AH112/AK112)-1</t>
  </si>
  <si>
    <t>(+AB113/AE113)-1</t>
  </si>
  <si>
    <t>(+AH113/AE113)-1</t>
  </si>
  <si>
    <t>(+AH113/AK113)-1</t>
  </si>
  <si>
    <t>Quarterly Averages:</t>
  </si>
  <si>
    <t>(+AB115/AE115)-1</t>
  </si>
  <si>
    <t>(+AH115/AE115)-1</t>
  </si>
  <si>
    <t>(+AH115/AK115)-1</t>
  </si>
  <si>
    <t>(+AB116/AE116)-1</t>
  </si>
  <si>
    <t>(+AH116/AE116)-1</t>
  </si>
  <si>
    <t>(+AH116/AK116)-1</t>
  </si>
  <si>
    <t>(+AB117/AE117)-1</t>
  </si>
  <si>
    <t>(+AH117/AE117)-1</t>
  </si>
  <si>
    <t>(+AH117/AK117)-1</t>
  </si>
  <si>
    <t>(+AB118/AE118)-1</t>
  </si>
  <si>
    <t>(+AH118/AE118)-1</t>
  </si>
  <si>
    <t>(+AH118/AK118)-1</t>
  </si>
  <si>
    <t>(+AB119/AE119)-1</t>
  </si>
  <si>
    <t>(+AH119/AE119)-1</t>
  </si>
  <si>
    <t>(+AH119/AK119)-1</t>
  </si>
  <si>
    <t>ALLEGHENY ENERGY</t>
  </si>
  <si>
    <t>(+AB120/AE120)-1</t>
  </si>
  <si>
    <t>(+AH120/AE120)-1</t>
  </si>
  <si>
    <t>(+AH120/AK120)-1</t>
  </si>
  <si>
    <t>AMERICAN ELECTRIC POWER</t>
  </si>
  <si>
    <t>(+AB121/AE121)-1</t>
  </si>
  <si>
    <t>(+AH121/AE121)-1</t>
  </si>
  <si>
    <t>(+AH121/AK121)-1</t>
  </si>
  <si>
    <t>(+AB122/AE122)-1</t>
  </si>
  <si>
    <t>(+AH122/AE122)-1</t>
  </si>
  <si>
    <t>(+AH122/AK122)-1</t>
  </si>
  <si>
    <t>(+AB123/AE123)-1</t>
  </si>
  <si>
    <t>(+AH123/AE123)-1</t>
  </si>
  <si>
    <t>(+AH123/AK123)-1</t>
  </si>
  <si>
    <t>(+AB124/AE124)-1</t>
  </si>
  <si>
    <t>(+AH124/AE124)-1</t>
  </si>
  <si>
    <t>(+AH124/AK124)-1</t>
  </si>
  <si>
    <t>BEC ENERGY</t>
  </si>
  <si>
    <t>(+AB125/AE125)-1</t>
  </si>
  <si>
    <t>(+AH125/AE125)-1</t>
  </si>
  <si>
    <t>(+AH125/AK125)-1</t>
  </si>
  <si>
    <t>CAROLINA POWER &amp; LIGHT</t>
  </si>
  <si>
    <t>(+AB126/AE126)-1</t>
  </si>
  <si>
    <t>(+AH126/AE126)-1</t>
  </si>
  <si>
    <t>(+AH126/AK126)-1</t>
  </si>
  <si>
    <t>(+AB127/AE127)-1</t>
  </si>
  <si>
    <t>(+AH127/AE127)-1</t>
  </si>
  <si>
    <t>(+AH127/AK127)-1</t>
  </si>
  <si>
    <t>(+AB128/AE128)-1</t>
  </si>
  <si>
    <t>(+AH128/AE128)-1</t>
  </si>
  <si>
    <t>(+AH128/AK128)-1</t>
  </si>
  <si>
    <t>(+AB129/AE129)-1</t>
  </si>
  <si>
    <t>(+AH129/AE129)-1</t>
  </si>
  <si>
    <t>(+AH129/AK129)-1</t>
  </si>
  <si>
    <t>CENTRAL MAINE POWER CO</t>
  </si>
  <si>
    <t>(+AB130/AE130)-1</t>
  </si>
  <si>
    <t>(+AH130/AE130)-1</t>
  </si>
  <si>
    <t>(+AH130/AK130)-1</t>
  </si>
  <si>
    <t>Source:  EEI Finance Dept., Dow Jones &amp; Company, Yahoo! Finance</t>
  </si>
  <si>
    <t>Source:  EEI Finance Dept.</t>
  </si>
  <si>
    <t>year end</t>
  </si>
  <si>
    <t>wgt.</t>
  </si>
  <si>
    <t>2014-Q1</t>
  </si>
  <si>
    <t>2014-Q2</t>
  </si>
  <si>
    <t>Quarterly Report of the U.S. Investor-Owned Electric Utility Industry</t>
  </si>
  <si>
    <t>2014-Q3</t>
  </si>
  <si>
    <t>2014-Q4</t>
  </si>
  <si>
    <t>Eversource Energy</t>
  </si>
  <si>
    <t>ES</t>
  </si>
  <si>
    <t>EVERSOURCE ENERGY</t>
  </si>
  <si>
    <t>2015-Q1</t>
  </si>
  <si>
    <t>2015-Q2</t>
  </si>
  <si>
    <t>2015-Q3</t>
  </si>
  <si>
    <t>WEC Energy Group, Inc.</t>
  </si>
  <si>
    <t>Companies Listed by Business Segmentation Category</t>
  </si>
  <si>
    <t>Berkshire Hathaway Energy *</t>
  </si>
  <si>
    <t>DPL Inc. *</t>
  </si>
  <si>
    <t>IPALCO Enterprises, Inc. *</t>
  </si>
  <si>
    <t>Puget Energy, Inc. *</t>
  </si>
  <si>
    <t>Note:  * Non-publicly traded companies</t>
  </si>
  <si>
    <t>2015-Q4</t>
  </si>
  <si>
    <t>VI. Natural Gas Spot Prices</t>
  </si>
  <si>
    <t xml:space="preserve">WEC Energy Group, Inc. </t>
  </si>
  <si>
    <t>AGR</t>
  </si>
  <si>
    <t>AVANGRID</t>
  </si>
  <si>
    <t>2016-Q1</t>
  </si>
  <si>
    <t>Cleco Corporation *</t>
  </si>
  <si>
    <t>2016-Q2</t>
  </si>
  <si>
    <t>WEC ENERGY GROUP INC</t>
  </si>
  <si>
    <t>2016-Q3</t>
  </si>
  <si>
    <t>2016-Q4</t>
  </si>
  <si>
    <t>Source:  EEI Finance Dept., S&amp;P Global Market Intelligence</t>
  </si>
  <si>
    <t>Source:  EEI Finance Dept., S&amp;P Global Market Intelligence, company reports</t>
  </si>
  <si>
    <t>2017-Q1</t>
  </si>
  <si>
    <t>Regulated:  80% or more of total assets are regulated</t>
  </si>
  <si>
    <t>Mostly Regulated:  Less than 80% of total assets are regulated</t>
  </si>
  <si>
    <t>U.S. Investor-Owned Electric Utilities</t>
  </si>
  <si>
    <t>2017-Q2</t>
  </si>
  <si>
    <t>2017-Q3</t>
  </si>
  <si>
    <t>Proprietary S&amp;P Global Market intelligence data.  Please refer to PDF for chart.</t>
  </si>
  <si>
    <t>2017-Q4</t>
  </si>
  <si>
    <t>2018-Q1</t>
  </si>
  <si>
    <t>DOMINION ENERGY INC</t>
  </si>
  <si>
    <t>EVERGY INC</t>
  </si>
  <si>
    <t>EVRG</t>
  </si>
  <si>
    <t>Evergy, Inc.</t>
  </si>
  <si>
    <t>2018-Q2</t>
  </si>
  <si>
    <t>Dominion Energy, Inc.</t>
  </si>
  <si>
    <t>2018-Q3</t>
  </si>
  <si>
    <t>2018-Q4</t>
  </si>
  <si>
    <t>2019-Q1</t>
  </si>
  <si>
    <t>2019-Q2</t>
  </si>
  <si>
    <t>2019-Q3</t>
  </si>
  <si>
    <t>2019-Q4</t>
  </si>
  <si>
    <t>2020-Q1</t>
  </si>
  <si>
    <t>Amt. 20.2</t>
  </si>
  <si>
    <t>2020-Q2</t>
  </si>
  <si>
    <t>Amt. 20.3</t>
  </si>
  <si>
    <t>2020-Q3</t>
  </si>
  <si>
    <t>Amt. 20.4</t>
  </si>
  <si>
    <t>2020-Q4</t>
  </si>
  <si>
    <t>2021-Q1</t>
  </si>
  <si>
    <t>Amt. 21.2</t>
  </si>
  <si>
    <t>2021-Q2</t>
  </si>
  <si>
    <t>Director, Financial Analysis</t>
  </si>
  <si>
    <t>Amt. 21.3</t>
  </si>
  <si>
    <t>2021-Q3</t>
  </si>
  <si>
    <t>Amt. 21.4</t>
  </si>
  <si>
    <t>2021-Q4</t>
  </si>
  <si>
    <t>Amt. 20.1</t>
  </si>
  <si>
    <t>2022-Q1</t>
  </si>
  <si>
    <t>Amt. 22.2</t>
  </si>
  <si>
    <t>Amt. 22.3</t>
  </si>
  <si>
    <t>2022-Q2</t>
  </si>
  <si>
    <t>2022-Q3</t>
  </si>
  <si>
    <t>dfoy@eei.org</t>
  </si>
  <si>
    <t>Daniel Foy</t>
  </si>
  <si>
    <t>202-508-5970</t>
  </si>
  <si>
    <t>Amt. 22.4</t>
  </si>
  <si>
    <t>2022-Q4</t>
  </si>
  <si>
    <t>C10</t>
  </si>
  <si>
    <t>D10</t>
  </si>
  <si>
    <t>A1</t>
  </si>
  <si>
    <t>Amt. 21.1</t>
  </si>
  <si>
    <t>Sorted Qt2- 199 A750 address</t>
  </si>
  <si>
    <t>Note:  Original cal -11.69 anf -943.89</t>
  </si>
  <si>
    <t>Column c and d respectiviely</t>
  </si>
  <si>
    <t>F1</t>
  </si>
  <si>
    <t>D:D</t>
  </si>
  <si>
    <t>Sector Comparison page based on the Dow Jones U.S. Indexes, which are market-capitalization-weighted indices.</t>
  </si>
  <si>
    <t>B1:B200</t>
  </si>
  <si>
    <t>E10</t>
  </si>
  <si>
    <t>B:B</t>
  </si>
  <si>
    <t>A:A</t>
  </si>
  <si>
    <t>G1</t>
  </si>
  <si>
    <t>'MASTER'!</t>
  </si>
  <si>
    <t>MASTER</t>
  </si>
  <si>
    <t>Category_Calc</t>
  </si>
  <si>
    <t>Market Cap &amp; Return Lookup - By Category</t>
  </si>
  <si>
    <t>Market Cap (2nd Source) Lookup</t>
  </si>
  <si>
    <t>2019 - Present</t>
  </si>
  <si>
    <t>2023-Q1</t>
  </si>
  <si>
    <t>Amt. 23.2</t>
  </si>
  <si>
    <t>2023-Q2</t>
  </si>
  <si>
    <t>Eric Yang</t>
  </si>
  <si>
    <t>Senior Financial Analyst</t>
  </si>
  <si>
    <t>202-508-5529</t>
  </si>
  <si>
    <t>eyang@eei.org</t>
  </si>
  <si>
    <t>Named Ranges</t>
  </si>
  <si>
    <t>INPUTS (Update Q1 Only)</t>
  </si>
  <si>
    <t>INPUTS (Update Every Quarter)</t>
  </si>
  <si>
    <t>Formulas (Do Not Change)</t>
  </si>
  <si>
    <t>QFUSupportV2.xlam</t>
  </si>
  <si>
    <t>Date_Current_Year</t>
  </si>
  <si>
    <t>Date_EOP_Current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</si>
  <si>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</si>
  <si>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</si>
  <si>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Date_Business_Segmentation</t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</si>
  <si>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</si>
  <si>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</si>
  <si>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Month_EOP_Current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</si>
  <si>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</si>
  <si>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</si>
  <si>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t>Quarter_Year_Qtr</t>
  </si>
  <si>
    <t>IX.</t>
  </si>
  <si>
    <t>Amt. 23.3</t>
  </si>
  <si>
    <t>2023-Q3</t>
  </si>
  <si>
    <t>Mkt Cap $M</t>
  </si>
  <si>
    <t>Mkt Cap $B</t>
  </si>
  <si>
    <t>Amt. 23.4</t>
  </si>
  <si>
    <t>2023-Q4</t>
  </si>
  <si>
    <t>Contents!O:XFD</t>
  </si>
  <si>
    <t>2024</t>
  </si>
  <si>
    <t>Amt. 24.4</t>
  </si>
  <si>
    <t>Amt. 24.3</t>
  </si>
  <si>
    <t>Amt. 24.2</t>
  </si>
  <si>
    <t>Amt. 24.1</t>
  </si>
  <si>
    <t>Amt. 22.1</t>
  </si>
  <si>
    <t>2019.4mc</t>
  </si>
  <si>
    <t>TXNM ENERGY INC</t>
  </si>
  <si>
    <t xml:space="preserve">SEMPRA </t>
  </si>
  <si>
    <t>TXNM</t>
  </si>
  <si>
    <t>TXNM Energy, Inc.</t>
  </si>
  <si>
    <t xml:space="preserve">Sempra </t>
  </si>
  <si>
    <t>Sempra</t>
  </si>
  <si>
    <t>NorthWestern Energy</t>
  </si>
  <si>
    <t>2024-Q1</t>
  </si>
  <si>
    <t>2024-Q2</t>
  </si>
  <si>
    <t>2024-Q3</t>
  </si>
  <si>
    <t>2024-Q4</t>
  </si>
  <si>
    <t>Cumulative Return assumes $100 invested at closing prices on December 31, 2019</t>
  </si>
  <si>
    <t>Stock Performance 2024 Q4</t>
  </si>
  <si>
    <t>Senior Director, Financial Analysis</t>
  </si>
  <si>
    <t>Regulated (37 of 44)</t>
  </si>
  <si>
    <t>Mostly Regulated (7 of 44)</t>
  </si>
  <si>
    <t>AVANGRID, Inc.</t>
  </si>
  <si>
    <t>American Electric Power Co, Inc.</t>
  </si>
  <si>
    <t>FirstEnergy Corporation</t>
  </si>
  <si>
    <t>OGE Energy Corporation</t>
  </si>
  <si>
    <t>Public Service Enterprise Group Inc.</t>
  </si>
  <si>
    <t>Based on assets as of 12/31/2023</t>
  </si>
  <si>
    <t>Category Definitions:</t>
  </si>
  <si>
    <t xml:space="preserve">Regulated: 80% or more of total </t>
  </si>
  <si>
    <t>assets are regulated</t>
  </si>
  <si>
    <t>Mostly Regulated: Less than 80%</t>
  </si>
  <si>
    <t xml:space="preserve">of total assets are regulated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</si>
</sst>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  <numFmt numFmtId="167" formatCode="0.0"/>
    <numFmt numFmtId="168" formatCode="[$-409]mmm\-yy;@"/>
    <numFmt numFmtId="169" formatCode="_(* #,##0.000_);_(* \(#,##0.000\);_(* &quot;-&quot;???_);_(@_)"/>
    <numFmt numFmtId="170" formatCode="_(* #,##0.00_);_(* \(#,##0.00\);_(* &quot;-&quot;???_);_(@_)"/>
    <numFmt numFmtId="171" formatCode="_(* #,##0.0_);_(* \(#,##0.0\);_(* &quot;-&quot;?_);_(@_)"/>
    <numFmt numFmtId="172" formatCode="0.0000_);[Red]\(0.0000\)"/>
    <numFmt numFmtId="173" formatCode="0.000000"/>
    <numFmt numFmtId="174" formatCode="0.0000"/>
    <numFmt numFmtId="175" formatCode="_(* #,##0.00000_);_(* \(#,##0.00000\);_(* &quot;-&quot;??_);_(@_)"/>
    <numFmt numFmtId="176" formatCode="0.000"/>
    <numFmt numFmtId="177" formatCode="_(* #,##0.0000_);_(* \(#,##0.0000\);_(* &quot;-&quot;??_);_(@_)"/>
    <numFmt numFmtId="178" formatCode="0.00000"/>
    <numFmt numFmtId="179" formatCode="0.0000000"/>
    <numFmt numFmtId="180" formatCode="0.00_);[Red]\(0.00\)"/>
    <numFmt numFmtId="181" formatCode="_(* #,##0_);_(* \(#,##0\);_(* &quot;-&quot;?_);_(@_)"/>
    <numFmt numFmtId="182" formatCode="_(* #,##0.0_);_(* \(#,##0.0\);_(* &quot;-&quot;_);_(@_)"/>
    <numFmt numFmtId="183" formatCode="yyyy\-mmm"/>
    <numFmt numFmtId="184" formatCode="#,##0.0_);\(#,##0.0\)"/>
    <numFmt numFmtId="185" formatCode="_(* #,##0.0000000_);_(* \(#,##0.0000000\);_(* &quot;-&quot;??_);_(@_)"/>
    <numFmt numFmtId="186" formatCode="0.00_);\(0.00\)"/>
  </numFmts>
  <fonts count="90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Arial Unicode MS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color indexed="4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52"/>
      <name val="Arial"/>
      <family val="2"/>
    </font>
    <font>
      <sz val="10"/>
      <color indexed="13"/>
      <name val="Arial"/>
      <family val="2"/>
    </font>
    <font>
      <b/>
      <i/>
      <sz val="10"/>
      <name val="Arial"/>
      <family val="2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rgb="FF003399"/>
      <name val="Calibri"/>
      <family val="2"/>
      <scheme val="minor"/>
    </font>
    <font>
      <b/>
      <sz val="9"/>
      <name val="Franklin Gothic Book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u/>
      <sz val="8.5"/>
      <color theme="10"/>
      <name val="Arial"/>
      <family val="2"/>
    </font>
    <font>
      <i/>
      <sz val="12"/>
      <color theme="0"/>
      <name val="Calibri"/>
      <family val="2"/>
      <scheme val="minor"/>
    </font>
    <font>
      <sz val="12"/>
      <color theme="0"/>
      <name val="Arial"/>
      <family val="2"/>
    </font>
    <font>
      <i/>
      <sz val="8"/>
      <color theme="1" tint="0.499984740745262"/>
      <name val="Calibri"/>
      <family val="2"/>
      <scheme val="minor"/>
    </font>
    <font>
      <b/>
      <sz val="14"/>
      <color rgb="FF104985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104985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color theme="4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70C0"/>
      <name val="Calibri"/>
      <family val="2"/>
    </font>
    <font>
      <sz val="10"/>
      <color rgb="FF000000"/>
      <name val="Arial"/>
      <family val="2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sz val="10"/>
      <color theme="0"/>
      <name val="Calibri"/>
      <family val="2"/>
    </font>
    <font>
      <b/>
      <sz val="14"/>
      <color theme="0"/>
      <name val="Calibri"/>
      <family val="2"/>
    </font>
    <font>
      <i/>
      <sz val="10"/>
      <color theme="0"/>
      <name val="Calibri"/>
      <family val="2"/>
    </font>
    <font>
      <sz val="8"/>
      <color theme="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4D74"/>
        <bgColor indexed="64"/>
      </patternFill>
    </fill>
    <fill>
      <patternFill patternType="solid">
        <fgColor rgb="FF1049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4568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rgb="FFBFBFBF"/>
      </bottom>
      <diagonal/>
    </border>
    <border>
      <left/>
      <right/>
      <top style="thin">
        <color rgb="FF808080"/>
      </top>
      <bottom style="thin">
        <color rgb="FFBFBFBF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3">
    <xf numFmtId="168" fontId="0" fillId="0" borderId="0"/>
    <xf numFmtId="43" fontId="5" fillId="0" borderId="0" applyFont="0" applyFill="0" applyBorder="0" applyAlignment="0" applyProtection="0"/>
    <xf numFmtId="168" fontId="18" fillId="0" borderId="0" applyNumberFormat="0" applyFill="0" applyBorder="0" applyAlignment="0" applyProtection="0">
      <alignment vertical="top"/>
      <protection locked="0"/>
    </xf>
    <xf numFmtId="168" fontId="8" fillId="0" borderId="0"/>
    <xf numFmtId="168" fontId="5" fillId="0" borderId="0"/>
    <xf numFmtId="168" fontId="17" fillId="0" borderId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0" fontId="49" fillId="0" borderId="0"/>
    <xf numFmtId="0" fontId="51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/>
    <xf numFmtId="0" fontId="5" fillId="0" borderId="0"/>
    <xf numFmtId="43" fontId="4" fillId="0" borderId="0" applyFont="0" applyFill="0" applyBorder="0" applyAlignment="0" applyProtection="0"/>
    <xf numFmtId="16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9" fillId="0" borderId="0"/>
    <xf numFmtId="0" fontId="3" fillId="0" borderId="0"/>
    <xf numFmtId="0" fontId="70" fillId="0" borderId="0"/>
    <xf numFmtId="0" fontId="71" fillId="0" borderId="0"/>
    <xf numFmtId="9" fontId="71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0" fontId="73" fillId="0" borderId="0"/>
    <xf numFmtId="0" fontId="78" fillId="0" borderId="0"/>
    <xf numFmtId="168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79" fillId="0" borderId="0"/>
    <xf numFmtId="0" fontId="1" fillId="0" borderId="0"/>
    <xf numFmtId="0" fontId="18" fillId="0" borderId="0" applyNumberFormat="0" applyFill="0" applyBorder="0" applyAlignment="0" applyProtection="0"/>
  </cellStyleXfs>
  <cellXfs count="650">
    <xf numFmtId="168" fontId="0" fillId="0" borderId="0" xfId="0"/>
    <xf numFmtId="168" fontId="7" fillId="0" borderId="0" xfId="0" applyFont="1" applyAlignment="1">
      <alignment horizontal="center"/>
    </xf>
    <xf numFmtId="168" fontId="9" fillId="0" borderId="0" xfId="0" applyFont="1"/>
    <xf numFmtId="168" fontId="11" fillId="0" borderId="0" xfId="0" applyFont="1"/>
    <xf numFmtId="168" fontId="13" fillId="0" borderId="0" xfId="0" applyFont="1"/>
    <xf numFmtId="168" fontId="10" fillId="0" borderId="0" xfId="0" applyFont="1"/>
    <xf numFmtId="2" fontId="10" fillId="0" borderId="0" xfId="0" applyNumberFormat="1" applyFont="1" applyAlignment="1">
      <alignment horizontal="right"/>
    </xf>
    <xf numFmtId="168" fontId="10" fillId="0" borderId="0" xfId="0" applyFont="1" applyAlignment="1">
      <alignment horizontal="left"/>
    </xf>
    <xf numFmtId="168" fontId="6" fillId="0" borderId="0" xfId="0" applyFont="1" applyAlignment="1">
      <alignment horizontal="center"/>
    </xf>
    <xf numFmtId="168" fontId="20" fillId="0" borderId="0" xfId="0" applyFont="1"/>
    <xf numFmtId="168" fontId="22" fillId="0" borderId="0" xfId="0" applyFont="1" applyAlignment="1">
      <alignment horizontal="center"/>
    </xf>
    <xf numFmtId="168" fontId="23" fillId="0" borderId="0" xfId="0" applyFont="1" applyAlignment="1">
      <alignment horizontal="left"/>
    </xf>
    <xf numFmtId="168" fontId="20" fillId="0" borderId="0" xfId="0" applyFont="1" applyAlignment="1">
      <alignment horizontal="left"/>
    </xf>
    <xf numFmtId="168" fontId="24" fillId="0" borderId="0" xfId="0" applyFont="1" applyAlignment="1">
      <alignment horizontal="left"/>
    </xf>
    <xf numFmtId="2" fontId="20" fillId="0" borderId="0" xfId="0" applyNumberFormat="1" applyFont="1"/>
    <xf numFmtId="43" fontId="20" fillId="0" borderId="0" xfId="0" applyNumberFormat="1" applyFont="1" applyAlignment="1">
      <alignment horizontal="center"/>
    </xf>
    <xf numFmtId="168" fontId="20" fillId="0" borderId="0" xfId="0" applyFont="1" applyAlignment="1">
      <alignment horizontal="center"/>
    </xf>
    <xf numFmtId="168" fontId="24" fillId="0" borderId="0" xfId="0" applyFont="1"/>
    <xf numFmtId="168" fontId="0" fillId="0" borderId="2" xfId="0" applyBorder="1"/>
    <xf numFmtId="43" fontId="20" fillId="0" borderId="0" xfId="0" applyNumberFormat="1" applyFont="1"/>
    <xf numFmtId="168" fontId="27" fillId="0" borderId="0" xfId="0" applyFont="1"/>
    <xf numFmtId="165" fontId="20" fillId="0" borderId="0" xfId="7" applyNumberFormat="1" applyFont="1" applyFill="1" applyBorder="1"/>
    <xf numFmtId="168" fontId="30" fillId="0" borderId="0" xfId="0" applyFont="1"/>
    <xf numFmtId="166" fontId="20" fillId="0" borderId="0" xfId="0" applyNumberFormat="1" applyFont="1"/>
    <xf numFmtId="9" fontId="20" fillId="0" borderId="0" xfId="7" applyFont="1" applyFill="1" applyBorder="1"/>
    <xf numFmtId="164" fontId="20" fillId="0" borderId="0" xfId="0" applyNumberFormat="1" applyFont="1"/>
    <xf numFmtId="168" fontId="31" fillId="0" borderId="0" xfId="0" applyFont="1"/>
    <xf numFmtId="14" fontId="23" fillId="0" borderId="0" xfId="0" applyNumberFormat="1" applyFont="1"/>
    <xf numFmtId="169" fontId="20" fillId="0" borderId="0" xfId="0" applyNumberFormat="1" applyFont="1" applyAlignment="1">
      <alignment horizontal="center"/>
    </xf>
    <xf numFmtId="168" fontId="25" fillId="0" borderId="2" xfId="0" applyFont="1" applyBorder="1"/>
    <xf numFmtId="168" fontId="12" fillId="0" borderId="2" xfId="0" applyFont="1" applyBorder="1"/>
    <xf numFmtId="168" fontId="32" fillId="0" borderId="0" xfId="2" applyFont="1" applyAlignment="1" applyProtection="1"/>
    <xf numFmtId="168" fontId="19" fillId="0" borderId="0" xfId="0" applyFont="1"/>
    <xf numFmtId="168" fontId="15" fillId="0" borderId="0" xfId="0" applyFont="1"/>
    <xf numFmtId="168" fontId="20" fillId="0" borderId="0" xfId="0" applyFont="1" applyAlignment="1">
      <alignment horizontal="centerContinuous"/>
    </xf>
    <xf numFmtId="168" fontId="22" fillId="0" borderId="0" xfId="0" applyFont="1"/>
    <xf numFmtId="168" fontId="20" fillId="0" borderId="0" xfId="6" applyFont="1"/>
    <xf numFmtId="168" fontId="33" fillId="0" borderId="0" xfId="6" applyFont="1"/>
    <xf numFmtId="0" fontId="20" fillId="0" borderId="0" xfId="0" applyNumberFormat="1" applyFont="1"/>
    <xf numFmtId="168" fontId="35" fillId="0" borderId="0" xfId="0" applyFont="1"/>
    <xf numFmtId="168" fontId="26" fillId="0" borderId="0" xfId="0" applyFont="1" applyAlignment="1">
      <alignment horizontal="center"/>
    </xf>
    <xf numFmtId="0" fontId="19" fillId="0" borderId="0" xfId="0" applyNumberFormat="1" applyFont="1" applyAlignment="1">
      <alignment horizontal="left"/>
    </xf>
    <xf numFmtId="0" fontId="23" fillId="0" borderId="0" xfId="0" applyNumberFormat="1" applyFont="1" applyAlignment="1">
      <alignment horizontal="center" wrapText="1"/>
    </xf>
    <xf numFmtId="168" fontId="23" fillId="0" borderId="0" xfId="0" applyFont="1" applyAlignment="1">
      <alignment horizontal="center" wrapText="1"/>
    </xf>
    <xf numFmtId="0" fontId="26" fillId="0" borderId="0" xfId="0" applyNumberFormat="1" applyFont="1" applyAlignment="1">
      <alignment horizontal="center" wrapText="1"/>
    </xf>
    <xf numFmtId="168" fontId="26" fillId="0" borderId="0" xfId="0" applyFont="1" applyAlignment="1">
      <alignment horizontal="center" wrapText="1"/>
    </xf>
    <xf numFmtId="168" fontId="26" fillId="0" borderId="0" xfId="0" applyFont="1"/>
    <xf numFmtId="168" fontId="22" fillId="0" borderId="0" xfId="0" applyFont="1" applyAlignment="1">
      <alignment horizontal="center" wrapText="1"/>
    </xf>
    <xf numFmtId="165" fontId="23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7" applyNumberFormat="1" applyFont="1" applyFill="1" applyBorder="1"/>
    <xf numFmtId="10" fontId="20" fillId="0" borderId="0" xfId="0" applyNumberFormat="1" applyFont="1"/>
    <xf numFmtId="0" fontId="20" fillId="0" borderId="0" xfId="0" applyNumberFormat="1" applyFont="1" applyAlignment="1">
      <alignment horizontal="center"/>
    </xf>
    <xf numFmtId="168" fontId="0" fillId="0" borderId="0" xfId="0" applyAlignment="1">
      <alignment horizontal="right"/>
    </xf>
    <xf numFmtId="0" fontId="5" fillId="0" borderId="0" xfId="8"/>
    <xf numFmtId="0" fontId="16" fillId="0" borderId="0" xfId="8" applyFont="1"/>
    <xf numFmtId="0" fontId="0" fillId="0" borderId="0" xfId="0" applyNumberFormat="1"/>
    <xf numFmtId="0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0" fontId="5" fillId="0" borderId="0" xfId="8" quotePrefix="1"/>
    <xf numFmtId="10" fontId="0" fillId="0" borderId="0" xfId="7" applyNumberFormat="1" applyFont="1"/>
    <xf numFmtId="4" fontId="0" fillId="0" borderId="0" xfId="0" applyNumberFormat="1"/>
    <xf numFmtId="37" fontId="0" fillId="0" borderId="0" xfId="0" applyNumberFormat="1"/>
    <xf numFmtId="0" fontId="40" fillId="0" borderId="0" xfId="8" applyFont="1"/>
    <xf numFmtId="0" fontId="40" fillId="0" borderId="0" xfId="8" quotePrefix="1" applyFont="1"/>
    <xf numFmtId="168" fontId="23" fillId="0" borderId="0" xfId="0" applyFont="1" applyAlignment="1">
      <alignment horizontal="right"/>
    </xf>
    <xf numFmtId="0" fontId="42" fillId="0" borderId="0" xfId="8" applyFont="1"/>
    <xf numFmtId="10" fontId="5" fillId="0" borderId="0" xfId="8" applyNumberFormat="1"/>
    <xf numFmtId="168" fontId="43" fillId="0" borderId="0" xfId="2" applyFont="1" applyAlignment="1" applyProtection="1"/>
    <xf numFmtId="168" fontId="44" fillId="0" borderId="0" xfId="0" applyFont="1"/>
    <xf numFmtId="168" fontId="20" fillId="7" borderId="1" xfId="0" applyFont="1" applyFill="1" applyBorder="1" applyAlignment="1">
      <alignment horizontal="centerContinuous"/>
    </xf>
    <xf numFmtId="168" fontId="20" fillId="0" borderId="6" xfId="0" applyFont="1" applyBorder="1" applyAlignment="1">
      <alignment horizontal="left" indent="1"/>
    </xf>
    <xf numFmtId="168" fontId="20" fillId="0" borderId="4" xfId="0" applyFont="1" applyBorder="1"/>
    <xf numFmtId="10" fontId="20" fillId="0" borderId="9" xfId="7" applyNumberFormat="1" applyFont="1" applyBorder="1" applyAlignment="1">
      <alignment horizontal="right" vertical="top" indent="1"/>
    </xf>
    <xf numFmtId="10" fontId="20" fillId="0" borderId="8" xfId="7" applyNumberFormat="1" applyFont="1" applyBorder="1" applyAlignment="1">
      <alignment horizontal="right" vertical="top" indent="1"/>
    </xf>
    <xf numFmtId="168" fontId="20" fillId="0" borderId="8" xfId="0" applyFont="1" applyBorder="1" applyAlignment="1">
      <alignment horizontal="left" indent="1"/>
    </xf>
    <xf numFmtId="168" fontId="20" fillId="0" borderId="10" xfId="0" applyFont="1" applyBorder="1" applyAlignment="1">
      <alignment horizontal="left" indent="1"/>
    </xf>
    <xf numFmtId="168" fontId="20" fillId="0" borderId="11" xfId="0" applyFont="1" applyBorder="1" applyAlignment="1">
      <alignment horizontal="left" indent="1"/>
    </xf>
    <xf numFmtId="168" fontId="20" fillId="0" borderId="0" xfId="0" applyFont="1" applyAlignment="1">
      <alignment vertical="center"/>
    </xf>
    <xf numFmtId="168" fontId="19" fillId="0" borderId="0" xfId="0" applyFont="1" applyAlignment="1">
      <alignment vertical="center"/>
    </xf>
    <xf numFmtId="168" fontId="23" fillId="0" borderId="4" xfId="0" applyFont="1" applyBorder="1" applyAlignment="1">
      <alignment horizontal="center" vertical="center" wrapText="1"/>
    </xf>
    <xf numFmtId="168" fontId="23" fillId="0" borderId="4" xfId="0" applyFont="1" applyBorder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168" fontId="23" fillId="0" borderId="0" xfId="0" applyFont="1" applyAlignment="1">
      <alignment horizontal="center" vertical="center"/>
    </xf>
    <xf numFmtId="168" fontId="20" fillId="0" borderId="0" xfId="0" applyFont="1" applyAlignment="1">
      <alignment horizontal="center" vertical="center"/>
    </xf>
    <xf numFmtId="168" fontId="20" fillId="0" borderId="10" xfId="0" applyFont="1" applyBorder="1" applyAlignment="1">
      <alignment horizontal="center" vertical="center"/>
    </xf>
    <xf numFmtId="10" fontId="20" fillId="0" borderId="10" xfId="0" applyNumberFormat="1" applyFont="1" applyBorder="1" applyAlignment="1">
      <alignment horizontal="right" vertical="center" indent="2"/>
    </xf>
    <xf numFmtId="168" fontId="20" fillId="0" borderId="8" xfId="0" applyFont="1" applyBorder="1" applyAlignment="1">
      <alignment horizontal="center" vertical="center"/>
    </xf>
    <xf numFmtId="10" fontId="20" fillId="0" borderId="8" xfId="0" applyNumberFormat="1" applyFont="1" applyBorder="1" applyAlignment="1">
      <alignment horizontal="right" vertical="center" indent="2"/>
    </xf>
    <xf numFmtId="168" fontId="20" fillId="0" borderId="10" xfId="0" applyFont="1" applyBorder="1" applyAlignment="1">
      <alignment horizontal="left" vertical="center" indent="1"/>
    </xf>
    <xf numFmtId="168" fontId="20" fillId="0" borderId="8" xfId="0" applyFont="1" applyBorder="1" applyAlignment="1">
      <alignment horizontal="left" vertical="center" indent="1"/>
    </xf>
    <xf numFmtId="168" fontId="20" fillId="0" borderId="11" xfId="0" applyFont="1" applyBorder="1" applyAlignment="1">
      <alignment horizontal="left" vertical="center" indent="1"/>
    </xf>
    <xf numFmtId="168" fontId="23" fillId="0" borderId="4" xfId="0" applyFont="1" applyBorder="1" applyAlignment="1">
      <alignment horizontal="left" vertical="center" indent="2"/>
    </xf>
    <xf numFmtId="41" fontId="20" fillId="0" borderId="10" xfId="0" applyNumberFormat="1" applyFont="1" applyBorder="1" applyAlignment="1">
      <alignment horizontal="center"/>
    </xf>
    <xf numFmtId="168" fontId="20" fillId="0" borderId="10" xfId="0" applyFont="1" applyBorder="1" applyAlignment="1">
      <alignment horizontal="right"/>
    </xf>
    <xf numFmtId="41" fontId="20" fillId="0" borderId="8" xfId="0" applyNumberFormat="1" applyFont="1" applyBorder="1" applyAlignment="1">
      <alignment horizontal="center"/>
    </xf>
    <xf numFmtId="182" fontId="20" fillId="0" borderId="10" xfId="1" applyNumberFormat="1" applyFont="1" applyFill="1" applyBorder="1"/>
    <xf numFmtId="182" fontId="20" fillId="0" borderId="8" xfId="1" applyNumberFormat="1" applyFont="1" applyFill="1" applyBorder="1"/>
    <xf numFmtId="14" fontId="23" fillId="0" borderId="4" xfId="0" applyNumberFormat="1" applyFont="1" applyBorder="1"/>
    <xf numFmtId="168" fontId="20" fillId="0" borderId="10" xfId="0" applyFont="1" applyBorder="1"/>
    <xf numFmtId="168" fontId="20" fillId="0" borderId="8" xfId="0" applyFont="1" applyBorder="1"/>
    <xf numFmtId="168" fontId="20" fillId="0" borderId="11" xfId="0" applyFont="1" applyBorder="1"/>
    <xf numFmtId="43" fontId="47" fillId="0" borderId="10" xfId="0" applyNumberFormat="1" applyFont="1" applyBorder="1"/>
    <xf numFmtId="0" fontId="0" fillId="8" borderId="0" xfId="9" applyFont="1" applyFill="1"/>
    <xf numFmtId="168" fontId="55" fillId="0" borderId="0" xfId="0" applyFont="1" applyAlignment="1">
      <alignment vertical="center"/>
    </xf>
    <xf numFmtId="168" fontId="46" fillId="0" borderId="0" xfId="0" applyFont="1"/>
    <xf numFmtId="168" fontId="55" fillId="0" borderId="0" xfId="0" applyFont="1"/>
    <xf numFmtId="168" fontId="23" fillId="7" borderId="5" xfId="0" applyFont="1" applyFill="1" applyBorder="1"/>
    <xf numFmtId="43" fontId="41" fillId="0" borderId="10" xfId="0" applyNumberFormat="1" applyFont="1" applyBorder="1"/>
    <xf numFmtId="43" fontId="41" fillId="0" borderId="11" xfId="0" applyNumberFormat="1" applyFont="1" applyBorder="1"/>
    <xf numFmtId="168" fontId="46" fillId="0" borderId="0" xfId="0" applyFont="1" applyAlignment="1">
      <alignment vertical="center"/>
    </xf>
    <xf numFmtId="168" fontId="57" fillId="0" borderId="4" xfId="0" applyFont="1" applyBorder="1" applyAlignment="1">
      <alignment horizontal="left" wrapText="1" indent="2"/>
    </xf>
    <xf numFmtId="168" fontId="20" fillId="7" borderId="5" xfId="0" applyFont="1" applyFill="1" applyBorder="1"/>
    <xf numFmtId="0" fontId="23" fillId="7" borderId="5" xfId="0" applyNumberFormat="1" applyFont="1" applyFill="1" applyBorder="1" applyAlignment="1">
      <alignment horizontal="right"/>
    </xf>
    <xf numFmtId="168" fontId="20" fillId="7" borderId="1" xfId="0" applyFont="1" applyFill="1" applyBorder="1"/>
    <xf numFmtId="168" fontId="23" fillId="7" borderId="1" xfId="0" applyFont="1" applyFill="1" applyBorder="1" applyAlignment="1">
      <alignment horizontal="left"/>
    </xf>
    <xf numFmtId="168" fontId="23" fillId="7" borderId="1" xfId="0" applyFont="1" applyFill="1" applyBorder="1" applyAlignment="1">
      <alignment horizontal="right"/>
    </xf>
    <xf numFmtId="168" fontId="20" fillId="0" borderId="8" xfId="0" applyFont="1" applyBorder="1" applyAlignment="1">
      <alignment horizontal="left"/>
    </xf>
    <xf numFmtId="168" fontId="20" fillId="0" borderId="0" xfId="0" applyFont="1" applyAlignment="1">
      <alignment horizontal="right"/>
    </xf>
    <xf numFmtId="168" fontId="58" fillId="0" borderId="0" xfId="0" applyFont="1"/>
    <xf numFmtId="168" fontId="20" fillId="7" borderId="5" xfId="0" applyFont="1" applyFill="1" applyBorder="1" applyAlignment="1">
      <alignment horizontal="left"/>
    </xf>
    <xf numFmtId="14" fontId="41" fillId="0" borderId="9" xfId="0" applyNumberFormat="1" applyFont="1" applyBorder="1" applyAlignment="1">
      <alignment vertical="top"/>
    </xf>
    <xf numFmtId="2" fontId="41" fillId="0" borderId="9" xfId="0" applyNumberFormat="1" applyFont="1" applyBorder="1" applyAlignment="1">
      <alignment vertical="top"/>
    </xf>
    <xf numFmtId="2" fontId="41" fillId="0" borderId="8" xfId="0" applyNumberFormat="1" applyFont="1" applyBorder="1" applyAlignment="1">
      <alignment vertical="top"/>
    </xf>
    <xf numFmtId="2" fontId="41" fillId="0" borderId="8" xfId="0" applyNumberFormat="1" applyFont="1" applyBorder="1"/>
    <xf numFmtId="2" fontId="41" fillId="0" borderId="8" xfId="0" applyNumberFormat="1" applyFont="1" applyBorder="1" applyAlignment="1">
      <alignment horizontal="right" vertical="center"/>
    </xf>
    <xf numFmtId="168" fontId="20" fillId="10" borderId="4" xfId="0" applyFont="1" applyFill="1" applyBorder="1"/>
    <xf numFmtId="0" fontId="23" fillId="10" borderId="4" xfId="0" applyNumberFormat="1" applyFont="1" applyFill="1" applyBorder="1" applyAlignment="1">
      <alignment horizontal="right"/>
    </xf>
    <xf numFmtId="168" fontId="48" fillId="10" borderId="4" xfId="0" applyFont="1" applyFill="1" applyBorder="1" applyAlignment="1">
      <alignment horizontal="center"/>
    </xf>
    <xf numFmtId="168" fontId="48" fillId="10" borderId="4" xfId="0" applyFont="1" applyFill="1" applyBorder="1" applyAlignment="1">
      <alignment horizontal="right"/>
    </xf>
    <xf numFmtId="168" fontId="57" fillId="0" borderId="0" xfId="0" applyFont="1"/>
    <xf numFmtId="0" fontId="41" fillId="0" borderId="0" xfId="0" applyNumberFormat="1" applyFont="1" applyAlignment="1">
      <alignment horizontal="center" vertical="center"/>
    </xf>
    <xf numFmtId="168" fontId="59" fillId="0" borderId="0" xfId="0" applyFont="1"/>
    <xf numFmtId="168" fontId="24" fillId="0" borderId="0" xfId="0" quotePrefix="1" applyFont="1"/>
    <xf numFmtId="168" fontId="60" fillId="0" borderId="0" xfId="0" applyFont="1"/>
    <xf numFmtId="0" fontId="20" fillId="0" borderId="0" xfId="19" applyFont="1" applyAlignment="1">
      <alignment vertical="center"/>
    </xf>
    <xf numFmtId="0" fontId="20" fillId="0" borderId="0" xfId="19" applyFont="1" applyAlignment="1">
      <alignment horizontal="center" vertical="center"/>
    </xf>
    <xf numFmtId="0" fontId="20" fillId="0" borderId="8" xfId="19" applyFont="1" applyBorder="1" applyAlignment="1">
      <alignment vertical="center"/>
    </xf>
    <xf numFmtId="0" fontId="20" fillId="0" borderId="8" xfId="19" applyFont="1" applyBorder="1" applyAlignment="1">
      <alignment horizontal="center" vertical="center"/>
    </xf>
    <xf numFmtId="0" fontId="41" fillId="0" borderId="8" xfId="19" applyFont="1" applyBorder="1" applyAlignment="1">
      <alignment horizontal="center" vertical="center"/>
    </xf>
    <xf numFmtId="43" fontId="7" fillId="0" borderId="0" xfId="1" applyFont="1" applyFill="1"/>
    <xf numFmtId="0" fontId="23" fillId="0" borderId="0" xfId="19" applyFont="1" applyAlignment="1">
      <alignment horizontal="center" vertical="center"/>
    </xf>
    <xf numFmtId="0" fontId="23" fillId="0" borderId="0" xfId="19" applyFont="1" applyAlignment="1">
      <alignment vertical="center"/>
    </xf>
    <xf numFmtId="0" fontId="23" fillId="0" borderId="12" xfId="19" applyFont="1" applyBorder="1" applyAlignment="1">
      <alignment horizontal="right" vertical="center"/>
    </xf>
    <xf numFmtId="0" fontId="20" fillId="0" borderId="0" xfId="19" applyFont="1" applyAlignment="1">
      <alignment horizontal="right" vertical="center" indent="1"/>
    </xf>
    <xf numFmtId="0" fontId="20" fillId="0" borderId="12" xfId="19" applyFont="1" applyBorder="1" applyAlignment="1">
      <alignment vertical="center"/>
    </xf>
    <xf numFmtId="0" fontId="20" fillId="0" borderId="8" xfId="19" applyFont="1" applyBorder="1" applyAlignment="1">
      <alignment horizontal="left" vertical="center"/>
    </xf>
    <xf numFmtId="1" fontId="20" fillId="0" borderId="8" xfId="19" applyNumberFormat="1" applyFont="1" applyBorder="1" applyAlignment="1">
      <alignment horizontal="right" vertical="center"/>
    </xf>
    <xf numFmtId="174" fontId="20" fillId="0" borderId="8" xfId="19" applyNumberFormat="1" applyFont="1" applyBorder="1" applyAlignment="1">
      <alignment vertical="center"/>
    </xf>
    <xf numFmtId="0" fontId="21" fillId="0" borderId="13" xfId="19" applyFont="1" applyBorder="1" applyAlignment="1">
      <alignment vertical="center"/>
    </xf>
    <xf numFmtId="0" fontId="20" fillId="0" borderId="0" xfId="19" applyFont="1" applyAlignment="1">
      <alignment horizontal="left" vertical="center"/>
    </xf>
    <xf numFmtId="1" fontId="20" fillId="0" borderId="0" xfId="19" applyNumberFormat="1" applyFont="1" applyAlignment="1">
      <alignment horizontal="right" vertical="center"/>
    </xf>
    <xf numFmtId="1" fontId="20" fillId="0" borderId="0" xfId="19" applyNumberFormat="1" applyFont="1" applyAlignment="1">
      <alignment horizontal="left" vertical="center"/>
    </xf>
    <xf numFmtId="0" fontId="21" fillId="0" borderId="0" xfId="19" applyFont="1" applyAlignment="1">
      <alignment horizontal="right" vertical="center"/>
    </xf>
    <xf numFmtId="0" fontId="23" fillId="0" borderId="0" xfId="19" applyFont="1" applyAlignment="1">
      <alignment horizontal="right" vertical="center"/>
    </xf>
    <xf numFmtId="0" fontId="61" fillId="0" borderId="8" xfId="19" applyFont="1" applyBorder="1" applyAlignment="1">
      <alignment horizontal="center" vertical="center"/>
    </xf>
    <xf numFmtId="0" fontId="20" fillId="0" borderId="0" xfId="19" applyFont="1" applyAlignment="1">
      <alignment horizontal="right" vertical="center"/>
    </xf>
    <xf numFmtId="0" fontId="62" fillId="0" borderId="0" xfId="19" applyFont="1" applyAlignment="1">
      <alignment horizontal="center" vertical="center"/>
    </xf>
    <xf numFmtId="0" fontId="41" fillId="0" borderId="0" xfId="19" quotePrefix="1" applyFont="1" applyAlignment="1">
      <alignment horizontal="right" vertical="center"/>
    </xf>
    <xf numFmtId="0" fontId="41" fillId="0" borderId="12" xfId="19" quotePrefix="1" applyFont="1" applyBorder="1" applyAlignment="1">
      <alignment horizontal="right" vertical="center"/>
    </xf>
    <xf numFmtId="0" fontId="61" fillId="0" borderId="12" xfId="19" applyFont="1" applyBorder="1" applyAlignment="1">
      <alignment vertical="center"/>
    </xf>
    <xf numFmtId="0" fontId="41" fillId="0" borderId="0" xfId="19" applyFont="1" applyAlignment="1">
      <alignment horizontal="right" vertical="center"/>
    </xf>
    <xf numFmtId="0" fontId="20" fillId="0" borderId="8" xfId="19" applyFont="1" applyBorder="1" applyAlignment="1">
      <alignment horizontal="right" vertical="center"/>
    </xf>
    <xf numFmtId="3" fontId="20" fillId="0" borderId="8" xfId="19" applyNumberFormat="1" applyFont="1" applyBorder="1" applyAlignment="1">
      <alignment vertical="center"/>
    </xf>
    <xf numFmtId="168" fontId="23" fillId="0" borderId="0" xfId="0" applyFont="1"/>
    <xf numFmtId="0" fontId="41" fillId="0" borderId="6" xfId="19" quotePrefix="1" applyFont="1" applyBorder="1" applyAlignment="1">
      <alignment horizontal="right" vertical="center"/>
    </xf>
    <xf numFmtId="0" fontId="62" fillId="0" borderId="6" xfId="19" quotePrefix="1" applyFont="1" applyBorder="1" applyAlignment="1">
      <alignment horizontal="right" vertical="center"/>
    </xf>
    <xf numFmtId="0" fontId="41" fillId="0" borderId="6" xfId="19" quotePrefix="1" applyFont="1" applyBorder="1" applyAlignment="1">
      <alignment vertical="center"/>
    </xf>
    <xf numFmtId="0" fontId="62" fillId="0" borderId="6" xfId="19" applyFont="1" applyBorder="1" applyAlignment="1">
      <alignment horizontal="center" vertical="center"/>
    </xf>
    <xf numFmtId="0" fontId="41" fillId="0" borderId="6" xfId="19" applyFont="1" applyBorder="1" applyAlignment="1">
      <alignment vertical="center"/>
    </xf>
    <xf numFmtId="0" fontId="41" fillId="0" borderId="6" xfId="19" applyFont="1" applyBorder="1" applyAlignment="1">
      <alignment horizontal="right" vertical="center"/>
    </xf>
    <xf numFmtId="0" fontId="20" fillId="0" borderId="0" xfId="0" applyNumberFormat="1" applyFont="1" applyAlignment="1">
      <alignment horizontal="center" vertical="center"/>
    </xf>
    <xf numFmtId="168" fontId="20" fillId="0" borderId="0" xfId="0" applyFont="1" applyAlignment="1">
      <alignment horizontal="right" vertical="center"/>
    </xf>
    <xf numFmtId="0" fontId="23" fillId="0" borderId="6" xfId="0" applyNumberFormat="1" applyFont="1" applyBorder="1" applyAlignment="1">
      <alignment horizontal="center" vertical="center"/>
    </xf>
    <xf numFmtId="0" fontId="56" fillId="0" borderId="6" xfId="0" applyNumberFormat="1" applyFont="1" applyBorder="1" applyAlignment="1">
      <alignment horizontal="center" vertical="center"/>
    </xf>
    <xf numFmtId="0" fontId="56" fillId="0" borderId="6" xfId="0" applyNumberFormat="1" applyFont="1" applyBorder="1" applyAlignment="1">
      <alignment horizontal="right" vertical="center"/>
    </xf>
    <xf numFmtId="168" fontId="23" fillId="0" borderId="6" xfId="0" applyFont="1" applyBorder="1" applyAlignment="1">
      <alignment vertical="center"/>
    </xf>
    <xf numFmtId="168" fontId="23" fillId="0" borderId="6" xfId="0" applyFont="1" applyBorder="1" applyAlignment="1">
      <alignment horizontal="center" vertical="center"/>
    </xf>
    <xf numFmtId="168" fontId="23" fillId="0" borderId="6" xfId="0" applyFont="1" applyBorder="1" applyAlignment="1">
      <alignment horizontal="right" vertical="center"/>
    </xf>
    <xf numFmtId="168" fontId="20" fillId="0" borderId="6" xfId="0" applyFont="1" applyBorder="1" applyAlignment="1">
      <alignment vertical="center" wrapText="1"/>
    </xf>
    <xf numFmtId="0" fontId="20" fillId="0" borderId="6" xfId="0" applyNumberFormat="1" applyFont="1" applyBorder="1" applyAlignment="1">
      <alignment horizontal="center" vertical="center" wrapText="1"/>
    </xf>
    <xf numFmtId="168" fontId="20" fillId="0" borderId="6" xfId="0" applyFont="1" applyBorder="1" applyAlignment="1">
      <alignment horizontal="right" vertical="center" wrapText="1"/>
    </xf>
    <xf numFmtId="168" fontId="20" fillId="0" borderId="6" xfId="0" applyFont="1" applyBorder="1" applyAlignment="1">
      <alignment vertical="center"/>
    </xf>
    <xf numFmtId="0" fontId="20" fillId="0" borderId="6" xfId="0" applyNumberFormat="1" applyFont="1" applyBorder="1" applyAlignment="1">
      <alignment horizontal="center" vertical="center"/>
    </xf>
    <xf numFmtId="168" fontId="20" fillId="0" borderId="6" xfId="0" applyFont="1" applyBorder="1" applyAlignment="1">
      <alignment horizontal="center" vertical="center"/>
    </xf>
    <xf numFmtId="0" fontId="62" fillId="0" borderId="6" xfId="0" applyNumberFormat="1" applyFont="1" applyBorder="1" applyAlignment="1">
      <alignment horizontal="right" vertical="center"/>
    </xf>
    <xf numFmtId="0" fontId="23" fillId="0" borderId="6" xfId="0" applyNumberFormat="1" applyFont="1" applyBorder="1" applyAlignment="1">
      <alignment horizontal="right" vertical="center"/>
    </xf>
    <xf numFmtId="0" fontId="41" fillId="0" borderId="6" xfId="0" applyNumberFormat="1" applyFont="1" applyBorder="1" applyAlignment="1">
      <alignment horizontal="center" vertical="center"/>
    </xf>
    <xf numFmtId="43" fontId="20" fillId="0" borderId="6" xfId="0" applyNumberFormat="1" applyFont="1" applyBorder="1" applyAlignment="1">
      <alignment horizontal="right" vertical="center"/>
    </xf>
    <xf numFmtId="166" fontId="20" fillId="0" borderId="6" xfId="0" applyNumberFormat="1" applyFont="1" applyBorder="1" applyAlignment="1">
      <alignment horizontal="right" vertical="center"/>
    </xf>
    <xf numFmtId="0" fontId="20" fillId="0" borderId="6" xfId="0" applyNumberFormat="1" applyFont="1" applyBorder="1" applyAlignment="1">
      <alignment vertical="center"/>
    </xf>
    <xf numFmtId="0" fontId="41" fillId="0" borderId="6" xfId="0" applyNumberFormat="1" applyFont="1" applyBorder="1" applyAlignment="1">
      <alignment horizontal="right" vertical="center"/>
    </xf>
    <xf numFmtId="168" fontId="20" fillId="0" borderId="17" xfId="0" applyFont="1" applyBorder="1" applyAlignment="1">
      <alignment horizontal="right" vertical="center"/>
    </xf>
    <xf numFmtId="168" fontId="20" fillId="0" borderId="18" xfId="0" applyFont="1" applyBorder="1" applyAlignment="1">
      <alignment vertical="center"/>
    </xf>
    <xf numFmtId="168" fontId="20" fillId="0" borderId="16" xfId="0" applyFont="1" applyBorder="1" applyAlignment="1">
      <alignment horizontal="right" vertical="center"/>
    </xf>
    <xf numFmtId="168" fontId="23" fillId="0" borderId="20" xfId="0" applyFont="1" applyBorder="1" applyAlignment="1">
      <alignment horizontal="right" vertical="center"/>
    </xf>
    <xf numFmtId="168" fontId="20" fillId="0" borderId="20" xfId="0" applyFont="1" applyBorder="1" applyAlignment="1">
      <alignment vertical="center" wrapText="1"/>
    </xf>
    <xf numFmtId="168" fontId="20" fillId="0" borderId="20" xfId="0" applyFont="1" applyBorder="1" applyAlignment="1">
      <alignment vertical="center"/>
    </xf>
    <xf numFmtId="168" fontId="20" fillId="0" borderId="20" xfId="0" applyFont="1" applyBorder="1" applyAlignment="1">
      <alignment horizontal="right" vertical="center"/>
    </xf>
    <xf numFmtId="168" fontId="20" fillId="0" borderId="17" xfId="0" applyFont="1" applyBorder="1" applyAlignment="1">
      <alignment vertical="center"/>
    </xf>
    <xf numFmtId="168" fontId="20" fillId="0" borderId="16" xfId="0" applyFont="1" applyBorder="1" applyAlignment="1">
      <alignment vertical="center"/>
    </xf>
    <xf numFmtId="168" fontId="20" fillId="0" borderId="18" xfId="0" applyFont="1" applyBorder="1" applyAlignment="1">
      <alignment horizontal="right" vertical="center" wrapText="1"/>
    </xf>
    <xf numFmtId="0" fontId="41" fillId="0" borderId="18" xfId="19" quotePrefix="1" applyFont="1" applyBorder="1" applyAlignment="1">
      <alignment horizontal="right" vertical="center"/>
    </xf>
    <xf numFmtId="0" fontId="41" fillId="0" borderId="18" xfId="19" applyFont="1" applyBorder="1" applyAlignment="1">
      <alignment horizontal="right" vertical="center"/>
    </xf>
    <xf numFmtId="0" fontId="62" fillId="0" borderId="18" xfId="0" applyNumberFormat="1" applyFont="1" applyBorder="1" applyAlignment="1">
      <alignment horizontal="right" vertical="center"/>
    </xf>
    <xf numFmtId="0" fontId="20" fillId="0" borderId="18" xfId="0" applyNumberFormat="1" applyFont="1" applyBorder="1" applyAlignment="1">
      <alignment horizontal="right" vertical="center"/>
    </xf>
    <xf numFmtId="10" fontId="20" fillId="0" borderId="18" xfId="7" applyNumberFormat="1" applyFont="1" applyFill="1" applyBorder="1" applyAlignment="1">
      <alignment horizontal="right" vertical="center"/>
    </xf>
    <xf numFmtId="168" fontId="20" fillId="0" borderId="20" xfId="0" applyFont="1" applyBorder="1" applyAlignment="1">
      <alignment horizontal="right" vertical="center" wrapText="1"/>
    </xf>
    <xf numFmtId="0" fontId="62" fillId="0" borderId="20" xfId="19" quotePrefix="1" applyFont="1" applyBorder="1" applyAlignment="1">
      <alignment horizontal="right" vertical="center"/>
    </xf>
    <xf numFmtId="0" fontId="41" fillId="0" borderId="20" xfId="19" applyFont="1" applyBorder="1" applyAlignment="1">
      <alignment horizontal="right" vertical="center"/>
    </xf>
    <xf numFmtId="0" fontId="62" fillId="0" borderId="20" xfId="0" applyNumberFormat="1" applyFont="1" applyBorder="1" applyAlignment="1">
      <alignment horizontal="right" vertical="center"/>
    </xf>
    <xf numFmtId="168" fontId="23" fillId="0" borderId="20" xfId="0" applyFont="1" applyBorder="1" applyAlignment="1">
      <alignment vertical="center"/>
    </xf>
    <xf numFmtId="0" fontId="23" fillId="0" borderId="19" xfId="19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56" fillId="0" borderId="21" xfId="0" applyNumberFormat="1" applyFont="1" applyBorder="1" applyAlignment="1">
      <alignment horizontal="center" vertical="center"/>
    </xf>
    <xf numFmtId="168" fontId="20" fillId="0" borderId="21" xfId="0" applyFont="1" applyBorder="1" applyAlignment="1">
      <alignment vertical="center" wrapText="1"/>
    </xf>
    <xf numFmtId="168" fontId="20" fillId="0" borderId="21" xfId="0" applyFont="1" applyBorder="1" applyAlignment="1">
      <alignment vertical="center"/>
    </xf>
    <xf numFmtId="0" fontId="62" fillId="0" borderId="21" xfId="19" applyFont="1" applyBorder="1" applyAlignment="1">
      <alignment horizontal="center" vertical="center"/>
    </xf>
    <xf numFmtId="0" fontId="41" fillId="0" borderId="21" xfId="19" applyFont="1" applyBorder="1" applyAlignment="1">
      <alignment vertical="center"/>
    </xf>
    <xf numFmtId="0" fontId="20" fillId="0" borderId="21" xfId="0" applyNumberFormat="1" applyFont="1" applyBorder="1" applyAlignment="1">
      <alignment horizontal="center" vertical="center"/>
    </xf>
    <xf numFmtId="168" fontId="20" fillId="0" borderId="19" xfId="0" applyFont="1" applyBorder="1" applyAlignment="1">
      <alignment vertical="center"/>
    </xf>
    <xf numFmtId="176" fontId="20" fillId="0" borderId="8" xfId="19" applyNumberFormat="1" applyFont="1" applyBorder="1" applyAlignment="1">
      <alignment vertical="center"/>
    </xf>
    <xf numFmtId="2" fontId="20" fillId="0" borderId="6" xfId="7" applyNumberFormat="1" applyFont="1" applyFill="1" applyBorder="1" applyAlignment="1">
      <alignment horizontal="right" vertical="center"/>
    </xf>
    <xf numFmtId="168" fontId="23" fillId="0" borderId="6" xfId="0" applyFont="1" applyBorder="1" applyAlignment="1">
      <alignment horizontal="center" vertical="center" wrapText="1"/>
    </xf>
    <xf numFmtId="171" fontId="20" fillId="0" borderId="6" xfId="0" applyNumberFormat="1" applyFont="1" applyBorder="1" applyAlignment="1">
      <alignment vertical="center"/>
    </xf>
    <xf numFmtId="10" fontId="20" fillId="0" borderId="6" xfId="0" applyNumberFormat="1" applyFont="1" applyBorder="1" applyAlignment="1">
      <alignment vertical="center"/>
    </xf>
    <xf numFmtId="168" fontId="23" fillId="0" borderId="0" xfId="0" applyFont="1" applyAlignment="1">
      <alignment horizontal="right" vertical="center"/>
    </xf>
    <xf numFmtId="168" fontId="0" fillId="0" borderId="17" xfId="0" applyBorder="1"/>
    <xf numFmtId="168" fontId="23" fillId="0" borderId="18" xfId="0" applyFont="1" applyBorder="1" applyAlignment="1">
      <alignment horizontal="center" vertical="center"/>
    </xf>
    <xf numFmtId="0" fontId="20" fillId="0" borderId="18" xfId="0" applyNumberFormat="1" applyFont="1" applyBorder="1" applyAlignment="1">
      <alignment horizontal="center" vertical="center"/>
    </xf>
    <xf numFmtId="0" fontId="41" fillId="0" borderId="18" xfId="0" applyNumberFormat="1" applyFont="1" applyBorder="1" applyAlignment="1">
      <alignment horizontal="center" vertical="center"/>
    </xf>
    <xf numFmtId="168" fontId="0" fillId="0" borderId="16" xfId="0" applyBorder="1"/>
    <xf numFmtId="168" fontId="20" fillId="0" borderId="17" xfId="0" applyFont="1" applyBorder="1" applyAlignment="1">
      <alignment horizontal="center" vertical="center"/>
    </xf>
    <xf numFmtId="168" fontId="20" fillId="0" borderId="18" xfId="0" applyFont="1" applyBorder="1" applyAlignment="1">
      <alignment horizontal="center" vertical="center" wrapText="1"/>
    </xf>
    <xf numFmtId="168" fontId="20" fillId="0" borderId="18" xfId="0" applyFont="1" applyBorder="1" applyAlignment="1">
      <alignment horizontal="center" vertical="center"/>
    </xf>
    <xf numFmtId="0" fontId="41" fillId="0" borderId="18" xfId="19" applyFont="1" applyBorder="1" applyAlignment="1">
      <alignment horizontal="center" vertical="center"/>
    </xf>
    <xf numFmtId="168" fontId="20" fillId="0" borderId="26" xfId="0" applyFont="1" applyBorder="1"/>
    <xf numFmtId="43" fontId="41" fillId="0" borderId="26" xfId="0" applyNumberFormat="1" applyFont="1" applyBorder="1"/>
    <xf numFmtId="43" fontId="20" fillId="0" borderId="26" xfId="0" applyNumberFormat="1" applyFont="1" applyBorder="1"/>
    <xf numFmtId="168" fontId="20" fillId="0" borderId="27" xfId="0" applyFont="1" applyBorder="1"/>
    <xf numFmtId="43" fontId="47" fillId="0" borderId="27" xfId="0" applyNumberFormat="1" applyFont="1" applyBorder="1"/>
    <xf numFmtId="43" fontId="41" fillId="0" borderId="27" xfId="0" applyNumberFormat="1" applyFont="1" applyBorder="1"/>
    <xf numFmtId="168" fontId="20" fillId="0" borderId="28" xfId="0" applyFont="1" applyBorder="1"/>
    <xf numFmtId="43" fontId="20" fillId="0" borderId="28" xfId="0" applyNumberFormat="1" applyFont="1" applyBorder="1"/>
    <xf numFmtId="168" fontId="20" fillId="0" borderId="29" xfId="0" applyFont="1" applyBorder="1"/>
    <xf numFmtId="43" fontId="47" fillId="0" borderId="29" xfId="0" applyNumberFormat="1" applyFont="1" applyBorder="1"/>
    <xf numFmtId="168" fontId="20" fillId="0" borderId="30" xfId="0" applyFont="1" applyBorder="1"/>
    <xf numFmtId="43" fontId="47" fillId="0" borderId="30" xfId="0" applyNumberFormat="1" applyFont="1" applyBorder="1"/>
    <xf numFmtId="168" fontId="20" fillId="0" borderId="31" xfId="0" applyFont="1" applyBorder="1"/>
    <xf numFmtId="168" fontId="20" fillId="0" borderId="31" xfId="0" applyFont="1" applyBorder="1" applyAlignment="1">
      <alignment horizontal="left" indent="1"/>
    </xf>
    <xf numFmtId="9" fontId="20" fillId="0" borderId="8" xfId="7" applyFont="1" applyBorder="1" applyAlignment="1">
      <alignment horizontal="right"/>
    </xf>
    <xf numFmtId="2" fontId="20" fillId="0" borderId="8" xfId="1" applyNumberFormat="1" applyFont="1" applyFill="1" applyBorder="1" applyAlignment="1">
      <alignment horizontal="right" indent="2"/>
    </xf>
    <xf numFmtId="2" fontId="20" fillId="0" borderId="8" xfId="1" applyNumberFormat="1" applyFont="1" applyFill="1" applyBorder="1" applyAlignment="1">
      <alignment horizontal="right" indent="3"/>
    </xf>
    <xf numFmtId="168" fontId="20" fillId="0" borderId="10" xfId="0" applyFont="1" applyBorder="1" applyAlignment="1">
      <alignment horizontal="left"/>
    </xf>
    <xf numFmtId="2" fontId="20" fillId="0" borderId="11" xfId="1" applyNumberFormat="1" applyFont="1" applyFill="1" applyBorder="1" applyAlignment="1">
      <alignment horizontal="right" indent="2"/>
    </xf>
    <xf numFmtId="9" fontId="20" fillId="0" borderId="11" xfId="7" applyFont="1" applyBorder="1" applyAlignment="1">
      <alignment horizontal="right"/>
    </xf>
    <xf numFmtId="168" fontId="20" fillId="0" borderId="11" xfId="0" applyFont="1" applyBorder="1" applyAlignment="1">
      <alignment horizontal="left"/>
    </xf>
    <xf numFmtId="43" fontId="58" fillId="0" borderId="11" xfId="0" applyNumberFormat="1" applyFont="1" applyBorder="1"/>
    <xf numFmtId="168" fontId="57" fillId="0" borderId="4" xfId="0" applyFont="1" applyBorder="1" applyAlignment="1">
      <alignment horizontal="right" wrapText="1" indent="1"/>
    </xf>
    <xf numFmtId="168" fontId="23" fillId="7" borderId="1" xfId="0" applyFont="1" applyFill="1" applyBorder="1" applyAlignment="1">
      <alignment horizontal="centerContinuous"/>
    </xf>
    <xf numFmtId="168" fontId="20" fillId="0" borderId="0" xfId="0" quotePrefix="1" applyFont="1" applyAlignment="1">
      <alignment horizontal="left" indent="1"/>
    </xf>
    <xf numFmtId="168" fontId="20" fillId="0" borderId="0" xfId="0" applyFont="1" applyAlignment="1">
      <alignment horizontal="left" indent="1"/>
    </xf>
    <xf numFmtId="168" fontId="24" fillId="0" borderId="0" xfId="0" quotePrefix="1" applyFont="1" applyAlignment="1">
      <alignment horizontal="left"/>
    </xf>
    <xf numFmtId="168" fontId="19" fillId="0" borderId="0" xfId="0" applyFont="1" applyAlignment="1">
      <alignment horizontal="left" vertical="center"/>
    </xf>
    <xf numFmtId="165" fontId="20" fillId="0" borderId="10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7" fontId="20" fillId="0" borderId="10" xfId="0" applyNumberFormat="1" applyFont="1" applyBorder="1" applyAlignment="1">
      <alignment horizontal="right" vertical="center" indent="2"/>
    </xf>
    <xf numFmtId="167" fontId="20" fillId="0" borderId="8" xfId="0" applyNumberFormat="1" applyFont="1" applyBorder="1" applyAlignment="1">
      <alignment horizontal="right" vertical="center" indent="2"/>
    </xf>
    <xf numFmtId="167" fontId="20" fillId="0" borderId="11" xfId="0" applyNumberFormat="1" applyFont="1" applyBorder="1" applyAlignment="1">
      <alignment horizontal="right" vertical="center" indent="2"/>
    </xf>
    <xf numFmtId="168" fontId="57" fillId="0" borderId="4" xfId="0" applyFont="1" applyBorder="1" applyAlignment="1">
      <alignment horizontal="center" wrapText="1"/>
    </xf>
    <xf numFmtId="10" fontId="20" fillId="0" borderId="6" xfId="0" applyNumberFormat="1" applyFont="1" applyBorder="1" applyAlignment="1">
      <alignment horizontal="right" vertical="center"/>
    </xf>
    <xf numFmtId="168" fontId="20" fillId="0" borderId="5" xfId="0" applyFont="1" applyBorder="1" applyAlignment="1">
      <alignment vertical="center"/>
    </xf>
    <xf numFmtId="168" fontId="20" fillId="0" borderId="5" xfId="0" applyFont="1" applyBorder="1" applyAlignment="1">
      <alignment horizontal="center" vertical="center"/>
    </xf>
    <xf numFmtId="10" fontId="20" fillId="0" borderId="5" xfId="0" applyNumberFormat="1" applyFont="1" applyBorder="1" applyAlignment="1">
      <alignment vertical="center"/>
    </xf>
    <xf numFmtId="10" fontId="23" fillId="0" borderId="0" xfId="7" applyNumberFormat="1" applyFont="1" applyFill="1" applyBorder="1" applyAlignment="1">
      <alignment horizontal="right" vertical="center" indent="2"/>
    </xf>
    <xf numFmtId="0" fontId="62" fillId="0" borderId="6" xfId="19" applyFont="1" applyBorder="1" applyAlignment="1">
      <alignment horizontal="left" vertical="center"/>
    </xf>
    <xf numFmtId="168" fontId="23" fillId="7" borderId="1" xfId="0" applyFont="1" applyFill="1" applyBorder="1" applyAlignment="1">
      <alignment horizontal="right" indent="1"/>
    </xf>
    <xf numFmtId="165" fontId="20" fillId="0" borderId="8" xfId="7" applyNumberFormat="1" applyFont="1" applyFill="1" applyBorder="1" applyAlignment="1">
      <alignment horizontal="right" indent="1"/>
    </xf>
    <xf numFmtId="0" fontId="41" fillId="0" borderId="18" xfId="0" applyNumberFormat="1" applyFont="1" applyBorder="1" applyAlignment="1">
      <alignment horizontal="right" vertical="center"/>
    </xf>
    <xf numFmtId="37" fontId="20" fillId="0" borderId="10" xfId="0" applyNumberFormat="1" applyFont="1" applyBorder="1" applyAlignment="1">
      <alignment horizontal="right" vertical="center" indent="2"/>
    </xf>
    <xf numFmtId="37" fontId="20" fillId="0" borderId="8" xfId="0" applyNumberFormat="1" applyFont="1" applyBorder="1" applyAlignment="1">
      <alignment horizontal="right" vertical="center" indent="2"/>
    </xf>
    <xf numFmtId="171" fontId="20" fillId="0" borderId="5" xfId="0" applyNumberFormat="1" applyFont="1" applyBorder="1" applyAlignment="1">
      <alignment horizontal="right" vertical="center" indent="1"/>
    </xf>
    <xf numFmtId="37" fontId="23" fillId="0" borderId="0" xfId="0" applyNumberFormat="1" applyFont="1" applyAlignment="1">
      <alignment horizontal="right" vertical="center" indent="2"/>
    </xf>
    <xf numFmtId="168" fontId="24" fillId="0" borderId="0" xfId="0" applyFont="1" applyAlignment="1">
      <alignment horizontal="centerContinuous"/>
    </xf>
    <xf numFmtId="10" fontId="20" fillId="0" borderId="0" xfId="0" applyNumberFormat="1" applyFont="1" applyAlignment="1">
      <alignment horizontal="right"/>
    </xf>
    <xf numFmtId="168" fontId="57" fillId="7" borderId="4" xfId="0" applyFont="1" applyFill="1" applyBorder="1" applyAlignment="1">
      <alignment horizontal="left" indent="2"/>
    </xf>
    <xf numFmtId="168" fontId="57" fillId="7" borderId="4" xfId="0" applyFont="1" applyFill="1" applyBorder="1" applyAlignment="1">
      <alignment horizontal="center"/>
    </xf>
    <xf numFmtId="168" fontId="23" fillId="10" borderId="30" xfId="0" applyFont="1" applyFill="1" applyBorder="1" applyAlignment="1">
      <alignment horizontal="left" indent="1"/>
    </xf>
    <xf numFmtId="177" fontId="7" fillId="0" borderId="0" xfId="1" applyNumberFormat="1" applyFont="1" applyFill="1"/>
    <xf numFmtId="175" fontId="7" fillId="0" borderId="0" xfId="1" applyNumberFormat="1" applyFont="1" applyFill="1"/>
    <xf numFmtId="43" fontId="0" fillId="0" borderId="0" xfId="1" applyFont="1" applyFill="1"/>
    <xf numFmtId="164" fontId="0" fillId="0" borderId="0" xfId="1" applyNumberFormat="1" applyFont="1"/>
    <xf numFmtId="43" fontId="0" fillId="0" borderId="0" xfId="1" applyFont="1"/>
    <xf numFmtId="0" fontId="5" fillId="0" borderId="0" xfId="19" applyAlignment="1">
      <alignment horizontal="center" vertical="center"/>
    </xf>
    <xf numFmtId="0" fontId="5" fillId="0" borderId="0" xfId="19" applyAlignment="1">
      <alignment vertical="center"/>
    </xf>
    <xf numFmtId="14" fontId="41" fillId="0" borderId="9" xfId="0" applyNumberFormat="1" applyFont="1" applyBorder="1" applyAlignment="1">
      <alignment horizontal="right" vertical="top"/>
    </xf>
    <xf numFmtId="2" fontId="41" fillId="0" borderId="8" xfId="0" applyNumberFormat="1" applyFont="1" applyBorder="1" applyAlignment="1">
      <alignment horizontal="right" vertical="top"/>
    </xf>
    <xf numFmtId="3" fontId="20" fillId="0" borderId="0" xfId="19" applyNumberFormat="1" applyFont="1" applyAlignment="1">
      <alignment vertical="center"/>
    </xf>
    <xf numFmtId="43" fontId="41" fillId="0" borderId="30" xfId="0" applyNumberFormat="1" applyFont="1" applyBorder="1"/>
    <xf numFmtId="43" fontId="41" fillId="0" borderId="28" xfId="0" applyNumberFormat="1" applyFont="1" applyBorder="1"/>
    <xf numFmtId="43" fontId="41" fillId="0" borderId="31" xfId="0" applyNumberFormat="1" applyFont="1" applyBorder="1"/>
    <xf numFmtId="43" fontId="41" fillId="0" borderId="29" xfId="0" applyNumberFormat="1" applyFont="1" applyBorder="1"/>
    <xf numFmtId="0" fontId="65" fillId="0" borderId="0" xfId="19" applyFont="1" applyAlignment="1">
      <alignment horizontal="center" vertical="center"/>
    </xf>
    <xf numFmtId="0" fontId="34" fillId="0" borderId="0" xfId="19" applyFont="1" applyAlignment="1">
      <alignment horizontal="center" vertical="center"/>
    </xf>
    <xf numFmtId="168" fontId="29" fillId="0" borderId="0" xfId="0" applyFont="1" applyAlignment="1">
      <alignment horizontal="center" vertical="center"/>
    </xf>
    <xf numFmtId="168" fontId="29" fillId="0" borderId="0" xfId="0" applyFont="1" applyAlignment="1">
      <alignment vertical="center"/>
    </xf>
    <xf numFmtId="168" fontId="60" fillId="0" borderId="0" xfId="0" applyFont="1" applyAlignment="1">
      <alignment vertical="center"/>
    </xf>
    <xf numFmtId="168" fontId="50" fillId="8" borderId="10" xfId="0" applyFont="1" applyFill="1" applyBorder="1" applyAlignment="1">
      <alignment horizontal="center"/>
    </xf>
    <xf numFmtId="168" fontId="57" fillId="7" borderId="8" xfId="0" applyFont="1" applyFill="1" applyBorder="1" applyAlignment="1">
      <alignment horizontal="centerContinuous"/>
    </xf>
    <xf numFmtId="168" fontId="57" fillId="7" borderId="8" xfId="0" applyFont="1" applyFill="1" applyBorder="1" applyAlignment="1">
      <alignment horizontal="center"/>
    </xf>
    <xf numFmtId="168" fontId="57" fillId="7" borderId="8" xfId="0" applyFont="1" applyFill="1" applyBorder="1" applyAlignment="1">
      <alignment horizontal="right"/>
    </xf>
    <xf numFmtId="168" fontId="57" fillId="7" borderId="11" xfId="0" applyFont="1" applyFill="1" applyBorder="1" applyAlignment="1">
      <alignment horizontal="center"/>
    </xf>
    <xf numFmtId="168" fontId="57" fillId="7" borderId="11" xfId="0" applyFont="1" applyFill="1" applyBorder="1" applyAlignment="1">
      <alignment horizontal="right"/>
    </xf>
    <xf numFmtId="168" fontId="23" fillId="10" borderId="10" xfId="0" applyFont="1" applyFill="1" applyBorder="1" applyAlignment="1">
      <alignment horizontal="left" indent="1"/>
    </xf>
    <xf numFmtId="2" fontId="23" fillId="10" borderId="10" xfId="1" applyNumberFormat="1" applyFont="1" applyFill="1" applyBorder="1" applyAlignment="1">
      <alignment horizontal="right" indent="3"/>
    </xf>
    <xf numFmtId="2" fontId="23" fillId="10" borderId="10" xfId="1" applyNumberFormat="1" applyFont="1" applyFill="1" applyBorder="1" applyAlignment="1">
      <alignment horizontal="right" indent="2"/>
    </xf>
    <xf numFmtId="9" fontId="23" fillId="10" borderId="10" xfId="7" applyFont="1" applyFill="1" applyBorder="1" applyAlignment="1">
      <alignment horizontal="right"/>
    </xf>
    <xf numFmtId="164" fontId="41" fillId="0" borderId="10" xfId="0" applyNumberFormat="1" applyFont="1" applyBorder="1"/>
    <xf numFmtId="164" fontId="41" fillId="0" borderId="8" xfId="0" applyNumberFormat="1" applyFont="1" applyBorder="1"/>
    <xf numFmtId="164" fontId="41" fillId="0" borderId="11" xfId="0" applyNumberFormat="1" applyFont="1" applyBorder="1"/>
    <xf numFmtId="184" fontId="56" fillId="10" borderId="30" xfId="1" applyNumberFormat="1" applyFont="1" applyFill="1" applyBorder="1" applyAlignment="1">
      <alignment horizontal="right" indent="2"/>
    </xf>
    <xf numFmtId="184" fontId="41" fillId="0" borderId="6" xfId="1" applyNumberFormat="1" applyFont="1" applyFill="1" applyBorder="1" applyAlignment="1">
      <alignment horizontal="right" indent="2"/>
    </xf>
    <xf numFmtId="184" fontId="41" fillId="0" borderId="31" xfId="1" applyNumberFormat="1" applyFont="1" applyFill="1" applyBorder="1" applyAlignment="1">
      <alignment horizontal="right" indent="2"/>
    </xf>
    <xf numFmtId="165" fontId="20" fillId="0" borderId="10" xfId="4" applyNumberFormat="1" applyFont="1" applyBorder="1" applyAlignment="1">
      <alignment horizontal="right" indent="1"/>
    </xf>
    <xf numFmtId="165" fontId="20" fillId="0" borderId="8" xfId="4" applyNumberFormat="1" applyFont="1" applyBorder="1" applyAlignment="1">
      <alignment horizontal="right" indent="1"/>
    </xf>
    <xf numFmtId="165" fontId="20" fillId="0" borderId="11" xfId="4" applyNumberFormat="1" applyFont="1" applyBorder="1" applyAlignment="1">
      <alignment horizontal="right" indent="1"/>
    </xf>
    <xf numFmtId="3" fontId="41" fillId="0" borderId="10" xfId="1" applyNumberFormat="1" applyFont="1" applyFill="1" applyBorder="1"/>
    <xf numFmtId="3" fontId="41" fillId="0" borderId="8" xfId="1" applyNumberFormat="1" applyFont="1" applyFill="1" applyBorder="1"/>
    <xf numFmtId="3" fontId="41" fillId="0" borderId="8" xfId="0" applyNumberFormat="1" applyFont="1" applyBorder="1"/>
    <xf numFmtId="3" fontId="41" fillId="0" borderId="22" xfId="0" applyNumberFormat="1" applyFont="1" applyBorder="1"/>
    <xf numFmtId="0" fontId="20" fillId="0" borderId="0" xfId="22" applyFont="1" applyAlignment="1">
      <alignment vertical="center"/>
    </xf>
    <xf numFmtId="0" fontId="67" fillId="0" borderId="0" xfId="29"/>
    <xf numFmtId="0" fontId="5" fillId="0" borderId="0" xfId="29" applyFont="1"/>
    <xf numFmtId="176" fontId="67" fillId="0" borderId="0" xfId="29" applyNumberFormat="1"/>
    <xf numFmtId="0" fontId="16" fillId="0" borderId="0" xfId="29" applyFont="1"/>
    <xf numFmtId="0" fontId="7" fillId="0" borderId="0" xfId="29" applyFont="1"/>
    <xf numFmtId="185" fontId="16" fillId="3" borderId="3" xfId="1" applyNumberFormat="1" applyFont="1" applyFill="1" applyBorder="1"/>
    <xf numFmtId="0" fontId="64" fillId="0" borderId="0" xfId="29" applyFont="1"/>
    <xf numFmtId="176" fontId="5" fillId="0" borderId="0" xfId="29" applyNumberFormat="1" applyFont="1"/>
    <xf numFmtId="176" fontId="16" fillId="0" borderId="0" xfId="29" applyNumberFormat="1" applyFont="1"/>
    <xf numFmtId="0" fontId="39" fillId="0" borderId="0" xfId="29" applyFont="1"/>
    <xf numFmtId="176" fontId="7" fillId="0" borderId="0" xfId="29" applyNumberFormat="1" applyFont="1"/>
    <xf numFmtId="174" fontId="7" fillId="0" borderId="0" xfId="29" applyNumberFormat="1" applyFont="1"/>
    <xf numFmtId="2" fontId="16" fillId="0" borderId="0" xfId="29" applyNumberFormat="1" applyFont="1"/>
    <xf numFmtId="10" fontId="67" fillId="0" borderId="0" xfId="29" applyNumberFormat="1"/>
    <xf numFmtId="0" fontId="5" fillId="0" borderId="0" xfId="0" applyNumberFormat="1" applyFont="1"/>
    <xf numFmtId="164" fontId="41" fillId="0" borderId="11" xfId="0" applyNumberFormat="1" applyFont="1" applyBorder="1" applyAlignment="1">
      <alignment horizontal="right"/>
    </xf>
    <xf numFmtId="2" fontId="20" fillId="0" borderId="11" xfId="1" applyNumberFormat="1" applyFont="1" applyFill="1" applyBorder="1" applyAlignment="1">
      <alignment horizontal="right" indent="3"/>
    </xf>
    <xf numFmtId="0" fontId="64" fillId="0" borderId="0" xfId="0" applyNumberFormat="1" applyFont="1"/>
    <xf numFmtId="0" fontId="7" fillId="0" borderId="0" xfId="0" applyNumberFormat="1" applyFont="1"/>
    <xf numFmtId="43" fontId="7" fillId="0" borderId="0" xfId="1" applyFont="1" applyFill="1" applyBorder="1"/>
    <xf numFmtId="43" fontId="7" fillId="0" borderId="0" xfId="0" applyNumberFormat="1" applyFont="1"/>
    <xf numFmtId="0" fontId="16" fillId="0" borderId="0" xfId="0" applyNumberFormat="1" applyFont="1"/>
    <xf numFmtId="184" fontId="23" fillId="10" borderId="30" xfId="1" applyNumberFormat="1" applyFont="1" applyFill="1" applyBorder="1" applyAlignment="1">
      <alignment horizontal="right" indent="2"/>
    </xf>
    <xf numFmtId="184" fontId="20" fillId="0" borderId="6" xfId="1" applyNumberFormat="1" applyFont="1" applyFill="1" applyBorder="1" applyAlignment="1">
      <alignment horizontal="right" indent="2"/>
    </xf>
    <xf numFmtId="184" fontId="20" fillId="0" borderId="31" xfId="1" applyNumberFormat="1" applyFont="1" applyFill="1" applyBorder="1" applyAlignment="1">
      <alignment horizontal="right" indent="2"/>
    </xf>
    <xf numFmtId="0" fontId="39" fillId="0" borderId="0" xfId="0" applyNumberFormat="1" applyFont="1"/>
    <xf numFmtId="168" fontId="64" fillId="0" borderId="0" xfId="0" applyFont="1"/>
    <xf numFmtId="168" fontId="16" fillId="0" borderId="0" xfId="0" applyFont="1"/>
    <xf numFmtId="168" fontId="7" fillId="0" borderId="0" xfId="0" applyFont="1"/>
    <xf numFmtId="2" fontId="0" fillId="0" borderId="0" xfId="0" applyNumberFormat="1"/>
    <xf numFmtId="43" fontId="5" fillId="0" borderId="0" xfId="1" applyFont="1" applyFill="1" applyBorder="1"/>
    <xf numFmtId="176" fontId="20" fillId="0" borderId="8" xfId="19" applyNumberFormat="1" applyFont="1" applyBorder="1" applyAlignment="1">
      <alignment horizontal="right" vertical="center"/>
    </xf>
    <xf numFmtId="3" fontId="20" fillId="0" borderId="8" xfId="19" applyNumberFormat="1" applyFont="1" applyBorder="1" applyAlignment="1">
      <alignment horizontal="right" vertical="center"/>
    </xf>
    <xf numFmtId="3" fontId="20" fillId="0" borderId="0" xfId="19" applyNumberFormat="1" applyFont="1" applyAlignment="1">
      <alignment horizontal="right" vertical="center"/>
    </xf>
    <xf numFmtId="168" fontId="23" fillId="7" borderId="0" xfId="0" applyFont="1" applyFill="1" applyAlignment="1">
      <alignment horizontal="right"/>
    </xf>
    <xf numFmtId="3" fontId="20" fillId="0" borderId="0" xfId="0" applyNumberFormat="1" applyFont="1" applyAlignment="1">
      <alignment vertical="center"/>
    </xf>
    <xf numFmtId="186" fontId="41" fillId="0" borderId="10" xfId="0" applyNumberFormat="1" applyFont="1" applyBorder="1"/>
    <xf numFmtId="186" fontId="41" fillId="0" borderId="8" xfId="0" applyNumberFormat="1" applyFont="1" applyBorder="1"/>
    <xf numFmtId="3" fontId="41" fillId="0" borderId="33" xfId="0" applyNumberFormat="1" applyFont="1" applyBorder="1"/>
    <xf numFmtId="3" fontId="41" fillId="0" borderId="34" xfId="0" applyNumberFormat="1" applyFont="1" applyBorder="1"/>
    <xf numFmtId="4" fontId="5" fillId="0" borderId="0" xfId="8" applyNumberFormat="1"/>
    <xf numFmtId="0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right"/>
    </xf>
    <xf numFmtId="0" fontId="41" fillId="0" borderId="0" xfId="19" applyFont="1" applyAlignment="1">
      <alignment horizontal="center" vertical="center"/>
    </xf>
    <xf numFmtId="0" fontId="41" fillId="0" borderId="0" xfId="19" quotePrefix="1" applyFont="1" applyAlignment="1">
      <alignment horizontal="left" vertical="center"/>
    </xf>
    <xf numFmtId="0" fontId="41" fillId="0" borderId="0" xfId="19" applyFont="1" applyAlignment="1">
      <alignment horizontal="left" vertical="center"/>
    </xf>
    <xf numFmtId="0" fontId="19" fillId="0" borderId="0" xfId="19" applyFont="1" applyAlignment="1">
      <alignment vertical="center"/>
    </xf>
    <xf numFmtId="0" fontId="19" fillId="0" borderId="0" xfId="19" applyFont="1" applyAlignment="1">
      <alignment horizontal="center" vertical="center"/>
    </xf>
    <xf numFmtId="14" fontId="56" fillId="0" borderId="0" xfId="19" applyNumberFormat="1" applyFont="1" applyAlignment="1">
      <alignment horizontal="center" vertical="center"/>
    </xf>
    <xf numFmtId="14" fontId="20" fillId="0" borderId="0" xfId="19" applyNumberFormat="1" applyFont="1" applyAlignment="1">
      <alignment vertical="center"/>
    </xf>
    <xf numFmtId="4" fontId="20" fillId="0" borderId="0" xfId="19" applyNumberFormat="1" applyFont="1" applyAlignment="1">
      <alignment horizontal="center" vertical="center"/>
    </xf>
    <xf numFmtId="0" fontId="41" fillId="0" borderId="0" xfId="19" applyFont="1" applyAlignment="1">
      <alignment vertical="center"/>
    </xf>
    <xf numFmtId="4" fontId="41" fillId="0" borderId="0" xfId="19" applyNumberFormat="1" applyFont="1" applyAlignment="1">
      <alignment horizontal="center" vertical="center"/>
    </xf>
    <xf numFmtId="4" fontId="41" fillId="26" borderId="0" xfId="19" applyNumberFormat="1" applyFont="1" applyFill="1" applyAlignment="1">
      <alignment horizontal="center" vertical="center"/>
    </xf>
    <xf numFmtId="0" fontId="20" fillId="0" borderId="0" xfId="20" applyFont="1" applyAlignment="1">
      <alignment horizontal="center" vertical="center"/>
    </xf>
    <xf numFmtId="0" fontId="20" fillId="0" borderId="0" xfId="20" applyFont="1" applyAlignment="1">
      <alignment vertical="center"/>
    </xf>
    <xf numFmtId="0" fontId="66" fillId="0" borderId="0" xfId="20" applyFont="1" applyAlignment="1">
      <alignment horizontal="center" vertical="center"/>
    </xf>
    <xf numFmtId="0" fontId="23" fillId="0" borderId="0" xfId="19" applyFont="1" applyAlignment="1">
      <alignment horizontal="center" vertical="center" wrapText="1"/>
    </xf>
    <xf numFmtId="168" fontId="62" fillId="0" borderId="18" xfId="0" applyFont="1" applyBorder="1" applyAlignment="1">
      <alignment horizontal="center" vertical="center"/>
    </xf>
    <xf numFmtId="168" fontId="62" fillId="0" borderId="6" xfId="0" applyFont="1" applyBorder="1" applyAlignment="1">
      <alignment horizontal="center" vertical="center"/>
    </xf>
    <xf numFmtId="0" fontId="41" fillId="0" borderId="6" xfId="19" applyFont="1" applyBorder="1" applyAlignment="1">
      <alignment horizontal="center" vertical="center"/>
    </xf>
    <xf numFmtId="0" fontId="62" fillId="0" borderId="20" xfId="19" quotePrefix="1" applyFont="1" applyBorder="1" applyAlignment="1">
      <alignment horizontal="center" vertical="center"/>
    </xf>
    <xf numFmtId="0" fontId="41" fillId="0" borderId="20" xfId="19" applyFont="1" applyBorder="1" applyAlignment="1">
      <alignment horizontal="center" vertical="center"/>
    </xf>
    <xf numFmtId="168" fontId="20" fillId="0" borderId="20" xfId="0" applyFont="1" applyBorder="1" applyAlignment="1">
      <alignment horizontal="center" vertical="center"/>
    </xf>
    <xf numFmtId="0" fontId="56" fillId="0" borderId="6" xfId="0" applyNumberFormat="1" applyFont="1" applyBorder="1" applyAlignment="1">
      <alignment horizontal="left" vertical="center"/>
    </xf>
    <xf numFmtId="0" fontId="23" fillId="0" borderId="0" xfId="0" applyNumberFormat="1" applyFont="1" applyAlignment="1">
      <alignment horizontal="right" vertical="center"/>
    </xf>
    <xf numFmtId="0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vertical="center"/>
    </xf>
    <xf numFmtId="168" fontId="23" fillId="0" borderId="0" xfId="0" applyFont="1" applyAlignment="1">
      <alignment vertical="center"/>
    </xf>
    <xf numFmtId="168" fontId="36" fillId="0" borderId="0" xfId="0" applyFont="1" applyAlignment="1">
      <alignment horizontal="center" vertical="center"/>
    </xf>
    <xf numFmtId="0" fontId="56" fillId="0" borderId="0" xfId="0" applyNumberFormat="1" applyFont="1" applyAlignment="1">
      <alignment horizontal="left" vertical="center"/>
    </xf>
    <xf numFmtId="0" fontId="56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right" vertical="center"/>
    </xf>
    <xf numFmtId="168" fontId="20" fillId="0" borderId="0" xfId="0" applyFont="1" applyAlignment="1">
      <alignment vertical="center" wrapText="1"/>
    </xf>
    <xf numFmtId="0" fontId="20" fillId="0" borderId="0" xfId="0" applyNumberFormat="1" applyFont="1" applyAlignment="1">
      <alignment horizontal="center" vertical="center" wrapText="1"/>
    </xf>
    <xf numFmtId="0" fontId="41" fillId="0" borderId="0" xfId="19" quotePrefix="1" applyFont="1" applyAlignment="1">
      <alignment vertical="center"/>
    </xf>
    <xf numFmtId="0" fontId="62" fillId="0" borderId="0" xfId="19" applyFont="1" applyAlignment="1">
      <alignment horizontal="left" vertical="center"/>
    </xf>
    <xf numFmtId="0" fontId="62" fillId="0" borderId="0" xfId="0" applyNumberFormat="1" applyFont="1" applyAlignment="1">
      <alignment horizontal="right" vertical="center"/>
    </xf>
    <xf numFmtId="10" fontId="20" fillId="0" borderId="0" xfId="7" applyNumberFormat="1" applyFont="1" applyBorder="1" applyAlignment="1">
      <alignment horizontal="right" vertical="center"/>
    </xf>
    <xf numFmtId="168" fontId="22" fillId="0" borderId="0" xfId="0" applyFont="1" applyAlignment="1">
      <alignment horizontal="center" vertical="center"/>
    </xf>
    <xf numFmtId="170" fontId="20" fillId="0" borderId="0" xfId="1" applyNumberFormat="1" applyFont="1" applyBorder="1" applyAlignment="1">
      <alignment horizontal="center" vertical="center"/>
    </xf>
    <xf numFmtId="2" fontId="20" fillId="0" borderId="0" xfId="7" applyNumberFormat="1" applyFont="1" applyFill="1" applyBorder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43" fontId="20" fillId="0" borderId="0" xfId="0" applyNumberFormat="1" applyFont="1" applyAlignment="1">
      <alignment horizontal="right" vertical="center"/>
    </xf>
    <xf numFmtId="165" fontId="20" fillId="0" borderId="0" xfId="7" applyNumberFormat="1" applyFont="1" applyFill="1" applyBorder="1" applyAlignment="1">
      <alignment horizontal="right" vertical="center"/>
    </xf>
    <xf numFmtId="2" fontId="20" fillId="0" borderId="0" xfId="7" applyNumberFormat="1" applyFont="1" applyFill="1" applyBorder="1" applyAlignment="1">
      <alignment vertical="center"/>
    </xf>
    <xf numFmtId="181" fontId="20" fillId="0" borderId="0" xfId="0" applyNumberFormat="1" applyFont="1" applyAlignment="1">
      <alignment vertical="center"/>
    </xf>
    <xf numFmtId="4" fontId="20" fillId="0" borderId="0" xfId="1" applyNumberFormat="1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3" fontId="20" fillId="0" borderId="0" xfId="1" applyFont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9" fontId="23" fillId="0" borderId="0" xfId="0" applyNumberFormat="1" applyFont="1" applyAlignment="1">
      <alignment vertical="center"/>
    </xf>
    <xf numFmtId="10" fontId="20" fillId="0" borderId="0" xfId="7" applyNumberFormat="1" applyFont="1" applyFill="1" applyBorder="1" applyAlignment="1">
      <alignment horizontal="right" vertical="center"/>
    </xf>
    <xf numFmtId="10" fontId="23" fillId="0" borderId="0" xfId="0" applyNumberFormat="1" applyFont="1" applyAlignment="1">
      <alignment vertical="center"/>
    </xf>
    <xf numFmtId="172" fontId="20" fillId="0" borderId="0" xfId="0" applyNumberFormat="1" applyFont="1" applyAlignment="1">
      <alignment horizontal="right" vertical="center"/>
    </xf>
    <xf numFmtId="168" fontId="34" fillId="0" borderId="0" xfId="0" applyFont="1" applyAlignment="1">
      <alignment vertical="center"/>
    </xf>
    <xf numFmtId="172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horizontal="right" vertical="center"/>
    </xf>
    <xf numFmtId="166" fontId="23" fillId="0" borderId="0" xfId="0" applyNumberFormat="1" applyFont="1" applyAlignment="1">
      <alignment horizontal="right" vertical="center"/>
    </xf>
    <xf numFmtId="9" fontId="23" fillId="0" borderId="0" xfId="7" applyFont="1" applyBorder="1" applyAlignment="1">
      <alignment horizontal="right" vertical="center"/>
    </xf>
    <xf numFmtId="181" fontId="23" fillId="0" borderId="0" xfId="0" applyNumberFormat="1" applyFont="1" applyAlignment="1">
      <alignment vertical="center"/>
    </xf>
    <xf numFmtId="3" fontId="23" fillId="0" borderId="0" xfId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10" fontId="23" fillId="0" borderId="0" xfId="7" applyNumberFormat="1" applyFont="1" applyFill="1" applyBorder="1" applyAlignment="1">
      <alignment horizontal="right" vertical="center"/>
    </xf>
    <xf numFmtId="10" fontId="23" fillId="0" borderId="0" xfId="7" applyNumberFormat="1" applyFont="1" applyBorder="1" applyAlignment="1">
      <alignment horizontal="right" vertical="center"/>
    </xf>
    <xf numFmtId="43" fontId="74" fillId="0" borderId="35" xfId="0" applyNumberFormat="1" applyFont="1" applyBorder="1"/>
    <xf numFmtId="43" fontId="74" fillId="0" borderId="36" xfId="0" applyNumberFormat="1" applyFont="1" applyBorder="1"/>
    <xf numFmtId="183" fontId="20" fillId="0" borderId="9" xfId="0" applyNumberFormat="1" applyFont="1" applyBorder="1" applyAlignment="1">
      <alignment horizontal="left" vertical="top"/>
    </xf>
    <xf numFmtId="183" fontId="20" fillId="0" borderId="8" xfId="0" applyNumberFormat="1" applyFont="1" applyBorder="1" applyAlignment="1">
      <alignment horizontal="left" vertical="top"/>
    </xf>
    <xf numFmtId="183" fontId="20" fillId="0" borderId="8" xfId="0" applyNumberFormat="1" applyFont="1" applyBorder="1" applyAlignment="1">
      <alignment horizontal="left"/>
    </xf>
    <xf numFmtId="183" fontId="20" fillId="0" borderId="8" xfId="0" applyNumberFormat="1" applyFont="1" applyBorder="1" applyAlignment="1">
      <alignment horizontal="left" vertical="center"/>
    </xf>
    <xf numFmtId="168" fontId="23" fillId="0" borderId="0" xfId="0" applyFont="1" applyAlignment="1">
      <alignment horizontal="center"/>
    </xf>
    <xf numFmtId="168" fontId="25" fillId="0" borderId="0" xfId="0" applyFont="1"/>
    <xf numFmtId="168" fontId="23" fillId="0" borderId="0" xfId="0" applyFont="1" applyAlignment="1">
      <alignment wrapText="1"/>
    </xf>
    <xf numFmtId="168" fontId="28" fillId="0" borderId="0" xfId="0" applyFont="1" applyAlignment="1">
      <alignment horizontal="right"/>
    </xf>
    <xf numFmtId="168" fontId="23" fillId="0" borderId="0" xfId="0" applyFont="1" applyAlignment="1">
      <alignment horizontal="right" wrapText="1"/>
    </xf>
    <xf numFmtId="0" fontId="41" fillId="0" borderId="0" xfId="0" applyNumberFormat="1" applyFont="1"/>
    <xf numFmtId="0" fontId="41" fillId="0" borderId="0" xfId="0" applyNumberFormat="1" applyFont="1" applyAlignment="1">
      <alignment horizontal="center"/>
    </xf>
    <xf numFmtId="168" fontId="41" fillId="0" borderId="0" xfId="0" applyFont="1" applyAlignment="1">
      <alignment horizontal="right"/>
    </xf>
    <xf numFmtId="2" fontId="41" fillId="0" borderId="0" xfId="0" applyNumberFormat="1" applyFont="1" applyAlignment="1">
      <alignment horizontal="right"/>
    </xf>
    <xf numFmtId="10" fontId="20" fillId="0" borderId="0" xfId="4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10" fontId="20" fillId="0" borderId="0" xfId="7" applyNumberFormat="1" applyFont="1" applyFill="1" applyBorder="1" applyAlignment="1">
      <alignment horizontal="right"/>
    </xf>
    <xf numFmtId="168" fontId="18" fillId="0" borderId="0" xfId="2" applyBorder="1" applyAlignment="1" applyProtection="1"/>
    <xf numFmtId="10" fontId="20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right" vertical="center"/>
    </xf>
    <xf numFmtId="10" fontId="20" fillId="0" borderId="37" xfId="0" applyNumberFormat="1" applyFont="1" applyBorder="1" applyAlignment="1">
      <alignment vertical="center"/>
    </xf>
    <xf numFmtId="10" fontId="20" fillId="0" borderId="32" xfId="0" applyNumberFormat="1" applyFont="1" applyBorder="1" applyAlignment="1">
      <alignment vertical="center"/>
    </xf>
    <xf numFmtId="168" fontId="20" fillId="0" borderId="32" xfId="0" applyFont="1" applyBorder="1" applyAlignment="1">
      <alignment vertical="center"/>
    </xf>
    <xf numFmtId="168" fontId="20" fillId="0" borderId="32" xfId="0" applyFont="1" applyBorder="1" applyAlignment="1">
      <alignment horizontal="center" vertical="center"/>
    </xf>
    <xf numFmtId="171" fontId="20" fillId="0" borderId="32" xfId="0" applyNumberFormat="1" applyFont="1" applyBorder="1" applyAlignment="1">
      <alignment vertical="center"/>
    </xf>
    <xf numFmtId="10" fontId="20" fillId="0" borderId="32" xfId="0" applyNumberFormat="1" applyFont="1" applyBorder="1" applyAlignment="1">
      <alignment horizontal="right" vertical="center"/>
    </xf>
    <xf numFmtId="2" fontId="20" fillId="0" borderId="32" xfId="7" applyNumberFormat="1" applyFont="1" applyFill="1" applyBorder="1" applyAlignment="1">
      <alignment horizontal="right" vertical="center"/>
    </xf>
    <xf numFmtId="43" fontId="20" fillId="0" borderId="32" xfId="0" applyNumberFormat="1" applyFont="1" applyBorder="1" applyAlignment="1">
      <alignment horizontal="right" vertical="center"/>
    </xf>
    <xf numFmtId="166" fontId="20" fillId="0" borderId="32" xfId="0" applyNumberFormat="1" applyFont="1" applyBorder="1" applyAlignment="1">
      <alignment horizontal="right" vertical="center"/>
    </xf>
    <xf numFmtId="0" fontId="62" fillId="0" borderId="38" xfId="0" applyNumberFormat="1" applyFont="1" applyBorder="1" applyAlignment="1">
      <alignment horizontal="right" vertical="center"/>
    </xf>
    <xf numFmtId="10" fontId="23" fillId="0" borderId="17" xfId="7" applyNumberFormat="1" applyFont="1" applyBorder="1" applyAlignment="1">
      <alignment vertical="center"/>
    </xf>
    <xf numFmtId="10" fontId="23" fillId="0" borderId="0" xfId="7" applyNumberFormat="1" applyFont="1" applyBorder="1" applyAlignment="1">
      <alignment vertical="center"/>
    </xf>
    <xf numFmtId="171" fontId="23" fillId="0" borderId="0" xfId="0" applyNumberFormat="1" applyFont="1" applyAlignment="1">
      <alignment vertical="center"/>
    </xf>
    <xf numFmtId="0" fontId="62" fillId="0" borderId="16" xfId="0" applyNumberFormat="1" applyFont="1" applyBorder="1" applyAlignment="1">
      <alignment horizontal="right" vertical="center"/>
    </xf>
    <xf numFmtId="173" fontId="20" fillId="0" borderId="16" xfId="0" applyNumberFormat="1" applyFont="1" applyBorder="1" applyAlignment="1">
      <alignment horizontal="right" vertical="center"/>
    </xf>
    <xf numFmtId="9" fontId="23" fillId="0" borderId="16" xfId="7" applyFont="1" applyBorder="1" applyAlignment="1">
      <alignment horizontal="right" vertical="center"/>
    </xf>
    <xf numFmtId="168" fontId="23" fillId="0" borderId="16" xfId="0" applyFont="1" applyBorder="1" applyAlignment="1">
      <alignment horizontal="right" vertical="center"/>
    </xf>
    <xf numFmtId="0" fontId="61" fillId="0" borderId="0" xfId="19" applyFont="1" applyAlignment="1">
      <alignment horizontal="center" vertical="center"/>
    </xf>
    <xf numFmtId="0" fontId="23" fillId="0" borderId="7" xfId="0" applyNumberFormat="1" applyFont="1" applyBorder="1" applyAlignment="1">
      <alignment horizontal="center" vertical="center"/>
    </xf>
    <xf numFmtId="168" fontId="62" fillId="0" borderId="20" xfId="0" applyFont="1" applyBorder="1" applyAlignment="1">
      <alignment horizontal="center" vertical="center"/>
    </xf>
    <xf numFmtId="0" fontId="62" fillId="0" borderId="20" xfId="0" applyNumberFormat="1" applyFont="1" applyBorder="1" applyAlignment="1">
      <alignment horizontal="center" vertical="center"/>
    </xf>
    <xf numFmtId="168" fontId="23" fillId="0" borderId="20" xfId="0" applyFont="1" applyBorder="1" applyAlignment="1">
      <alignment horizontal="center" vertical="center"/>
    </xf>
    <xf numFmtId="0" fontId="20" fillId="0" borderId="20" xfId="0" applyNumberFormat="1" applyFont="1" applyBorder="1" applyAlignment="1">
      <alignment horizontal="center" vertical="center"/>
    </xf>
    <xf numFmtId="0" fontId="5" fillId="0" borderId="0" xfId="8" applyAlignment="1">
      <alignment horizontal="center"/>
    </xf>
    <xf numFmtId="0" fontId="5" fillId="0" borderId="0" xfId="8" applyAlignment="1">
      <alignment horizontal="right"/>
    </xf>
    <xf numFmtId="0" fontId="75" fillId="0" borderId="0" xfId="0" applyNumberFormat="1" applyFont="1" applyAlignment="1">
      <alignment vertical="center"/>
    </xf>
    <xf numFmtId="2" fontId="41" fillId="2" borderId="0" xfId="0" applyNumberFormat="1" applyFont="1" applyFill="1" applyAlignment="1">
      <alignment horizontal="right"/>
    </xf>
    <xf numFmtId="168" fontId="0" fillId="0" borderId="0" xfId="0" applyAlignment="1">
      <alignment vertical="center"/>
    </xf>
    <xf numFmtId="0" fontId="23" fillId="0" borderId="0" xfId="22" applyFont="1" applyAlignment="1">
      <alignment vertical="center"/>
    </xf>
    <xf numFmtId="49" fontId="56" fillId="2" borderId="23" xfId="22" applyNumberFormat="1" applyFont="1" applyFill="1" applyBorder="1" applyAlignment="1">
      <alignment horizontal="left" vertical="center" indent="1"/>
    </xf>
    <xf numFmtId="14" fontId="56" fillId="2" borderId="23" xfId="22" applyNumberFormat="1" applyFont="1" applyFill="1" applyBorder="1" applyAlignment="1">
      <alignment horizontal="left" vertical="center" indent="1"/>
    </xf>
    <xf numFmtId="14" fontId="23" fillId="7" borderId="23" xfId="22" applyNumberFormat="1" applyFont="1" applyFill="1" applyBorder="1" applyAlignment="1">
      <alignment horizontal="left" vertical="center" indent="1"/>
    </xf>
    <xf numFmtId="49" fontId="56" fillId="0" borderId="23" xfId="22" applyNumberFormat="1" applyFont="1" applyBorder="1" applyAlignment="1">
      <alignment horizontal="left" vertical="center" indent="1"/>
    </xf>
    <xf numFmtId="0" fontId="23" fillId="7" borderId="23" xfId="22" applyFont="1" applyFill="1" applyBorder="1" applyAlignment="1">
      <alignment horizontal="left" vertical="center" indent="1"/>
    </xf>
    <xf numFmtId="49" fontId="56" fillId="0" borderId="24" xfId="22" applyNumberFormat="1" applyFont="1" applyBorder="1" applyAlignment="1">
      <alignment horizontal="left" vertical="center" indent="1"/>
    </xf>
    <xf numFmtId="0" fontId="56" fillId="0" borderId="19" xfId="22" applyFont="1" applyBorder="1" applyAlignment="1">
      <alignment horizontal="left" vertical="center" indent="1"/>
    </xf>
    <xf numFmtId="0" fontId="56" fillId="0" borderId="19" xfId="22" applyFont="1" applyBorder="1" applyAlignment="1">
      <alignment horizontal="left" vertical="center"/>
    </xf>
    <xf numFmtId="0" fontId="56" fillId="0" borderId="25" xfId="22" applyFont="1" applyBorder="1" applyAlignment="1">
      <alignment horizontal="left" vertical="center"/>
    </xf>
    <xf numFmtId="0" fontId="31" fillId="0" borderId="0" xfId="22" applyFont="1" applyAlignment="1">
      <alignment vertical="top" wrapText="1"/>
    </xf>
    <xf numFmtId="0" fontId="34" fillId="0" borderId="0" xfId="22" applyFont="1" applyAlignment="1">
      <alignment vertical="center"/>
    </xf>
    <xf numFmtId="0" fontId="56" fillId="0" borderId="25" xfId="22" applyFont="1" applyBorder="1" applyAlignment="1">
      <alignment horizontal="left" vertical="center" indent="1"/>
    </xf>
    <xf numFmtId="10" fontId="23" fillId="0" borderId="0" xfId="0" applyNumberFormat="1" applyFont="1" applyAlignment="1">
      <alignment horizontal="right"/>
    </xf>
    <xf numFmtId="10" fontId="23" fillId="0" borderId="0" xfId="7" applyNumberFormat="1" applyFont="1" applyFill="1" applyBorder="1" applyAlignment="1">
      <alignment horizontal="right"/>
    </xf>
    <xf numFmtId="168" fontId="23" fillId="7" borderId="1" xfId="0" applyFont="1" applyFill="1" applyBorder="1" applyAlignment="1">
      <alignment horizontal="center"/>
    </xf>
    <xf numFmtId="176" fontId="5" fillId="0" borderId="0" xfId="0" applyNumberFormat="1" applyFont="1"/>
    <xf numFmtId="176" fontId="16" fillId="0" borderId="0" xfId="0" applyNumberFormat="1" applyFont="1"/>
    <xf numFmtId="176" fontId="5" fillId="0" borderId="0" xfId="1" applyNumberFormat="1" applyFont="1"/>
    <xf numFmtId="176" fontId="5" fillId="0" borderId="0" xfId="1" applyNumberFormat="1" applyFont="1" applyFill="1"/>
    <xf numFmtId="176" fontId="16" fillId="24" borderId="0" xfId="0" applyNumberFormat="1" applyFont="1" applyFill="1"/>
    <xf numFmtId="176" fontId="5" fillId="24" borderId="0" xfId="0" applyNumberFormat="1" applyFont="1" applyFill="1"/>
    <xf numFmtId="176" fontId="5" fillId="21" borderId="0" xfId="0" applyNumberFormat="1" applyFont="1" applyFill="1"/>
    <xf numFmtId="176" fontId="5" fillId="13" borderId="0" xfId="29" applyNumberFormat="1" applyFont="1" applyFill="1"/>
    <xf numFmtId="176" fontId="5" fillId="14" borderId="0" xfId="29" applyNumberFormat="1" applyFont="1" applyFill="1"/>
    <xf numFmtId="176" fontId="5" fillId="15" borderId="0" xfId="29" applyNumberFormat="1" applyFont="1" applyFill="1"/>
    <xf numFmtId="176" fontId="5" fillId="0" borderId="0" xfId="1" applyNumberFormat="1" applyFont="1" applyFill="1" applyBorder="1"/>
    <xf numFmtId="176" fontId="16" fillId="21" borderId="0" xfId="0" applyNumberFormat="1" applyFont="1" applyFill="1"/>
    <xf numFmtId="176" fontId="16" fillId="13" borderId="0" xfId="29" applyNumberFormat="1" applyFont="1" applyFill="1"/>
    <xf numFmtId="176" fontId="5" fillId="16" borderId="0" xfId="29" applyNumberFormat="1" applyFont="1" applyFill="1"/>
    <xf numFmtId="176" fontId="5" fillId="0" borderId="3" xfId="29" applyNumberFormat="1" applyFont="1" applyBorder="1"/>
    <xf numFmtId="176" fontId="16" fillId="14" borderId="0" xfId="0" applyNumberFormat="1" applyFont="1" applyFill="1"/>
    <xf numFmtId="176" fontId="5" fillId="2" borderId="0" xfId="29" applyNumberFormat="1" applyFont="1" applyFill="1"/>
    <xf numFmtId="176" fontId="5" fillId="22" borderId="0" xfId="0" applyNumberFormat="1" applyFont="1" applyFill="1"/>
    <xf numFmtId="176" fontId="16" fillId="14" borderId="0" xfId="29" applyNumberFormat="1" applyFont="1" applyFill="1"/>
    <xf numFmtId="176" fontId="16" fillId="25" borderId="0" xfId="0" applyNumberFormat="1" applyFont="1" applyFill="1"/>
    <xf numFmtId="176" fontId="16" fillId="23" borderId="0" xfId="0" applyNumberFormat="1" applyFont="1" applyFill="1"/>
    <xf numFmtId="176" fontId="68" fillId="23" borderId="0" xfId="3" applyNumberFormat="1" applyFont="1" applyFill="1"/>
    <xf numFmtId="176" fontId="16" fillId="16" borderId="0" xfId="29" applyNumberFormat="1" applyFont="1" applyFill="1"/>
    <xf numFmtId="176" fontId="16" fillId="0" borderId="0" xfId="1" applyNumberFormat="1" applyFont="1"/>
    <xf numFmtId="176" fontId="5" fillId="23" borderId="0" xfId="0" applyNumberFormat="1" applyFont="1" applyFill="1"/>
    <xf numFmtId="176" fontId="5" fillId="17" borderId="0" xfId="29" applyNumberFormat="1" applyFont="1" applyFill="1"/>
    <xf numFmtId="176" fontId="5" fillId="17" borderId="0" xfId="1" applyNumberFormat="1" applyFont="1" applyFill="1"/>
    <xf numFmtId="176" fontId="5" fillId="12" borderId="0" xfId="29" applyNumberFormat="1" applyFont="1" applyFill="1"/>
    <xf numFmtId="176" fontId="16" fillId="2" borderId="0" xfId="29" applyNumberFormat="1" applyFont="1" applyFill="1"/>
    <xf numFmtId="176" fontId="5" fillId="18" borderId="0" xfId="29" applyNumberFormat="1" applyFont="1" applyFill="1"/>
    <xf numFmtId="176" fontId="5" fillId="19" borderId="0" xfId="29" applyNumberFormat="1" applyFont="1" applyFill="1"/>
    <xf numFmtId="176" fontId="5" fillId="20" borderId="0" xfId="29" applyNumberFormat="1" applyFont="1" applyFill="1"/>
    <xf numFmtId="176" fontId="5" fillId="11" borderId="0" xfId="29" applyNumberFormat="1" applyFont="1" applyFill="1"/>
    <xf numFmtId="176" fontId="5" fillId="2" borderId="0" xfId="1" applyNumberFormat="1" applyFont="1" applyFill="1"/>
    <xf numFmtId="176" fontId="5" fillId="2" borderId="0" xfId="1" applyNumberFormat="1" applyFont="1" applyFill="1" applyBorder="1"/>
    <xf numFmtId="176" fontId="0" fillId="0" borderId="0" xfId="0" applyNumberFormat="1"/>
    <xf numFmtId="176" fontId="39" fillId="0" borderId="0" xfId="29" applyNumberFormat="1" applyFont="1"/>
    <xf numFmtId="176" fontId="7" fillId="0" borderId="0" xfId="1" applyNumberFormat="1" applyFont="1" applyFill="1"/>
    <xf numFmtId="168" fontId="20" fillId="0" borderId="0" xfId="0" applyFont="1" applyAlignment="1">
      <alignment horizontal="center" vertical="center" wrapText="1"/>
    </xf>
    <xf numFmtId="168" fontId="0" fillId="11" borderId="0" xfId="0" applyFill="1" applyAlignment="1">
      <alignment vertical="center"/>
    </xf>
    <xf numFmtId="172" fontId="23" fillId="0" borderId="0" xfId="0" applyNumberFormat="1" applyFont="1" applyAlignment="1">
      <alignment horizontal="center" vertical="center"/>
    </xf>
    <xf numFmtId="0" fontId="41" fillId="0" borderId="0" xfId="19" quotePrefix="1" applyFont="1" applyAlignment="1">
      <alignment horizontal="center" vertical="center"/>
    </xf>
    <xf numFmtId="0" fontId="62" fillId="0" borderId="0" xfId="19" quotePrefix="1" applyFont="1" applyAlignment="1">
      <alignment horizontal="center" vertical="center"/>
    </xf>
    <xf numFmtId="168" fontId="62" fillId="0" borderId="0" xfId="0" applyFont="1" applyAlignment="1">
      <alignment horizontal="center" vertical="center"/>
    </xf>
    <xf numFmtId="0" fontId="62" fillId="0" borderId="0" xfId="0" applyNumberFormat="1" applyFont="1" applyAlignment="1">
      <alignment horizontal="center" vertical="center"/>
    </xf>
    <xf numFmtId="0" fontId="23" fillId="0" borderId="5" xfId="19" applyFont="1" applyBorder="1" applyAlignment="1">
      <alignment horizontal="center" vertical="center"/>
    </xf>
    <xf numFmtId="0" fontId="23" fillId="0" borderId="5" xfId="19" applyFont="1" applyBorder="1" applyAlignment="1">
      <alignment vertical="center"/>
    </xf>
    <xf numFmtId="0" fontId="23" fillId="0" borderId="5" xfId="19" applyFont="1" applyBorder="1" applyAlignment="1">
      <alignment horizontal="center" vertical="center" wrapText="1"/>
    </xf>
    <xf numFmtId="0" fontId="56" fillId="0" borderId="5" xfId="19" applyFont="1" applyBorder="1" applyAlignment="1">
      <alignment horizontal="right" vertical="center"/>
    </xf>
    <xf numFmtId="0" fontId="23" fillId="0" borderId="5" xfId="19" applyFont="1" applyBorder="1" applyAlignment="1">
      <alignment horizontal="right" vertical="center"/>
    </xf>
    <xf numFmtId="0" fontId="23" fillId="0" borderId="14" xfId="19" applyFont="1" applyBorder="1" applyAlignment="1">
      <alignment horizontal="right" vertical="center"/>
    </xf>
    <xf numFmtId="0" fontId="56" fillId="0" borderId="0" xfId="19" quotePrefix="1" applyFont="1" applyAlignment="1">
      <alignment horizontal="right" vertical="center"/>
    </xf>
    <xf numFmtId="0" fontId="23" fillId="0" borderId="12" xfId="19" applyFont="1" applyBorder="1" applyAlignment="1">
      <alignment vertical="center"/>
    </xf>
    <xf numFmtId="0" fontId="20" fillId="0" borderId="1" xfId="19" applyFont="1" applyBorder="1" applyAlignment="1">
      <alignment horizontal="center" vertical="center" wrapText="1"/>
    </xf>
    <xf numFmtId="0" fontId="20" fillId="0" borderId="1" xfId="19" applyFont="1" applyBorder="1" applyAlignment="1">
      <alignment vertical="center" wrapText="1"/>
    </xf>
    <xf numFmtId="0" fontId="20" fillId="0" borderId="1" xfId="19" applyFont="1" applyBorder="1" applyAlignment="1">
      <alignment horizontal="right" vertical="center" wrapText="1"/>
    </xf>
    <xf numFmtId="0" fontId="23" fillId="0" borderId="1" xfId="19" applyFont="1" applyBorder="1" applyAlignment="1">
      <alignment horizontal="right" vertical="center" wrapText="1"/>
    </xf>
    <xf numFmtId="0" fontId="20" fillId="0" borderId="15" xfId="19" applyFont="1" applyBorder="1" applyAlignment="1">
      <alignment vertical="center" wrapText="1"/>
    </xf>
    <xf numFmtId="1" fontId="41" fillId="0" borderId="0" xfId="19" applyNumberFormat="1" applyFont="1" applyAlignment="1">
      <alignment horizontal="center" vertical="center"/>
    </xf>
    <xf numFmtId="1" fontId="20" fillId="0" borderId="0" xfId="19" applyNumberFormat="1" applyFont="1" applyAlignment="1">
      <alignment horizontal="center" vertical="center"/>
    </xf>
    <xf numFmtId="0" fontId="5" fillId="0" borderId="0" xfId="22"/>
    <xf numFmtId="0" fontId="37" fillId="0" borderId="0" xfId="22" applyFont="1"/>
    <xf numFmtId="0" fontId="38" fillId="0" borderId="0" xfId="22" applyFont="1"/>
    <xf numFmtId="0" fontId="5" fillId="0" borderId="0" xfId="22" applyAlignment="1">
      <alignment horizontal="center"/>
    </xf>
    <xf numFmtId="0" fontId="5" fillId="0" borderId="0" xfId="22" applyAlignment="1">
      <alignment horizontal="left"/>
    </xf>
    <xf numFmtId="0" fontId="16" fillId="0" borderId="0" xfId="22" applyFont="1" applyAlignment="1">
      <alignment horizontal="center"/>
    </xf>
    <xf numFmtId="172" fontId="5" fillId="0" borderId="0" xfId="22" applyNumberFormat="1"/>
    <xf numFmtId="173" fontId="5" fillId="0" borderId="0" xfId="22" applyNumberFormat="1"/>
    <xf numFmtId="43" fontId="5" fillId="0" borderId="0" xfId="22" applyNumberFormat="1"/>
    <xf numFmtId="175" fontId="5" fillId="0" borderId="0" xfId="22" applyNumberFormat="1"/>
    <xf numFmtId="176" fontId="5" fillId="0" borderId="0" xfId="22" applyNumberFormat="1"/>
    <xf numFmtId="177" fontId="5" fillId="0" borderId="0" xfId="22" applyNumberFormat="1"/>
    <xf numFmtId="178" fontId="5" fillId="0" borderId="0" xfId="22" applyNumberFormat="1"/>
    <xf numFmtId="174" fontId="5" fillId="0" borderId="0" xfId="22" applyNumberFormat="1"/>
    <xf numFmtId="2" fontId="5" fillId="0" borderId="0" xfId="22" applyNumberFormat="1"/>
    <xf numFmtId="179" fontId="5" fillId="0" borderId="0" xfId="22" applyNumberFormat="1"/>
    <xf numFmtId="0" fontId="16" fillId="0" borderId="0" xfId="22" applyFont="1"/>
    <xf numFmtId="164" fontId="5" fillId="0" borderId="0" xfId="1" applyNumberFormat="1" applyFont="1"/>
    <xf numFmtId="173" fontId="5" fillId="12" borderId="0" xfId="22" applyNumberFormat="1" applyFill="1"/>
    <xf numFmtId="172" fontId="5" fillId="2" borderId="0" xfId="22" applyNumberFormat="1" applyFill="1"/>
    <xf numFmtId="0" fontId="39" fillId="0" borderId="0" xfId="22" applyFont="1"/>
    <xf numFmtId="2" fontId="5" fillId="4" borderId="0" xfId="22" applyNumberFormat="1" applyFill="1"/>
    <xf numFmtId="167" fontId="5" fillId="5" borderId="0" xfId="22" applyNumberFormat="1" applyFill="1"/>
    <xf numFmtId="2" fontId="5" fillId="5" borderId="0" xfId="22" applyNumberFormat="1" applyFill="1"/>
    <xf numFmtId="2" fontId="5" fillId="6" borderId="0" xfId="22" applyNumberFormat="1" applyFill="1"/>
    <xf numFmtId="0" fontId="7" fillId="0" borderId="0" xfId="22" applyFont="1"/>
    <xf numFmtId="14" fontId="5" fillId="0" borderId="0" xfId="22" applyNumberFormat="1"/>
    <xf numFmtId="0" fontId="5" fillId="3" borderId="0" xfId="22" applyFill="1"/>
    <xf numFmtId="0" fontId="5" fillId="4" borderId="0" xfId="22" applyFill="1"/>
    <xf numFmtId="0" fontId="5" fillId="5" borderId="0" xfId="22" applyFill="1"/>
    <xf numFmtId="180" fontId="5" fillId="0" borderId="0" xfId="22" applyNumberFormat="1"/>
    <xf numFmtId="0" fontId="54" fillId="0" borderId="0" xfId="10" applyFont="1" applyBorder="1" applyAlignment="1" applyProtection="1">
      <alignment vertical="center"/>
    </xf>
    <xf numFmtId="168" fontId="50" fillId="9" borderId="4" xfId="0" applyFont="1" applyFill="1" applyBorder="1" applyAlignment="1">
      <alignment horizontal="center"/>
    </xf>
    <xf numFmtId="0" fontId="0" fillId="0" borderId="0" xfId="0" applyNumberFormat="1" applyAlignment="1">
      <alignment vertical="center"/>
    </xf>
    <xf numFmtId="168" fontId="0" fillId="0" borderId="0" xfId="0"/>
    <xf numFmtId="168" fontId="50" fillId="8" borderId="10" xfId="0" applyFont="1" applyFill="1" applyBorder="1" applyAlignment="1">
      <alignment horizontal="center"/>
    </xf>
    <xf numFmtId="168" fontId="6" fillId="0" borderId="0" xfId="0" applyFont="1" applyAlignment="1">
      <alignment horizontal="center"/>
    </xf>
    <xf numFmtId="168" fontId="23" fillId="11" borderId="0" xfId="0" applyFont="1" applyFill="1" applyAlignment="1">
      <alignment horizontal="center"/>
    </xf>
    <xf numFmtId="168" fontId="50" fillId="9" borderId="5" xfId="0" applyFont="1" applyFill="1" applyBorder="1" applyAlignment="1">
      <alignment horizontal="center"/>
    </xf>
    <xf numFmtId="168" fontId="45" fillId="9" borderId="5" xfId="0" applyFont="1" applyFill="1" applyBorder="1" applyAlignment="1">
      <alignment horizontal="center"/>
    </xf>
    <xf numFmtId="168" fontId="23" fillId="7" borderId="1" xfId="0" applyFont="1" applyFill="1" applyBorder="1" applyAlignment="1">
      <alignment horizontal="center"/>
    </xf>
    <xf numFmtId="0" fontId="23" fillId="11" borderId="17" xfId="0" applyNumberFormat="1" applyFont="1" applyFill="1" applyBorder="1" applyAlignment="1">
      <alignment horizontal="left" vertical="center"/>
    </xf>
    <xf numFmtId="168" fontId="5" fillId="0" borderId="0" xfId="0" applyFont="1" applyAlignment="1">
      <alignment vertical="center"/>
    </xf>
    <xf numFmtId="168" fontId="0" fillId="0" borderId="0" xfId="0" applyAlignment="1">
      <alignment vertical="center"/>
    </xf>
    <xf numFmtId="168" fontId="0" fillId="0" borderId="16" xfId="0" applyBorder="1" applyAlignment="1">
      <alignment vertical="center"/>
    </xf>
    <xf numFmtId="168" fontId="23" fillId="7" borderId="6" xfId="0" applyFont="1" applyFill="1" applyBorder="1" applyAlignment="1">
      <alignment horizontal="center" vertical="center"/>
    </xf>
    <xf numFmtId="168" fontId="45" fillId="9" borderId="0" xfId="0" applyFont="1" applyFill="1" applyAlignment="1">
      <alignment horizontal="center"/>
    </xf>
    <xf numFmtId="168" fontId="63" fillId="0" borderId="0" xfId="0" applyFont="1" applyAlignment="1">
      <alignment horizontal="center"/>
    </xf>
    <xf numFmtId="168" fontId="24" fillId="0" borderId="0" xfId="0" applyFont="1" applyAlignment="1">
      <alignment horizontal="center"/>
    </xf>
    <xf numFmtId="168" fontId="20" fillId="0" borderId="0" xfId="0" applyFont="1" applyAlignment="1">
      <alignment horizontal="center"/>
    </xf>
    <xf numFmtId="0" fontId="23" fillId="11" borderId="18" xfId="0" applyNumberFormat="1" applyFont="1" applyFill="1" applyBorder="1" applyAlignment="1">
      <alignment horizontal="center" vertical="center"/>
    </xf>
    <xf numFmtId="0" fontId="23" fillId="11" borderId="6" xfId="0" applyNumberFormat="1" applyFont="1" applyFill="1" applyBorder="1" applyAlignment="1">
      <alignment horizontal="center" vertical="center"/>
    </xf>
    <xf numFmtId="168" fontId="0" fillId="0" borderId="6" xfId="0" applyBorder="1" applyAlignment="1">
      <alignment horizontal="center" vertical="center"/>
    </xf>
    <xf numFmtId="168" fontId="0" fillId="0" borderId="20" xfId="0" applyBorder="1" applyAlignment="1">
      <alignment horizontal="center" vertical="center"/>
    </xf>
    <xf numFmtId="168" fontId="0" fillId="0" borderId="5" xfId="0" applyBorder="1"/>
    <xf numFmtId="168" fontId="23" fillId="7" borderId="0" xfId="0" applyFont="1" applyFill="1" applyAlignment="1">
      <alignment horizontal="center"/>
    </xf>
    <xf numFmtId="0" fontId="23" fillId="11" borderId="0" xfId="0" applyNumberFormat="1" applyFont="1" applyFill="1" applyAlignment="1">
      <alignment horizontal="left" vertical="center"/>
    </xf>
    <xf numFmtId="0" fontId="20" fillId="0" borderId="0" xfId="22" applyFont="1" applyAlignment="1">
      <alignment horizontal="right" vertical="center"/>
    </xf>
    <xf numFmtId="0" fontId="50" fillId="27" borderId="17" xfId="22" applyFont="1" applyFill="1" applyBorder="1" applyAlignment="1">
      <alignment horizontal="center" vertical="center"/>
    </xf>
    <xf numFmtId="0" fontId="50" fillId="27" borderId="0" xfId="22" applyFont="1" applyFill="1" applyAlignment="1">
      <alignment horizontal="center" vertical="center"/>
    </xf>
    <xf numFmtId="0" fontId="50" fillId="28" borderId="23" xfId="20" applyFont="1" applyFill="1" applyBorder="1" applyAlignment="1">
      <alignment horizontal="center" vertical="center"/>
    </xf>
    <xf numFmtId="0" fontId="50" fillId="29" borderId="23" xfId="20" applyFont="1" applyFill="1" applyBorder="1" applyAlignment="1">
      <alignment horizontal="center" vertical="center"/>
    </xf>
    <xf numFmtId="0" fontId="50" fillId="30" borderId="23" xfId="20" applyFont="1" applyFill="1" applyBorder="1" applyAlignment="1">
      <alignment horizontal="center" vertical="center"/>
    </xf>
    <xf numFmtId="0" fontId="52" fillId="8" borderId="0" xfId="10" applyFont="1" applyFill="1" applyBorder="1" applyAlignment="1" applyProtection="1">
      <alignment vertical="center"/>
    </xf>
    <xf numFmtId="0" fontId="53" fillId="8" borderId="0" xfId="9" applyFont="1" applyFill="1" applyAlignment="1">
      <alignment vertical="center"/>
    </xf>
    <xf numFmtId="0" fontId="80" fillId="31" borderId="0" xfId="51" applyFont="1" applyFill="1" applyAlignment="1">
      <alignment horizontal="left" vertical="center"/>
    </xf>
    <xf numFmtId="0" fontId="80" fillId="0" borderId="0" xfId="51" applyFont="1" applyAlignment="1">
      <alignment horizontal="left" vertical="center"/>
    </xf>
    <xf numFmtId="0" fontId="81" fillId="0" borderId="0" xfId="51" applyFont="1" applyAlignment="1">
      <alignment horizontal="left" vertical="center"/>
    </xf>
    <xf numFmtId="0" fontId="82" fillId="0" borderId="0" xfId="51" applyFont="1" applyAlignment="1">
      <alignment horizontal="left" vertical="center"/>
    </xf>
    <xf numFmtId="0" fontId="80" fillId="31" borderId="39" xfId="51" applyFont="1" applyFill="1" applyBorder="1" applyAlignment="1">
      <alignment horizontal="left" vertical="center"/>
    </xf>
    <xf numFmtId="0" fontId="83" fillId="31" borderId="39" xfId="51" applyFont="1" applyFill="1" applyBorder="1" applyAlignment="1">
      <alignment horizontal="left" vertical="center"/>
    </xf>
    <xf numFmtId="0" fontId="80" fillId="31" borderId="40" xfId="51" applyFont="1" applyFill="1" applyBorder="1" applyAlignment="1">
      <alignment horizontal="left" vertical="center"/>
    </xf>
    <xf numFmtId="0" fontId="83" fillId="31" borderId="40" xfId="51" applyFont="1" applyFill="1" applyBorder="1" applyAlignment="1">
      <alignment horizontal="left" vertical="center"/>
    </xf>
    <xf numFmtId="0" fontId="84" fillId="31" borderId="0" xfId="51" applyFont="1" applyFill="1" applyAlignment="1">
      <alignment horizontal="left" vertical="center"/>
    </xf>
    <xf numFmtId="0" fontId="84" fillId="31" borderId="0" xfId="51" applyFont="1" applyFill="1" applyAlignment="1">
      <alignment horizontal="left" vertical="center"/>
    </xf>
    <xf numFmtId="0" fontId="85" fillId="31" borderId="0" xfId="51" applyFont="1" applyFill="1" applyAlignment="1">
      <alignment horizontal="left" vertical="center" indent="1"/>
    </xf>
    <xf numFmtId="0" fontId="86" fillId="31" borderId="0" xfId="51" applyFont="1" applyFill="1" applyAlignment="1">
      <alignment horizontal="left" vertical="center"/>
    </xf>
    <xf numFmtId="0" fontId="84" fillId="31" borderId="0" xfId="52" applyNumberFormat="1" applyFont="1" applyFill="1" applyAlignment="1">
      <alignment horizontal="left" vertical="center"/>
    </xf>
    <xf numFmtId="0" fontId="87" fillId="31" borderId="0" xfId="51" applyFont="1" applyFill="1" applyAlignment="1">
      <alignment horizontal="left" vertical="center"/>
    </xf>
    <xf numFmtId="0" fontId="83" fillId="31" borderId="41" xfId="51" applyFont="1" applyFill="1" applyBorder="1" applyAlignment="1">
      <alignment horizontal="left" vertical="center" indent="1"/>
    </xf>
    <xf numFmtId="0" fontId="83" fillId="31" borderId="42" xfId="51" applyFont="1" applyFill="1" applyBorder="1" applyAlignment="1">
      <alignment horizontal="left" vertical="center" indent="1"/>
    </xf>
    <xf numFmtId="0" fontId="86" fillId="31" borderId="42" xfId="51" applyFont="1" applyFill="1" applyBorder="1" applyAlignment="1">
      <alignment horizontal="left" vertical="center" indent="1"/>
    </xf>
    <xf numFmtId="0" fontId="88" fillId="31" borderId="42" xfId="51" applyFont="1" applyFill="1" applyBorder="1" applyAlignment="1">
      <alignment horizontal="left" vertical="center" indent="1"/>
    </xf>
    <xf numFmtId="0" fontId="89" fillId="31" borderId="42" xfId="51" applyFont="1" applyFill="1" applyBorder="1" applyAlignment="1">
      <alignment horizontal="left" vertical="center" indent="1"/>
    </xf>
    <xf numFmtId="0" fontId="86" fillId="31" borderId="42" xfId="51" applyFont="1" applyFill="1" applyBorder="1" applyAlignment="1">
      <alignment horizontal="left" vertical="center"/>
    </xf>
    <xf numFmtId="0" fontId="86" fillId="31" borderId="43" xfId="51" applyFont="1" applyFill="1" applyBorder="1" applyAlignment="1">
      <alignment horizontal="left" vertical="center"/>
    </xf>
    <xf numFmtId="0" fontId="84" fillId="31" borderId="0" xfId="2" applyNumberFormat="1" applyFont="1" applyFill="1" applyAlignment="1" applyProtection="1">
      <alignment horizontal="left" vertical="center"/>
    </xf>
  </cellXfs>
  <cellStyles count="53">
    <cellStyle name="Comma" xfId="1" builtinId="3"/>
    <cellStyle name="Comma 2" xfId="11" xr:uid="{00000000-0005-0000-0000-000001000000}"/>
    <cellStyle name="Comma 2 2" xfId="12" xr:uid="{00000000-0005-0000-0000-000002000000}"/>
    <cellStyle name="Comma 5" xfId="23" xr:uid="{00000000-0005-0000-0000-000003000000}"/>
    <cellStyle name="Comma 5 2" xfId="40" xr:uid="{8F4C736C-5F52-4FFE-B9CB-0FE2C1BDE8F6}"/>
    <cellStyle name="Currency 2" xfId="13" xr:uid="{00000000-0005-0000-0000-000004000000}"/>
    <cellStyle name="Currency 2 2" xfId="14" xr:uid="{00000000-0005-0000-0000-000005000000}"/>
    <cellStyle name="Currency 3" xfId="15" xr:uid="{00000000-0005-0000-0000-000006000000}"/>
    <cellStyle name="Hyperlink" xfId="2" builtinId="8"/>
    <cellStyle name="Hyperlink 2" xfId="10" xr:uid="{00000000-0005-0000-0000-000008000000}"/>
    <cellStyle name="Hyperlink 3" xfId="52" xr:uid="{1E1732DC-F6CF-4E41-9936-75FCC39ABBD0}"/>
    <cellStyle name="Normal" xfId="0" builtinId="0"/>
    <cellStyle name="Normal 10" xfId="22" xr:uid="{00000000-0005-0000-0000-00000A000000}"/>
    <cellStyle name="Normal 11" xfId="29" xr:uid="{00000000-0005-0000-0000-00000B000000}"/>
    <cellStyle name="Normal 11 2" xfId="41" xr:uid="{4B944B32-4387-48C8-B66A-5EE9DC85AE50}"/>
    <cellStyle name="Normal 12" xfId="30" xr:uid="{00000000-0005-0000-0000-00000C000000}"/>
    <cellStyle name="Normal 12 2" xfId="42" xr:uid="{74A9BE75-BE6F-4EAD-A0CE-F9BA68BFC6D5}"/>
    <cellStyle name="Normal 13" xfId="32" xr:uid="{00000000-0005-0000-0000-00000D000000}"/>
    <cellStyle name="Normal 13 2" xfId="44" xr:uid="{09743EAC-45DF-404B-8372-F32BA19EDE9B}"/>
    <cellStyle name="Normal 14" xfId="33" xr:uid="{00000000-0005-0000-0000-00000E000000}"/>
    <cellStyle name="Normal 14 2" xfId="45" xr:uid="{FD6D6F95-3F5E-4C0C-B36D-5B1037CDCF01}"/>
    <cellStyle name="Normal 15" xfId="35" xr:uid="{00000000-0005-0000-0000-00000F000000}"/>
    <cellStyle name="Normal 15 2" xfId="47" xr:uid="{A7146C97-59C1-488F-95C1-00B9FD4CC5D9}"/>
    <cellStyle name="Normal 16" xfId="37" xr:uid="{FD6666A2-3721-4F81-83BC-88715CCC6AE5}"/>
    <cellStyle name="Normal 16 2" xfId="49" xr:uid="{5887FB83-C2AB-4153-ADDC-84735216561B}"/>
    <cellStyle name="Normal 17" xfId="38" xr:uid="{7B22A861-EEAA-4A25-B109-EB3D34ED8022}"/>
    <cellStyle name="Normal 17 2" xfId="50" xr:uid="{39140443-ED41-4369-B861-D6AC836A903F}"/>
    <cellStyle name="Normal 18" xfId="51" xr:uid="{AFBA540A-A38F-416B-879A-A9788D7ED923}"/>
    <cellStyle name="Normal 2" xfId="3" xr:uid="{00000000-0005-0000-0000-000010000000}"/>
    <cellStyle name="Normal 2 2" xfId="4" xr:uid="{00000000-0005-0000-0000-000011000000}"/>
    <cellStyle name="Normal 2 2 2" xfId="20" xr:uid="{00000000-0005-0000-0000-000012000000}"/>
    <cellStyle name="Normal 2 2 2 2" xfId="21" xr:uid="{00000000-0005-0000-0000-000013000000}"/>
    <cellStyle name="Normal 2 3" xfId="19" xr:uid="{00000000-0005-0000-0000-000014000000}"/>
    <cellStyle name="Normal 2 4" xfId="31" xr:uid="{00000000-0005-0000-0000-000015000000}"/>
    <cellStyle name="Normal 2 4 2" xfId="43" xr:uid="{CD9C90C5-13CD-4FA4-997E-020F72B10268}"/>
    <cellStyle name="Normal 3" xfId="5" xr:uid="{00000000-0005-0000-0000-000016000000}"/>
    <cellStyle name="Normal 3 2" xfId="24" xr:uid="{00000000-0005-0000-0000-000017000000}"/>
    <cellStyle name="Normal 3 3" xfId="39" xr:uid="{F042CCCB-68F7-434A-AC62-995ED61BA5D0}"/>
    <cellStyle name="Normal 4" xfId="6" xr:uid="{00000000-0005-0000-0000-000018000000}"/>
    <cellStyle name="Normal 5" xfId="8" xr:uid="{00000000-0005-0000-0000-000019000000}"/>
    <cellStyle name="Normal 6" xfId="9" xr:uid="{00000000-0005-0000-0000-00001A000000}"/>
    <cellStyle name="Normal 6 2" xfId="25" xr:uid="{00000000-0005-0000-0000-00001B000000}"/>
    <cellStyle name="Normal 7" xfId="26" xr:uid="{00000000-0005-0000-0000-00001C000000}"/>
    <cellStyle name="Normal 8" xfId="27" xr:uid="{00000000-0005-0000-0000-00001D000000}"/>
    <cellStyle name="Normal 9" xfId="28" xr:uid="{00000000-0005-0000-0000-00001E000000}"/>
    <cellStyle name="Percent" xfId="7" builtinId="5"/>
    <cellStyle name="Percent 2" xfId="16" xr:uid="{00000000-0005-0000-0000-000020000000}"/>
    <cellStyle name="Percent 2 2" xfId="17" xr:uid="{00000000-0005-0000-0000-000021000000}"/>
    <cellStyle name="Percent 3" xfId="18" xr:uid="{00000000-0005-0000-0000-000022000000}"/>
    <cellStyle name="Percent 4" xfId="34" xr:uid="{00000000-0005-0000-0000-000023000000}"/>
    <cellStyle name="Percent 4 2" xfId="46" xr:uid="{CD1CD605-EB9B-4B93-BBB2-CE8824DB59F3}"/>
    <cellStyle name="Percent 5" xfId="36" xr:uid="{00000000-0005-0000-0000-000024000000}"/>
    <cellStyle name="Percent 5 2" xfId="48" xr:uid="{76F75767-312D-40C9-9B5E-7255EA1615F1}"/>
  </cellStyles>
  <dxfs count="2"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345680"/>
      <color rgb="FFCCFFFF"/>
      <color rgb="FFD5E3FF"/>
      <color rgb="FFDDDDDD"/>
      <color rgb="FF003399"/>
      <color rgb="FF2552FF"/>
      <color rgb="FF264D74"/>
      <color rgb="FF000099"/>
      <color rgb="FF104985"/>
      <color rgb="FFF68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2192179486446"/>
          <c:y val="0.17647058823529421"/>
          <c:w val="0.80796345319298568"/>
          <c:h val="0.67202332339558757"/>
        </c:manualLayout>
      </c:layout>
      <c:barChart>
        <c:barDir val="col"/>
        <c:grouping val="clustered"/>
        <c:varyColors val="0"/>
        <c:ser>
          <c:idx val="0"/>
          <c:order val="0"/>
          <c:tx>
            <c:v> EEI Index</c:v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'III. Total Return'!$D$20:$I$20</c15:sqref>
                  </c15:fullRef>
                </c:ext>
              </c:extLst>
              <c:f>'III. Total Return'!$E$20:$I$20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'III. Total Return'!$D$22:$I$22</c15:sqref>
                  </c15:fullRef>
                </c:ext>
              </c:extLst>
              <c:f>'III. Total Return'!$E$22:$I$22</c:f>
              <c:numCache>
                <c:formatCode>_(* #,##0.00_);_(* \(#,##0.00\);_(* "-"??_);_(@_)</c:formatCode>
                <c:ptCount val="5"/>
                <c:pt idx="0">
                  <c:v>98.839999999999989</c:v>
                </c:pt>
                <c:pt idx="1">
                  <c:v>115.76140799999999</c:v>
                </c:pt>
                <c:pt idx="2">
                  <c:v>117.092664192</c:v>
                </c:pt>
                <c:pt idx="3">
                  <c:v>106.905602407296</c:v>
                </c:pt>
                <c:pt idx="4">
                  <c:v>127.32457246708954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1DA-90FA-053FDAE01626}"/>
            </c:ext>
          </c:extLst>
        </c:ser>
        <c:ser>
          <c:idx val="1"/>
          <c:order val="1"/>
          <c:tx>
            <c:v> S&amp;P 500 Index</c:v>
          </c:tx>
          <c:spPr>
            <a:solidFill>
              <a:srgbClr val="DDDDDD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'III. Total Return'!$D$20:$I$20</c15:sqref>
                  </c15:fullRef>
                </c:ext>
              </c:extLst>
              <c:f>'III. Total Return'!$E$20:$I$20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'III. Total Return'!$D$24:$I$24</c15:sqref>
                  </c15:fullRef>
                </c:ext>
              </c:extLst>
              <c:f>'III. Total Return'!$E$24:$I$24</c:f>
              <c:numCache>
                <c:formatCode>_(* #,##0.00_);_(* \(#,##0.00\);_(* "-"??_);_(@_)</c:formatCode>
                <c:ptCount val="5"/>
                <c:pt idx="0">
                  <c:v>118.39999999999999</c:v>
                </c:pt>
                <c:pt idx="1">
                  <c:v>152.39264</c:v>
                </c:pt>
                <c:pt idx="2">
                  <c:v>124.47430835199999</c:v>
                </c:pt>
                <c:pt idx="3">
                  <c:v>157.19860401774079</c:v>
                </c:pt>
                <c:pt idx="4">
                  <c:v>196.52969474297953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9-41DA-90FA-053FDAE01626}"/>
            </c:ext>
          </c:extLst>
        </c:ser>
        <c:ser>
          <c:idx val="2"/>
          <c:order val="2"/>
          <c:tx>
            <c:v> DJI</c:v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'III. Total Return'!$D$20:$I$20</c15:sqref>
                  </c15:fullRef>
                </c:ext>
              </c:extLst>
              <c:f>'III. Total Return'!$E$20:$I$20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'III. Total Return'!$D$26:$I$26</c15:sqref>
                  </c15:fullRef>
                </c:ext>
              </c:extLst>
              <c:f>'III. Total Return'!$E$26:$I$26</c:f>
              <c:numCache>
                <c:formatCode>_(* #,##0.00_);_(* \(#,##0.00\);_(* "-"??_);_(@_)</c:formatCode>
                <c:ptCount val="5"/>
                <c:pt idx="0">
                  <c:v>109.72</c:v>
                </c:pt>
                <c:pt idx="1">
                  <c:v>132.70634000000001</c:v>
                </c:pt>
                <c:pt idx="2">
                  <c:v>123.39035493200001</c:v>
                </c:pt>
                <c:pt idx="3">
                  <c:v>143.35491435999759</c:v>
                </c:pt>
                <c:pt idx="4">
                  <c:v>164.84381602256121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9-41DA-90FA-053FDAE01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26720"/>
        <c:axId val="252128256"/>
      </c:barChart>
      <c:catAx>
        <c:axId val="25212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2128256"/>
        <c:crosses val="autoZero"/>
        <c:auto val="0"/>
        <c:lblAlgn val="ctr"/>
        <c:lblOffset val="100"/>
        <c:tickMarkSkip val="1"/>
        <c:noMultiLvlLbl val="0"/>
      </c:catAx>
      <c:valAx>
        <c:axId val="252128256"/>
        <c:scaling>
          <c:orientation val="minMax"/>
          <c:max val="225"/>
          <c:min val="7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2126720"/>
        <c:crosses val="autoZero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221361218736546"/>
          <c:y val="4.9774036866081617E-2"/>
          <c:w val="0.79535224763571222"/>
          <c:h val="0.1085974598002836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ranklin Gothic Book"/>
          <a:ea typeface="Franklin Gothic Book"/>
          <a:cs typeface="Franklin Gothic Book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203070045015E-2"/>
          <c:y val="8.7898213942769338E-2"/>
          <c:w val="0.91997643430581566"/>
          <c:h val="0.643718840023046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104985"/>
              </a:solidFill>
              <a:prstDash val="solid"/>
            </a:ln>
          </c:spPr>
          <c:marker>
            <c:symbol val="none"/>
          </c:marker>
          <c:cat>
            <c:numRef>
              <c:f>'IV. 10Y Monthly'!$B$29:$B$568</c:f>
              <c:numCache>
                <c:formatCode>yyyy\-mmm</c:formatCode>
                <c:ptCount val="540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38723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39270</c:v>
                </c:pt>
                <c:pt idx="331">
                  <c:v>39301</c:v>
                </c:pt>
                <c:pt idx="332">
                  <c:v>39332</c:v>
                </c:pt>
                <c:pt idx="333">
                  <c:v>39362</c:v>
                </c:pt>
                <c:pt idx="334">
                  <c:v>39393</c:v>
                </c:pt>
                <c:pt idx="335">
                  <c:v>39423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  <c:pt idx="401">
                  <c:v>41426</c:v>
                </c:pt>
                <c:pt idx="402">
                  <c:v>41456</c:v>
                </c:pt>
                <c:pt idx="403">
                  <c:v>41487</c:v>
                </c:pt>
                <c:pt idx="404">
                  <c:v>41518</c:v>
                </c:pt>
                <c:pt idx="405">
                  <c:v>41548</c:v>
                </c:pt>
                <c:pt idx="406">
                  <c:v>41579</c:v>
                </c:pt>
                <c:pt idx="407">
                  <c:v>41609</c:v>
                </c:pt>
                <c:pt idx="408">
                  <c:v>41640</c:v>
                </c:pt>
                <c:pt idx="409">
                  <c:v>41671</c:v>
                </c:pt>
                <c:pt idx="410">
                  <c:v>41699</c:v>
                </c:pt>
                <c:pt idx="411">
                  <c:v>41730</c:v>
                </c:pt>
                <c:pt idx="412">
                  <c:v>41760</c:v>
                </c:pt>
                <c:pt idx="413">
                  <c:v>41791</c:v>
                </c:pt>
                <c:pt idx="414">
                  <c:v>41821</c:v>
                </c:pt>
                <c:pt idx="415">
                  <c:v>41852</c:v>
                </c:pt>
                <c:pt idx="416">
                  <c:v>41883</c:v>
                </c:pt>
                <c:pt idx="417">
                  <c:v>41913</c:v>
                </c:pt>
                <c:pt idx="418">
                  <c:v>41944</c:v>
                </c:pt>
                <c:pt idx="419">
                  <c:v>41974</c:v>
                </c:pt>
                <c:pt idx="420">
                  <c:v>42005</c:v>
                </c:pt>
                <c:pt idx="421">
                  <c:v>42036</c:v>
                </c:pt>
                <c:pt idx="422">
                  <c:v>42064</c:v>
                </c:pt>
                <c:pt idx="423">
                  <c:v>42095</c:v>
                </c:pt>
                <c:pt idx="424">
                  <c:v>42125</c:v>
                </c:pt>
                <c:pt idx="425">
                  <c:v>42156</c:v>
                </c:pt>
                <c:pt idx="426">
                  <c:v>42186</c:v>
                </c:pt>
                <c:pt idx="427">
                  <c:v>42217</c:v>
                </c:pt>
                <c:pt idx="428">
                  <c:v>42248</c:v>
                </c:pt>
                <c:pt idx="429">
                  <c:v>42278</c:v>
                </c:pt>
                <c:pt idx="430">
                  <c:v>42309</c:v>
                </c:pt>
                <c:pt idx="431">
                  <c:v>42339</c:v>
                </c:pt>
                <c:pt idx="432">
                  <c:v>42370</c:v>
                </c:pt>
                <c:pt idx="433">
                  <c:v>42401</c:v>
                </c:pt>
                <c:pt idx="434">
                  <c:v>42430</c:v>
                </c:pt>
                <c:pt idx="435">
                  <c:v>42461</c:v>
                </c:pt>
                <c:pt idx="436">
                  <c:v>42491</c:v>
                </c:pt>
                <c:pt idx="437">
                  <c:v>42522</c:v>
                </c:pt>
                <c:pt idx="438">
                  <c:v>42552</c:v>
                </c:pt>
                <c:pt idx="439">
                  <c:v>42583</c:v>
                </c:pt>
                <c:pt idx="440">
                  <c:v>42614</c:v>
                </c:pt>
                <c:pt idx="441">
                  <c:v>42644</c:v>
                </c:pt>
                <c:pt idx="442">
                  <c:v>42675</c:v>
                </c:pt>
                <c:pt idx="443">
                  <c:v>42705</c:v>
                </c:pt>
                <c:pt idx="444">
                  <c:v>42736</c:v>
                </c:pt>
                <c:pt idx="445">
                  <c:v>42767</c:v>
                </c:pt>
                <c:pt idx="446">
                  <c:v>42795</c:v>
                </c:pt>
                <c:pt idx="447">
                  <c:v>42826</c:v>
                </c:pt>
                <c:pt idx="448">
                  <c:v>42856</c:v>
                </c:pt>
                <c:pt idx="449">
                  <c:v>42887</c:v>
                </c:pt>
                <c:pt idx="450">
                  <c:v>42917</c:v>
                </c:pt>
                <c:pt idx="451">
                  <c:v>42948</c:v>
                </c:pt>
                <c:pt idx="452">
                  <c:v>42979</c:v>
                </c:pt>
                <c:pt idx="453">
                  <c:v>43009</c:v>
                </c:pt>
                <c:pt idx="454">
                  <c:v>43040</c:v>
                </c:pt>
                <c:pt idx="455">
                  <c:v>43070</c:v>
                </c:pt>
                <c:pt idx="456">
                  <c:v>43101</c:v>
                </c:pt>
                <c:pt idx="457">
                  <c:v>43132</c:v>
                </c:pt>
                <c:pt idx="458">
                  <c:v>43160</c:v>
                </c:pt>
                <c:pt idx="459">
                  <c:v>43191</c:v>
                </c:pt>
                <c:pt idx="460">
                  <c:v>43221</c:v>
                </c:pt>
                <c:pt idx="461">
                  <c:v>43252</c:v>
                </c:pt>
                <c:pt idx="462">
                  <c:v>43282</c:v>
                </c:pt>
                <c:pt idx="463">
                  <c:v>43313</c:v>
                </c:pt>
                <c:pt idx="464">
                  <c:v>43344</c:v>
                </c:pt>
                <c:pt idx="465">
                  <c:v>43374</c:v>
                </c:pt>
                <c:pt idx="466">
                  <c:v>43405</c:v>
                </c:pt>
                <c:pt idx="467">
                  <c:v>43435</c:v>
                </c:pt>
                <c:pt idx="468">
                  <c:v>43466</c:v>
                </c:pt>
                <c:pt idx="469">
                  <c:v>43497</c:v>
                </c:pt>
                <c:pt idx="470">
                  <c:v>43525</c:v>
                </c:pt>
                <c:pt idx="471">
                  <c:v>43556</c:v>
                </c:pt>
                <c:pt idx="472">
                  <c:v>43586</c:v>
                </c:pt>
                <c:pt idx="473">
                  <c:v>43617</c:v>
                </c:pt>
                <c:pt idx="474">
                  <c:v>43647</c:v>
                </c:pt>
                <c:pt idx="475">
                  <c:v>43678</c:v>
                </c:pt>
                <c:pt idx="476">
                  <c:v>43709</c:v>
                </c:pt>
                <c:pt idx="477">
                  <c:v>43739</c:v>
                </c:pt>
                <c:pt idx="478">
                  <c:v>43770</c:v>
                </c:pt>
                <c:pt idx="479">
                  <c:v>43800</c:v>
                </c:pt>
                <c:pt idx="480">
                  <c:v>43831</c:v>
                </c:pt>
                <c:pt idx="481">
                  <c:v>43862</c:v>
                </c:pt>
                <c:pt idx="482">
                  <c:v>43891</c:v>
                </c:pt>
                <c:pt idx="483">
                  <c:v>43922</c:v>
                </c:pt>
                <c:pt idx="484">
                  <c:v>43952</c:v>
                </c:pt>
                <c:pt idx="485">
                  <c:v>43983</c:v>
                </c:pt>
                <c:pt idx="486">
                  <c:v>44013</c:v>
                </c:pt>
                <c:pt idx="487">
                  <c:v>44044</c:v>
                </c:pt>
                <c:pt idx="488">
                  <c:v>44075</c:v>
                </c:pt>
                <c:pt idx="489">
                  <c:v>44105</c:v>
                </c:pt>
                <c:pt idx="490">
                  <c:v>44136</c:v>
                </c:pt>
                <c:pt idx="491">
                  <c:v>44166</c:v>
                </c:pt>
                <c:pt idx="492">
                  <c:v>44197</c:v>
                </c:pt>
                <c:pt idx="493">
                  <c:v>44228</c:v>
                </c:pt>
                <c:pt idx="494">
                  <c:v>44256</c:v>
                </c:pt>
                <c:pt idx="495">
                  <c:v>44287</c:v>
                </c:pt>
                <c:pt idx="496">
                  <c:v>44317</c:v>
                </c:pt>
                <c:pt idx="497">
                  <c:v>44348</c:v>
                </c:pt>
                <c:pt idx="498">
                  <c:v>44378</c:v>
                </c:pt>
                <c:pt idx="499">
                  <c:v>44409</c:v>
                </c:pt>
                <c:pt idx="500">
                  <c:v>44440</c:v>
                </c:pt>
                <c:pt idx="501">
                  <c:v>44470</c:v>
                </c:pt>
                <c:pt idx="502">
                  <c:v>44501</c:v>
                </c:pt>
                <c:pt idx="503">
                  <c:v>44531</c:v>
                </c:pt>
                <c:pt idx="504">
                  <c:v>44562</c:v>
                </c:pt>
                <c:pt idx="505">
                  <c:v>44593</c:v>
                </c:pt>
                <c:pt idx="506">
                  <c:v>44621</c:v>
                </c:pt>
                <c:pt idx="507">
                  <c:v>44652</c:v>
                </c:pt>
                <c:pt idx="508">
                  <c:v>44682</c:v>
                </c:pt>
                <c:pt idx="509">
                  <c:v>44713</c:v>
                </c:pt>
                <c:pt idx="510">
                  <c:v>44743</c:v>
                </c:pt>
                <c:pt idx="511">
                  <c:v>44774</c:v>
                </c:pt>
                <c:pt idx="512">
                  <c:v>44805</c:v>
                </c:pt>
                <c:pt idx="513">
                  <c:v>44835</c:v>
                </c:pt>
                <c:pt idx="514">
                  <c:v>44866</c:v>
                </c:pt>
                <c:pt idx="515">
                  <c:v>44896</c:v>
                </c:pt>
                <c:pt idx="516">
                  <c:v>44927</c:v>
                </c:pt>
                <c:pt idx="517">
                  <c:v>44958</c:v>
                </c:pt>
                <c:pt idx="518">
                  <c:v>44986</c:v>
                </c:pt>
                <c:pt idx="519">
                  <c:v>45017</c:v>
                </c:pt>
                <c:pt idx="520">
                  <c:v>45047</c:v>
                </c:pt>
                <c:pt idx="521">
                  <c:v>45078</c:v>
                </c:pt>
                <c:pt idx="522">
                  <c:v>45108</c:v>
                </c:pt>
                <c:pt idx="523">
                  <c:v>45139</c:v>
                </c:pt>
                <c:pt idx="524">
                  <c:v>45170</c:v>
                </c:pt>
                <c:pt idx="525">
                  <c:v>45200</c:v>
                </c:pt>
                <c:pt idx="526">
                  <c:v>45231</c:v>
                </c:pt>
                <c:pt idx="527">
                  <c:v>45261</c:v>
                </c:pt>
                <c:pt idx="528">
                  <c:v>45292</c:v>
                </c:pt>
                <c:pt idx="529">
                  <c:v>45323</c:v>
                </c:pt>
                <c:pt idx="530">
                  <c:v>45352</c:v>
                </c:pt>
                <c:pt idx="531">
                  <c:v>45383</c:v>
                </c:pt>
                <c:pt idx="532">
                  <c:v>45413</c:v>
                </c:pt>
                <c:pt idx="533">
                  <c:v>45444</c:v>
                </c:pt>
                <c:pt idx="534">
                  <c:v>45474</c:v>
                </c:pt>
                <c:pt idx="535">
                  <c:v>45505</c:v>
                </c:pt>
                <c:pt idx="536">
                  <c:v>45536</c:v>
                </c:pt>
                <c:pt idx="537">
                  <c:v>45566</c:v>
                </c:pt>
                <c:pt idx="538">
                  <c:v>45597</c:v>
                </c:pt>
                <c:pt idx="539">
                  <c:v>45627</c:v>
                </c:pt>
              </c:numCache>
            </c:numRef>
          </c:cat>
          <c:val>
            <c:numRef>
              <c:f>'IV. 10Y Monthly'!$D$29:$D$568</c:f>
              <c:numCache>
                <c:formatCode>0.00%</c:formatCode>
                <c:ptCount val="540"/>
                <c:pt idx="0">
                  <c:v>0.10800000000000001</c:v>
                </c:pt>
                <c:pt idx="1">
                  <c:v>0.1241</c:v>
                </c:pt>
                <c:pt idx="2">
                  <c:v>0.1275</c:v>
                </c:pt>
                <c:pt idx="3">
                  <c:v>0.11470000000000001</c:v>
                </c:pt>
                <c:pt idx="4">
                  <c:v>0.1018</c:v>
                </c:pt>
                <c:pt idx="5">
                  <c:v>9.7799999999999998E-2</c:v>
                </c:pt>
                <c:pt idx="6">
                  <c:v>0.10249999999999999</c:v>
                </c:pt>
                <c:pt idx="7">
                  <c:v>0.111</c:v>
                </c:pt>
                <c:pt idx="8">
                  <c:v>0.11509999999999999</c:v>
                </c:pt>
                <c:pt idx="9">
                  <c:v>0.11749999999999999</c:v>
                </c:pt>
                <c:pt idx="10">
                  <c:v>0.1268</c:v>
                </c:pt>
                <c:pt idx="11">
                  <c:v>0.12839999999999999</c:v>
                </c:pt>
                <c:pt idx="12">
                  <c:v>0.12570000000000001</c:v>
                </c:pt>
                <c:pt idx="13">
                  <c:v>0.13189999999999999</c:v>
                </c:pt>
                <c:pt idx="14">
                  <c:v>0.13119999999999998</c:v>
                </c:pt>
                <c:pt idx="15">
                  <c:v>0.1368</c:v>
                </c:pt>
                <c:pt idx="16">
                  <c:v>0.14099999999999999</c:v>
                </c:pt>
                <c:pt idx="17">
                  <c:v>0.13470000000000001</c:v>
                </c:pt>
                <c:pt idx="18">
                  <c:v>0.14279999999999998</c:v>
                </c:pt>
                <c:pt idx="19">
                  <c:v>0.14940000000000001</c:v>
                </c:pt>
                <c:pt idx="20">
                  <c:v>0.1532</c:v>
                </c:pt>
                <c:pt idx="21">
                  <c:v>0.1515</c:v>
                </c:pt>
                <c:pt idx="22">
                  <c:v>0.13390000000000002</c:v>
                </c:pt>
                <c:pt idx="23">
                  <c:v>0.13720000000000002</c:v>
                </c:pt>
                <c:pt idx="24">
                  <c:v>0.1459</c:v>
                </c:pt>
                <c:pt idx="25">
                  <c:v>0.14429999999999998</c:v>
                </c:pt>
                <c:pt idx="26">
                  <c:v>0.1386</c:v>
                </c:pt>
                <c:pt idx="27">
                  <c:v>0.13869999999999999</c:v>
                </c:pt>
                <c:pt idx="28">
                  <c:v>0.13619999999999999</c:v>
                </c:pt>
                <c:pt idx="29">
                  <c:v>0.14300000000000002</c:v>
                </c:pt>
                <c:pt idx="30">
                  <c:v>0.13949999999999999</c:v>
                </c:pt>
                <c:pt idx="31">
                  <c:v>0.13059999999999999</c:v>
                </c:pt>
                <c:pt idx="32">
                  <c:v>0.1234</c:v>
                </c:pt>
                <c:pt idx="33">
                  <c:v>0.1091</c:v>
                </c:pt>
                <c:pt idx="34">
                  <c:v>0.10550000000000001</c:v>
                </c:pt>
                <c:pt idx="35">
                  <c:v>0.10539999999999999</c:v>
                </c:pt>
                <c:pt idx="36">
                  <c:v>0.10460000000000001</c:v>
                </c:pt>
                <c:pt idx="37">
                  <c:v>0.1072</c:v>
                </c:pt>
                <c:pt idx="38">
                  <c:v>0.1051</c:v>
                </c:pt>
                <c:pt idx="39">
                  <c:v>0.10400000000000001</c:v>
                </c:pt>
                <c:pt idx="40">
                  <c:v>0.1038</c:v>
                </c:pt>
                <c:pt idx="41">
                  <c:v>0.1085</c:v>
                </c:pt>
                <c:pt idx="42">
                  <c:v>0.11380000000000001</c:v>
                </c:pt>
                <c:pt idx="43">
                  <c:v>0.11849999999999999</c:v>
                </c:pt>
                <c:pt idx="44">
                  <c:v>0.11650000000000001</c:v>
                </c:pt>
                <c:pt idx="45">
                  <c:v>0.11539999999999999</c:v>
                </c:pt>
                <c:pt idx="46">
                  <c:v>0.11689999999999999</c:v>
                </c:pt>
                <c:pt idx="47">
                  <c:v>0.1183</c:v>
                </c:pt>
                <c:pt idx="48">
                  <c:v>0.1167</c:v>
                </c:pt>
                <c:pt idx="49">
                  <c:v>0.11840000000000001</c:v>
                </c:pt>
                <c:pt idx="50">
                  <c:v>0.1232</c:v>
                </c:pt>
                <c:pt idx="51">
                  <c:v>0.1263</c:v>
                </c:pt>
                <c:pt idx="52">
                  <c:v>0.1341</c:v>
                </c:pt>
                <c:pt idx="53">
                  <c:v>0.1356</c:v>
                </c:pt>
                <c:pt idx="54">
                  <c:v>0.1336</c:v>
                </c:pt>
                <c:pt idx="55">
                  <c:v>0.12720000000000001</c:v>
                </c:pt>
                <c:pt idx="56">
                  <c:v>0.12520000000000001</c:v>
                </c:pt>
                <c:pt idx="57">
                  <c:v>0.1216</c:v>
                </c:pt>
                <c:pt idx="58">
                  <c:v>0.1157</c:v>
                </c:pt>
                <c:pt idx="59">
                  <c:v>0.115</c:v>
                </c:pt>
                <c:pt idx="60">
                  <c:v>0.11380000000000001</c:v>
                </c:pt>
                <c:pt idx="61">
                  <c:v>0.11509999999999999</c:v>
                </c:pt>
                <c:pt idx="62">
                  <c:v>0.1186</c:v>
                </c:pt>
                <c:pt idx="63">
                  <c:v>0.1143</c:v>
                </c:pt>
                <c:pt idx="64">
                  <c:v>0.1085</c:v>
                </c:pt>
                <c:pt idx="65">
                  <c:v>0.1016</c:v>
                </c:pt>
                <c:pt idx="66">
                  <c:v>0.10310000000000001</c:v>
                </c:pt>
                <c:pt idx="67">
                  <c:v>0.1033</c:v>
                </c:pt>
                <c:pt idx="68">
                  <c:v>0.10369999999999999</c:v>
                </c:pt>
                <c:pt idx="69">
                  <c:v>0.1024</c:v>
                </c:pt>
                <c:pt idx="70">
                  <c:v>9.7799999999999998E-2</c:v>
                </c:pt>
                <c:pt idx="71">
                  <c:v>9.2600000000000002E-2</c:v>
                </c:pt>
                <c:pt idx="72">
                  <c:v>9.1899999999999996E-2</c:v>
                </c:pt>
                <c:pt idx="73">
                  <c:v>8.6999999999999994E-2</c:v>
                </c:pt>
                <c:pt idx="74">
                  <c:v>7.7800000000000008E-2</c:v>
                </c:pt>
                <c:pt idx="75">
                  <c:v>7.2999999999999995E-2</c:v>
                </c:pt>
                <c:pt idx="76">
                  <c:v>7.7100000000000002E-2</c:v>
                </c:pt>
                <c:pt idx="77">
                  <c:v>7.8E-2</c:v>
                </c:pt>
                <c:pt idx="78">
                  <c:v>7.2999999999999995E-2</c:v>
                </c:pt>
                <c:pt idx="79">
                  <c:v>7.17E-2</c:v>
                </c:pt>
                <c:pt idx="80">
                  <c:v>7.4499999999999997E-2</c:v>
                </c:pt>
                <c:pt idx="81">
                  <c:v>7.4299999999999991E-2</c:v>
                </c:pt>
                <c:pt idx="82">
                  <c:v>7.2499999999999995E-2</c:v>
                </c:pt>
                <c:pt idx="83">
                  <c:v>7.1099999999999997E-2</c:v>
                </c:pt>
                <c:pt idx="84">
                  <c:v>7.0800000000000002E-2</c:v>
                </c:pt>
                <c:pt idx="85">
                  <c:v>7.2499999999999995E-2</c:v>
                </c:pt>
                <c:pt idx="86">
                  <c:v>7.2499999999999995E-2</c:v>
                </c:pt>
                <c:pt idx="87">
                  <c:v>8.0199999999999994E-2</c:v>
                </c:pt>
                <c:pt idx="88">
                  <c:v>8.6099999999999996E-2</c:v>
                </c:pt>
                <c:pt idx="89">
                  <c:v>8.4000000000000005E-2</c:v>
                </c:pt>
                <c:pt idx="90">
                  <c:v>8.4499999999999992E-2</c:v>
                </c:pt>
                <c:pt idx="91">
                  <c:v>8.7599999999999997E-2</c:v>
                </c:pt>
                <c:pt idx="92">
                  <c:v>9.4200000000000006E-2</c:v>
                </c:pt>
                <c:pt idx="93">
                  <c:v>9.5199999999999993E-2</c:v>
                </c:pt>
                <c:pt idx="94">
                  <c:v>8.8599999999999998E-2</c:v>
                </c:pt>
                <c:pt idx="95">
                  <c:v>8.9900000000000008E-2</c:v>
                </c:pt>
                <c:pt idx="96">
                  <c:v>8.6699999999999999E-2</c:v>
                </c:pt>
                <c:pt idx="97">
                  <c:v>8.2100000000000006E-2</c:v>
                </c:pt>
                <c:pt idx="98">
                  <c:v>8.3699999999999997E-2</c:v>
                </c:pt>
                <c:pt idx="99">
                  <c:v>8.72E-2</c:v>
                </c:pt>
                <c:pt idx="100">
                  <c:v>9.0899999999999995E-2</c:v>
                </c:pt>
                <c:pt idx="101">
                  <c:v>8.9200000000000002E-2</c:v>
                </c:pt>
                <c:pt idx="102">
                  <c:v>9.06E-2</c:v>
                </c:pt>
                <c:pt idx="103">
                  <c:v>9.2600000000000002E-2</c:v>
                </c:pt>
                <c:pt idx="104">
                  <c:v>8.9800000000000005E-2</c:v>
                </c:pt>
                <c:pt idx="105">
                  <c:v>8.8000000000000009E-2</c:v>
                </c:pt>
                <c:pt idx="106">
                  <c:v>8.9600000000000013E-2</c:v>
                </c:pt>
                <c:pt idx="107">
                  <c:v>9.11E-2</c:v>
                </c:pt>
                <c:pt idx="108">
                  <c:v>9.0899999999999995E-2</c:v>
                </c:pt>
                <c:pt idx="109">
                  <c:v>9.1700000000000004E-2</c:v>
                </c:pt>
                <c:pt idx="110">
                  <c:v>9.3599999999999989E-2</c:v>
                </c:pt>
                <c:pt idx="111">
                  <c:v>9.1799999999999993E-2</c:v>
                </c:pt>
                <c:pt idx="112">
                  <c:v>8.8599999999999998E-2</c:v>
                </c:pt>
                <c:pt idx="113">
                  <c:v>8.2799999999999999E-2</c:v>
                </c:pt>
                <c:pt idx="114">
                  <c:v>8.0199999999999994E-2</c:v>
                </c:pt>
                <c:pt idx="115">
                  <c:v>8.1099999999999992E-2</c:v>
                </c:pt>
                <c:pt idx="116">
                  <c:v>8.1900000000000001E-2</c:v>
                </c:pt>
                <c:pt idx="117">
                  <c:v>8.0100000000000005E-2</c:v>
                </c:pt>
                <c:pt idx="118">
                  <c:v>7.8700000000000006E-2</c:v>
                </c:pt>
                <c:pt idx="119">
                  <c:v>7.8399999999999997E-2</c:v>
                </c:pt>
                <c:pt idx="120">
                  <c:v>8.2100000000000006E-2</c:v>
                </c:pt>
                <c:pt idx="121">
                  <c:v>8.4700000000000011E-2</c:v>
                </c:pt>
                <c:pt idx="122">
                  <c:v>8.5900000000000004E-2</c:v>
                </c:pt>
                <c:pt idx="123">
                  <c:v>8.7899999999999992E-2</c:v>
                </c:pt>
                <c:pt idx="124">
                  <c:v>8.7599999999999997E-2</c:v>
                </c:pt>
                <c:pt idx="125">
                  <c:v>8.48E-2</c:v>
                </c:pt>
                <c:pt idx="126">
                  <c:v>8.4700000000000011E-2</c:v>
                </c:pt>
                <c:pt idx="127">
                  <c:v>8.7499999999999994E-2</c:v>
                </c:pt>
                <c:pt idx="128">
                  <c:v>8.8900000000000007E-2</c:v>
                </c:pt>
                <c:pt idx="129">
                  <c:v>8.72E-2</c:v>
                </c:pt>
                <c:pt idx="130">
                  <c:v>8.3900000000000002E-2</c:v>
                </c:pt>
                <c:pt idx="131">
                  <c:v>8.0799999999999997E-2</c:v>
                </c:pt>
                <c:pt idx="132">
                  <c:v>8.09E-2</c:v>
                </c:pt>
                <c:pt idx="133">
                  <c:v>7.85E-2</c:v>
                </c:pt>
                <c:pt idx="134">
                  <c:v>8.1099999999999992E-2</c:v>
                </c:pt>
                <c:pt idx="135">
                  <c:v>8.0399999999999985E-2</c:v>
                </c:pt>
                <c:pt idx="136">
                  <c:v>8.0700000000000008E-2</c:v>
                </c:pt>
                <c:pt idx="137">
                  <c:v>8.2799999999999999E-2</c:v>
                </c:pt>
                <c:pt idx="138">
                  <c:v>8.2699999999999996E-2</c:v>
                </c:pt>
                <c:pt idx="139">
                  <c:v>7.9000000000000001E-2</c:v>
                </c:pt>
                <c:pt idx="140">
                  <c:v>7.6499999999999999E-2</c:v>
                </c:pt>
                <c:pt idx="141">
                  <c:v>7.5300000000000006E-2</c:v>
                </c:pt>
                <c:pt idx="142">
                  <c:v>7.4200000000000002E-2</c:v>
                </c:pt>
                <c:pt idx="143">
                  <c:v>7.0900000000000005E-2</c:v>
                </c:pt>
                <c:pt idx="144">
                  <c:v>7.0300000000000001E-2</c:v>
                </c:pt>
                <c:pt idx="145">
                  <c:v>7.3399999999999993E-2</c:v>
                </c:pt>
                <c:pt idx="146">
                  <c:v>7.5399999999999995E-2</c:v>
                </c:pt>
                <c:pt idx="147">
                  <c:v>7.4800000000000005E-2</c:v>
                </c:pt>
                <c:pt idx="148">
                  <c:v>7.3899999999999993E-2</c:v>
                </c:pt>
                <c:pt idx="149">
                  <c:v>7.2599999999999998E-2</c:v>
                </c:pt>
                <c:pt idx="150">
                  <c:v>6.8400000000000002E-2</c:v>
                </c:pt>
                <c:pt idx="151">
                  <c:v>6.59E-2</c:v>
                </c:pt>
                <c:pt idx="152">
                  <c:v>6.4199999999999993E-2</c:v>
                </c:pt>
                <c:pt idx="153">
                  <c:v>6.59E-2</c:v>
                </c:pt>
                <c:pt idx="154">
                  <c:v>6.8699999999999997E-2</c:v>
                </c:pt>
                <c:pt idx="155">
                  <c:v>6.7699999999999996E-2</c:v>
                </c:pt>
                <c:pt idx="156">
                  <c:v>6.6000000000000003E-2</c:v>
                </c:pt>
                <c:pt idx="157">
                  <c:v>6.2600000000000003E-2</c:v>
                </c:pt>
                <c:pt idx="158">
                  <c:v>5.9800000000000006E-2</c:v>
                </c:pt>
                <c:pt idx="159">
                  <c:v>5.9699999999999996E-2</c:v>
                </c:pt>
                <c:pt idx="160">
                  <c:v>6.0400000000000002E-2</c:v>
                </c:pt>
                <c:pt idx="161">
                  <c:v>5.96E-2</c:v>
                </c:pt>
                <c:pt idx="162">
                  <c:v>5.8099999999999999E-2</c:v>
                </c:pt>
                <c:pt idx="163">
                  <c:v>5.6799999999999996E-2</c:v>
                </c:pt>
                <c:pt idx="164">
                  <c:v>5.3600000000000002E-2</c:v>
                </c:pt>
                <c:pt idx="165">
                  <c:v>5.33E-2</c:v>
                </c:pt>
                <c:pt idx="166">
                  <c:v>5.7200000000000001E-2</c:v>
                </c:pt>
                <c:pt idx="167">
                  <c:v>5.7699999999999994E-2</c:v>
                </c:pt>
                <c:pt idx="168">
                  <c:v>5.7500000000000002E-2</c:v>
                </c:pt>
                <c:pt idx="169">
                  <c:v>5.9699999999999996E-2</c:v>
                </c:pt>
                <c:pt idx="170">
                  <c:v>6.480000000000001E-2</c:v>
                </c:pt>
                <c:pt idx="171">
                  <c:v>6.9699999999999998E-2</c:v>
                </c:pt>
                <c:pt idx="172">
                  <c:v>7.1800000000000003E-2</c:v>
                </c:pt>
                <c:pt idx="173">
                  <c:v>7.0999999999999994E-2</c:v>
                </c:pt>
                <c:pt idx="174">
                  <c:v>7.2999999999999995E-2</c:v>
                </c:pt>
                <c:pt idx="175">
                  <c:v>7.2400000000000006E-2</c:v>
                </c:pt>
                <c:pt idx="176">
                  <c:v>7.46E-2</c:v>
                </c:pt>
                <c:pt idx="177">
                  <c:v>7.7399999999999997E-2</c:v>
                </c:pt>
                <c:pt idx="178">
                  <c:v>7.9600000000000004E-2</c:v>
                </c:pt>
                <c:pt idx="179">
                  <c:v>7.8100000000000003E-2</c:v>
                </c:pt>
                <c:pt idx="180">
                  <c:v>7.7800000000000008E-2</c:v>
                </c:pt>
                <c:pt idx="181">
                  <c:v>7.4700000000000003E-2</c:v>
                </c:pt>
                <c:pt idx="182">
                  <c:v>7.2000000000000008E-2</c:v>
                </c:pt>
                <c:pt idx="183">
                  <c:v>7.0599999999999996E-2</c:v>
                </c:pt>
                <c:pt idx="184">
                  <c:v>6.6299999999999998E-2</c:v>
                </c:pt>
                <c:pt idx="185">
                  <c:v>6.1699999999999998E-2</c:v>
                </c:pt>
                <c:pt idx="186">
                  <c:v>6.2800000000000009E-2</c:v>
                </c:pt>
                <c:pt idx="187">
                  <c:v>6.4899999999999999E-2</c:v>
                </c:pt>
                <c:pt idx="188">
                  <c:v>6.2E-2</c:v>
                </c:pt>
                <c:pt idx="189">
                  <c:v>6.0400000000000002E-2</c:v>
                </c:pt>
                <c:pt idx="190">
                  <c:v>5.9299999999999999E-2</c:v>
                </c:pt>
                <c:pt idx="191">
                  <c:v>5.7099999999999998E-2</c:v>
                </c:pt>
                <c:pt idx="192">
                  <c:v>5.6500000000000002E-2</c:v>
                </c:pt>
                <c:pt idx="193">
                  <c:v>5.8099999999999999E-2</c:v>
                </c:pt>
                <c:pt idx="194">
                  <c:v>6.2699999999999992E-2</c:v>
                </c:pt>
                <c:pt idx="195">
                  <c:v>6.5099999999999991E-2</c:v>
                </c:pt>
                <c:pt idx="196">
                  <c:v>6.7400000000000002E-2</c:v>
                </c:pt>
                <c:pt idx="197">
                  <c:v>6.9099999999999995E-2</c:v>
                </c:pt>
                <c:pt idx="198">
                  <c:v>6.8699999999999997E-2</c:v>
                </c:pt>
                <c:pt idx="199">
                  <c:v>6.6400000000000001E-2</c:v>
                </c:pt>
                <c:pt idx="200">
                  <c:v>6.83E-2</c:v>
                </c:pt>
                <c:pt idx="201">
                  <c:v>6.5299999999999997E-2</c:v>
                </c:pt>
                <c:pt idx="202">
                  <c:v>6.2E-2</c:v>
                </c:pt>
                <c:pt idx="203">
                  <c:v>6.3E-2</c:v>
                </c:pt>
                <c:pt idx="204">
                  <c:v>6.5799999999999997E-2</c:v>
                </c:pt>
                <c:pt idx="205">
                  <c:v>6.4199999999999993E-2</c:v>
                </c:pt>
                <c:pt idx="206">
                  <c:v>6.6900000000000001E-2</c:v>
                </c:pt>
                <c:pt idx="207">
                  <c:v>6.8900000000000003E-2</c:v>
                </c:pt>
                <c:pt idx="208">
                  <c:v>6.7099999999999993E-2</c:v>
                </c:pt>
                <c:pt idx="209">
                  <c:v>6.4899999999999999E-2</c:v>
                </c:pt>
                <c:pt idx="210">
                  <c:v>6.2199999999999998E-2</c:v>
                </c:pt>
                <c:pt idx="211">
                  <c:v>6.3E-2</c:v>
                </c:pt>
                <c:pt idx="212">
                  <c:v>6.2100000000000002E-2</c:v>
                </c:pt>
                <c:pt idx="213">
                  <c:v>6.0299999999999999E-2</c:v>
                </c:pt>
                <c:pt idx="214">
                  <c:v>5.8799999999999998E-2</c:v>
                </c:pt>
                <c:pt idx="215">
                  <c:v>5.8099999999999999E-2</c:v>
                </c:pt>
                <c:pt idx="216">
                  <c:v>5.5399999999999998E-2</c:v>
                </c:pt>
                <c:pt idx="217">
                  <c:v>5.57E-2</c:v>
                </c:pt>
                <c:pt idx="218">
                  <c:v>5.6500000000000002E-2</c:v>
                </c:pt>
                <c:pt idx="219">
                  <c:v>5.6399999999999999E-2</c:v>
                </c:pt>
                <c:pt idx="220">
                  <c:v>5.6500000000000002E-2</c:v>
                </c:pt>
                <c:pt idx="221">
                  <c:v>5.5E-2</c:v>
                </c:pt>
                <c:pt idx="222">
                  <c:v>5.4600000000000003E-2</c:v>
                </c:pt>
                <c:pt idx="223">
                  <c:v>5.3399999999999996E-2</c:v>
                </c:pt>
                <c:pt idx="224">
                  <c:v>4.8099999999999997E-2</c:v>
                </c:pt>
                <c:pt idx="225">
                  <c:v>4.53E-2</c:v>
                </c:pt>
                <c:pt idx="226">
                  <c:v>4.8300000000000003E-2</c:v>
                </c:pt>
                <c:pt idx="227">
                  <c:v>4.6500000000000007E-2</c:v>
                </c:pt>
                <c:pt idx="228">
                  <c:v>4.7199999999999999E-2</c:v>
                </c:pt>
                <c:pt idx="229">
                  <c:v>0.05</c:v>
                </c:pt>
                <c:pt idx="230">
                  <c:v>5.2300000000000006E-2</c:v>
                </c:pt>
                <c:pt idx="231">
                  <c:v>5.1799999999999999E-2</c:v>
                </c:pt>
                <c:pt idx="232">
                  <c:v>5.5399999999999998E-2</c:v>
                </c:pt>
                <c:pt idx="233">
                  <c:v>5.9000000000000004E-2</c:v>
                </c:pt>
                <c:pt idx="234">
                  <c:v>5.79E-2</c:v>
                </c:pt>
                <c:pt idx="235">
                  <c:v>5.9400000000000001E-2</c:v>
                </c:pt>
                <c:pt idx="236">
                  <c:v>5.9200000000000003E-2</c:v>
                </c:pt>
                <c:pt idx="237">
                  <c:v>6.1100000000000002E-2</c:v>
                </c:pt>
                <c:pt idx="238">
                  <c:v>6.0299999999999999E-2</c:v>
                </c:pt>
                <c:pt idx="239">
                  <c:v>6.2800000000000009E-2</c:v>
                </c:pt>
                <c:pt idx="240">
                  <c:v>6.6600000000000006E-2</c:v>
                </c:pt>
                <c:pt idx="241">
                  <c:v>6.5199999999999994E-2</c:v>
                </c:pt>
                <c:pt idx="242">
                  <c:v>6.2600000000000003E-2</c:v>
                </c:pt>
                <c:pt idx="243">
                  <c:v>5.9900000000000002E-2</c:v>
                </c:pt>
                <c:pt idx="244">
                  <c:v>6.4399999999999999E-2</c:v>
                </c:pt>
                <c:pt idx="245">
                  <c:v>6.0999999999999999E-2</c:v>
                </c:pt>
                <c:pt idx="246">
                  <c:v>6.0499999999999998E-2</c:v>
                </c:pt>
                <c:pt idx="247">
                  <c:v>5.8299999999999998E-2</c:v>
                </c:pt>
                <c:pt idx="248">
                  <c:v>5.7999999999999996E-2</c:v>
                </c:pt>
                <c:pt idx="249">
                  <c:v>5.74E-2</c:v>
                </c:pt>
                <c:pt idx="250">
                  <c:v>5.7200000000000001E-2</c:v>
                </c:pt>
                <c:pt idx="251">
                  <c:v>5.2400000000000002E-2</c:v>
                </c:pt>
                <c:pt idx="252">
                  <c:v>5.16E-2</c:v>
                </c:pt>
                <c:pt idx="253">
                  <c:v>5.0999999999999997E-2</c:v>
                </c:pt>
                <c:pt idx="254">
                  <c:v>4.8899999999999999E-2</c:v>
                </c:pt>
                <c:pt idx="255">
                  <c:v>5.1399999999999994E-2</c:v>
                </c:pt>
                <c:pt idx="256">
                  <c:v>5.3899999999999997E-2</c:v>
                </c:pt>
                <c:pt idx="257">
                  <c:v>5.28E-2</c:v>
                </c:pt>
                <c:pt idx="258">
                  <c:v>5.2400000000000002E-2</c:v>
                </c:pt>
                <c:pt idx="259">
                  <c:v>4.9699999999999994E-2</c:v>
                </c:pt>
                <c:pt idx="260">
                  <c:v>4.7300000000000002E-2</c:v>
                </c:pt>
                <c:pt idx="261">
                  <c:v>4.5700000000000005E-2</c:v>
                </c:pt>
                <c:pt idx="262">
                  <c:v>4.6500000000000007E-2</c:v>
                </c:pt>
                <c:pt idx="263">
                  <c:v>5.0900000000000001E-2</c:v>
                </c:pt>
                <c:pt idx="264">
                  <c:v>5.04E-2</c:v>
                </c:pt>
                <c:pt idx="265">
                  <c:v>4.9100000000000005E-2</c:v>
                </c:pt>
                <c:pt idx="266">
                  <c:v>5.28E-2</c:v>
                </c:pt>
                <c:pt idx="267">
                  <c:v>5.21E-2</c:v>
                </c:pt>
                <c:pt idx="268">
                  <c:v>5.16E-2</c:v>
                </c:pt>
                <c:pt idx="269">
                  <c:v>4.9299999999999997E-2</c:v>
                </c:pt>
                <c:pt idx="270">
                  <c:v>4.6500000000000007E-2</c:v>
                </c:pt>
                <c:pt idx="271">
                  <c:v>4.2599999999999999E-2</c:v>
                </c:pt>
                <c:pt idx="272">
                  <c:v>3.8699999999999998E-2</c:v>
                </c:pt>
                <c:pt idx="273">
                  <c:v>3.9399999999999998E-2</c:v>
                </c:pt>
                <c:pt idx="274">
                  <c:v>4.0500000000000001E-2</c:v>
                </c:pt>
                <c:pt idx="275">
                  <c:v>4.0300000000000002E-2</c:v>
                </c:pt>
                <c:pt idx="276">
                  <c:v>4.0500000000000001E-2</c:v>
                </c:pt>
                <c:pt idx="277">
                  <c:v>3.9E-2</c:v>
                </c:pt>
                <c:pt idx="278">
                  <c:v>3.8100000000000002E-2</c:v>
                </c:pt>
                <c:pt idx="279">
                  <c:v>3.9599999999999996E-2</c:v>
                </c:pt>
                <c:pt idx="280">
                  <c:v>3.5699999999999996E-2</c:v>
                </c:pt>
                <c:pt idx="281">
                  <c:v>3.3300000000000003E-2</c:v>
                </c:pt>
                <c:pt idx="282">
                  <c:v>3.9800000000000002E-2</c:v>
                </c:pt>
                <c:pt idx="283">
                  <c:v>4.4500000000000005E-2</c:v>
                </c:pt>
                <c:pt idx="284">
                  <c:v>4.2699999999999995E-2</c:v>
                </c:pt>
                <c:pt idx="285">
                  <c:v>4.2900000000000001E-2</c:v>
                </c:pt>
                <c:pt idx="286">
                  <c:v>4.2999999999999997E-2</c:v>
                </c:pt>
                <c:pt idx="287">
                  <c:v>4.2699999999999995E-2</c:v>
                </c:pt>
                <c:pt idx="288">
                  <c:v>4.1500000000000002E-2</c:v>
                </c:pt>
                <c:pt idx="289">
                  <c:v>4.0800000000000003E-2</c:v>
                </c:pt>
                <c:pt idx="290">
                  <c:v>3.8300000000000001E-2</c:v>
                </c:pt>
                <c:pt idx="291">
                  <c:v>4.3499999999999997E-2</c:v>
                </c:pt>
                <c:pt idx="292">
                  <c:v>4.7199999999999999E-2</c:v>
                </c:pt>
                <c:pt idx="293">
                  <c:v>4.7300000000000002E-2</c:v>
                </c:pt>
                <c:pt idx="294">
                  <c:v>4.4999999999999998E-2</c:v>
                </c:pt>
                <c:pt idx="295">
                  <c:v>4.2800000000000005E-2</c:v>
                </c:pt>
                <c:pt idx="296">
                  <c:v>4.1299999999999996E-2</c:v>
                </c:pt>
                <c:pt idx="297">
                  <c:v>4.0999999999999995E-2</c:v>
                </c:pt>
                <c:pt idx="298">
                  <c:v>4.1900000000000007E-2</c:v>
                </c:pt>
                <c:pt idx="299">
                  <c:v>4.2300000000000004E-2</c:v>
                </c:pt>
                <c:pt idx="300">
                  <c:v>4.2199999999999994E-2</c:v>
                </c:pt>
                <c:pt idx="301">
                  <c:v>4.1700000000000001E-2</c:v>
                </c:pt>
                <c:pt idx="302">
                  <c:v>4.4999999999999998E-2</c:v>
                </c:pt>
                <c:pt idx="303">
                  <c:v>4.3400000000000001E-2</c:v>
                </c:pt>
                <c:pt idx="304">
                  <c:v>4.1399999999999999E-2</c:v>
                </c:pt>
                <c:pt idx="305">
                  <c:v>0.04</c:v>
                </c:pt>
                <c:pt idx="306">
                  <c:v>4.1799999999999997E-2</c:v>
                </c:pt>
                <c:pt idx="307">
                  <c:v>4.2599999999999999E-2</c:v>
                </c:pt>
                <c:pt idx="308">
                  <c:v>4.2000000000000003E-2</c:v>
                </c:pt>
                <c:pt idx="309">
                  <c:v>4.4600000000000001E-2</c:v>
                </c:pt>
                <c:pt idx="310">
                  <c:v>4.5400000000000003E-2</c:v>
                </c:pt>
                <c:pt idx="311">
                  <c:v>4.4699999999999997E-2</c:v>
                </c:pt>
                <c:pt idx="312">
                  <c:v>4.4199999999999996E-2</c:v>
                </c:pt>
                <c:pt idx="313">
                  <c:v>4.5700000000000005E-2</c:v>
                </c:pt>
                <c:pt idx="314">
                  <c:v>4.7199999999999999E-2</c:v>
                </c:pt>
                <c:pt idx="315">
                  <c:v>4.99E-2</c:v>
                </c:pt>
                <c:pt idx="316">
                  <c:v>5.1100000000000007E-2</c:v>
                </c:pt>
                <c:pt idx="317">
                  <c:v>5.1100000000000007E-2</c:v>
                </c:pt>
                <c:pt idx="318">
                  <c:v>5.0900000000000001E-2</c:v>
                </c:pt>
                <c:pt idx="319">
                  <c:v>4.8799999999999996E-2</c:v>
                </c:pt>
                <c:pt idx="320">
                  <c:v>4.7160000000000001E-2</c:v>
                </c:pt>
                <c:pt idx="321">
                  <c:v>4.7300000000000002E-2</c:v>
                </c:pt>
                <c:pt idx="322">
                  <c:v>4.5999999999999999E-2</c:v>
                </c:pt>
                <c:pt idx="323">
                  <c:v>4.5594999999999997E-2</c:v>
                </c:pt>
                <c:pt idx="324">
                  <c:v>4.7599999999999996E-2</c:v>
                </c:pt>
                <c:pt idx="325">
                  <c:v>4.7199999999999999E-2</c:v>
                </c:pt>
                <c:pt idx="326">
                  <c:v>4.5599999999999995E-2</c:v>
                </c:pt>
                <c:pt idx="327">
                  <c:v>4.6900000000000004E-2</c:v>
                </c:pt>
                <c:pt idx="328">
                  <c:v>4.7500000000000001E-2</c:v>
                </c:pt>
                <c:pt idx="329">
                  <c:v>5.0999999999999997E-2</c:v>
                </c:pt>
                <c:pt idx="330">
                  <c:v>0.05</c:v>
                </c:pt>
                <c:pt idx="331">
                  <c:v>4.6699999999999998E-2</c:v>
                </c:pt>
                <c:pt idx="332">
                  <c:v>4.5199999999999997E-2</c:v>
                </c:pt>
                <c:pt idx="333">
                  <c:v>4.53E-2</c:v>
                </c:pt>
                <c:pt idx="334">
                  <c:v>4.1500000000000002E-2</c:v>
                </c:pt>
                <c:pt idx="335">
                  <c:v>4.0999999999999995E-2</c:v>
                </c:pt>
                <c:pt idx="336">
                  <c:v>3.7400000000000003E-2</c:v>
                </c:pt>
                <c:pt idx="337">
                  <c:v>3.7400000000000003E-2</c:v>
                </c:pt>
                <c:pt idx="338">
                  <c:v>3.5099999999999999E-2</c:v>
                </c:pt>
                <c:pt idx="339">
                  <c:v>3.6799999999999999E-2</c:v>
                </c:pt>
                <c:pt idx="340">
                  <c:v>3.8800000000000001E-2</c:v>
                </c:pt>
                <c:pt idx="341">
                  <c:v>4.0999999999999995E-2</c:v>
                </c:pt>
                <c:pt idx="342">
                  <c:v>4.0099999999999997E-2</c:v>
                </c:pt>
                <c:pt idx="343">
                  <c:v>3.8900000000000004E-2</c:v>
                </c:pt>
                <c:pt idx="344">
                  <c:v>3.6900000000000002E-2</c:v>
                </c:pt>
                <c:pt idx="345">
                  <c:v>3.8100000000000002E-2</c:v>
                </c:pt>
                <c:pt idx="346">
                  <c:v>3.5299999999999998E-2</c:v>
                </c:pt>
                <c:pt idx="347">
                  <c:v>2.4199999999999999E-2</c:v>
                </c:pt>
                <c:pt idx="348">
                  <c:v>2.52E-2</c:v>
                </c:pt>
                <c:pt idx="349">
                  <c:v>2.87E-2</c:v>
                </c:pt>
                <c:pt idx="350">
                  <c:v>2.8199999999999999E-2</c:v>
                </c:pt>
                <c:pt idx="351">
                  <c:v>2.9300000000000003E-2</c:v>
                </c:pt>
                <c:pt idx="352">
                  <c:v>3.2899999999999999E-2</c:v>
                </c:pt>
                <c:pt idx="353">
                  <c:v>3.7200000000000004E-2</c:v>
                </c:pt>
                <c:pt idx="354">
                  <c:v>3.56E-2</c:v>
                </c:pt>
                <c:pt idx="355">
                  <c:v>3.5900000000000001E-2</c:v>
                </c:pt>
                <c:pt idx="356">
                  <c:v>3.4000000000000002E-2</c:v>
                </c:pt>
                <c:pt idx="357">
                  <c:v>3.39E-2</c:v>
                </c:pt>
                <c:pt idx="358">
                  <c:v>3.4000000000000002E-2</c:v>
                </c:pt>
                <c:pt idx="359">
                  <c:v>3.5900000000000001E-2</c:v>
                </c:pt>
                <c:pt idx="360">
                  <c:v>3.73E-2</c:v>
                </c:pt>
                <c:pt idx="361">
                  <c:v>3.6900000000000002E-2</c:v>
                </c:pt>
                <c:pt idx="362">
                  <c:v>3.73E-2</c:v>
                </c:pt>
                <c:pt idx="363">
                  <c:v>3.85E-2</c:v>
                </c:pt>
                <c:pt idx="364">
                  <c:v>3.4200000000000001E-2</c:v>
                </c:pt>
                <c:pt idx="365">
                  <c:v>3.2000000000000001E-2</c:v>
                </c:pt>
                <c:pt idx="366">
                  <c:v>3.0099999999999998E-2</c:v>
                </c:pt>
                <c:pt idx="367">
                  <c:v>2.7000000000000003E-2</c:v>
                </c:pt>
                <c:pt idx="368">
                  <c:v>2.6499999999999999E-2</c:v>
                </c:pt>
                <c:pt idx="369">
                  <c:v>2.5399999999999999E-2</c:v>
                </c:pt>
                <c:pt idx="370">
                  <c:v>2.76E-2</c:v>
                </c:pt>
                <c:pt idx="371">
                  <c:v>3.2899999999999999E-2</c:v>
                </c:pt>
                <c:pt idx="372">
                  <c:v>3.39E-2</c:v>
                </c:pt>
                <c:pt idx="373">
                  <c:v>3.5799999999999998E-2</c:v>
                </c:pt>
                <c:pt idx="374">
                  <c:v>3.4099999999999998E-2</c:v>
                </c:pt>
                <c:pt idx="375">
                  <c:v>3.4599999999999999E-2</c:v>
                </c:pt>
                <c:pt idx="376">
                  <c:v>3.1699999999999999E-2</c:v>
                </c:pt>
                <c:pt idx="377">
                  <c:v>0.03</c:v>
                </c:pt>
                <c:pt idx="378">
                  <c:v>0.03</c:v>
                </c:pt>
                <c:pt idx="379">
                  <c:v>2.3E-2</c:v>
                </c:pt>
                <c:pt idx="380">
                  <c:v>1.9799999999999998E-2</c:v>
                </c:pt>
                <c:pt idx="381">
                  <c:v>2.1499999999999998E-2</c:v>
                </c:pt>
                <c:pt idx="382">
                  <c:v>2.0099999999999996E-2</c:v>
                </c:pt>
                <c:pt idx="383">
                  <c:v>1.9799999999999998E-2</c:v>
                </c:pt>
                <c:pt idx="384">
                  <c:v>1.9699999999999999E-2</c:v>
                </c:pt>
                <c:pt idx="385">
                  <c:v>1.9699999999999999E-2</c:v>
                </c:pt>
                <c:pt idx="386">
                  <c:v>2.1700000000000001E-2</c:v>
                </c:pt>
                <c:pt idx="387">
                  <c:v>2.0499999999999997E-2</c:v>
                </c:pt>
                <c:pt idx="388">
                  <c:v>1.8000000000000002E-2</c:v>
                </c:pt>
                <c:pt idx="389">
                  <c:v>1.6200000000000003E-2</c:v>
                </c:pt>
                <c:pt idx="390">
                  <c:v>1.5300000000000001E-2</c:v>
                </c:pt>
                <c:pt idx="391">
                  <c:v>1.6799999999999999E-2</c:v>
                </c:pt>
                <c:pt idx="392">
                  <c:v>1.72E-2</c:v>
                </c:pt>
                <c:pt idx="393">
                  <c:v>1.7500000000000002E-2</c:v>
                </c:pt>
                <c:pt idx="394">
                  <c:v>1.6500000000000001E-2</c:v>
                </c:pt>
                <c:pt idx="395">
                  <c:v>1.72E-2</c:v>
                </c:pt>
                <c:pt idx="396">
                  <c:v>1.9099999999999999E-2</c:v>
                </c:pt>
                <c:pt idx="397">
                  <c:v>1.9799999999999998E-2</c:v>
                </c:pt>
                <c:pt idx="398">
                  <c:v>1.9599999999999999E-2</c:v>
                </c:pt>
                <c:pt idx="399">
                  <c:v>1.7600000000000001E-2</c:v>
                </c:pt>
                <c:pt idx="400">
                  <c:v>1.9299999999999998E-2</c:v>
                </c:pt>
                <c:pt idx="401">
                  <c:v>2.3E-2</c:v>
                </c:pt>
                <c:pt idx="402">
                  <c:v>2.58E-2</c:v>
                </c:pt>
                <c:pt idx="403">
                  <c:v>2.7400000000000001E-2</c:v>
                </c:pt>
                <c:pt idx="404">
                  <c:v>2.81E-2</c:v>
                </c:pt>
                <c:pt idx="405">
                  <c:v>2.6200000000000001E-2</c:v>
                </c:pt>
                <c:pt idx="406">
                  <c:v>2.7200000000000002E-2</c:v>
                </c:pt>
                <c:pt idx="407">
                  <c:v>2.8999999999999998E-2</c:v>
                </c:pt>
                <c:pt idx="408">
                  <c:v>2.86E-2</c:v>
                </c:pt>
                <c:pt idx="409">
                  <c:v>2.7099999999999999E-2</c:v>
                </c:pt>
                <c:pt idx="410">
                  <c:v>2.7200000000000002E-2</c:v>
                </c:pt>
                <c:pt idx="411">
                  <c:v>2.7099999999999999E-2</c:v>
                </c:pt>
                <c:pt idx="412">
                  <c:v>2.5600000000000001E-2</c:v>
                </c:pt>
                <c:pt idx="413">
                  <c:v>2.6000000000000002E-2</c:v>
                </c:pt>
                <c:pt idx="414">
                  <c:v>2.5399999999999999E-2</c:v>
                </c:pt>
                <c:pt idx="415">
                  <c:v>2.4199999999999999E-2</c:v>
                </c:pt>
                <c:pt idx="416">
                  <c:v>2.53E-2</c:v>
                </c:pt>
                <c:pt idx="417">
                  <c:v>2.3E-2</c:v>
                </c:pt>
                <c:pt idx="418">
                  <c:v>2.3300000000000001E-2</c:v>
                </c:pt>
                <c:pt idx="419">
                  <c:v>2.2099999999999998E-2</c:v>
                </c:pt>
                <c:pt idx="420">
                  <c:v>1.8799999999999997E-2</c:v>
                </c:pt>
                <c:pt idx="421">
                  <c:v>1.9799999999999998E-2</c:v>
                </c:pt>
                <c:pt idx="422">
                  <c:v>2.0400000000000001E-2</c:v>
                </c:pt>
                <c:pt idx="423">
                  <c:v>1.9400000000000001E-2</c:v>
                </c:pt>
                <c:pt idx="424">
                  <c:v>2.2000000000000002E-2</c:v>
                </c:pt>
                <c:pt idx="425">
                  <c:v>2.3599999999999999E-2</c:v>
                </c:pt>
                <c:pt idx="426">
                  <c:v>2.3199999999999998E-2</c:v>
                </c:pt>
                <c:pt idx="427">
                  <c:v>2.1700000000000001E-2</c:v>
                </c:pt>
                <c:pt idx="428">
                  <c:v>2.1700000000000001E-2</c:v>
                </c:pt>
                <c:pt idx="429">
                  <c:v>2.07E-2</c:v>
                </c:pt>
                <c:pt idx="430">
                  <c:v>2.2599999999999999E-2</c:v>
                </c:pt>
                <c:pt idx="431">
                  <c:v>2.2400000000000003E-2</c:v>
                </c:pt>
                <c:pt idx="432">
                  <c:v>2.0899999999999998E-2</c:v>
                </c:pt>
                <c:pt idx="433">
                  <c:v>1.78E-2</c:v>
                </c:pt>
                <c:pt idx="434">
                  <c:v>1.89E-2</c:v>
                </c:pt>
                <c:pt idx="435">
                  <c:v>1.8100000000000002E-2</c:v>
                </c:pt>
                <c:pt idx="436">
                  <c:v>1.8100000000000002E-2</c:v>
                </c:pt>
                <c:pt idx="437">
                  <c:v>1.6399999999999998E-2</c:v>
                </c:pt>
                <c:pt idx="438">
                  <c:v>1.4999999999999999E-2</c:v>
                </c:pt>
                <c:pt idx="439">
                  <c:v>1.5600000000000001E-2</c:v>
                </c:pt>
                <c:pt idx="440">
                  <c:v>1.6299999999999999E-2</c:v>
                </c:pt>
                <c:pt idx="441">
                  <c:v>1.7600000000000001E-2</c:v>
                </c:pt>
                <c:pt idx="442">
                  <c:v>2.1400000000000002E-2</c:v>
                </c:pt>
                <c:pt idx="443">
                  <c:v>2.4900000000000002E-2</c:v>
                </c:pt>
                <c:pt idx="444">
                  <c:v>2.4300000000000002E-2</c:v>
                </c:pt>
                <c:pt idx="445">
                  <c:v>2.4199999999999999E-2</c:v>
                </c:pt>
                <c:pt idx="446">
                  <c:v>2.4799999999999999E-2</c:v>
                </c:pt>
                <c:pt idx="447">
                  <c:v>2.3E-2</c:v>
                </c:pt>
                <c:pt idx="448">
                  <c:v>2.3E-2</c:v>
                </c:pt>
                <c:pt idx="449">
                  <c:v>2.1899999999999999E-2</c:v>
                </c:pt>
                <c:pt idx="450">
                  <c:v>2.3199999999999998E-2</c:v>
                </c:pt>
                <c:pt idx="451">
                  <c:v>2.2099999999999998E-2</c:v>
                </c:pt>
                <c:pt idx="452">
                  <c:v>2.2000000000000002E-2</c:v>
                </c:pt>
                <c:pt idx="453">
                  <c:v>2.3599999999999999E-2</c:v>
                </c:pt>
                <c:pt idx="454">
                  <c:v>2.35E-2</c:v>
                </c:pt>
                <c:pt idx="455">
                  <c:v>2.4E-2</c:v>
                </c:pt>
                <c:pt idx="456">
                  <c:v>2.58E-2</c:v>
                </c:pt>
                <c:pt idx="457">
                  <c:v>2.86E-2</c:v>
                </c:pt>
                <c:pt idx="458">
                  <c:v>2.8399999999999998E-2</c:v>
                </c:pt>
                <c:pt idx="459">
                  <c:v>2.87E-2</c:v>
                </c:pt>
                <c:pt idx="460">
                  <c:v>2.98E-2</c:v>
                </c:pt>
                <c:pt idx="461">
                  <c:v>2.9100000000000001E-2</c:v>
                </c:pt>
                <c:pt idx="462">
                  <c:v>2.8900000000000002E-2</c:v>
                </c:pt>
                <c:pt idx="463">
                  <c:v>2.8900000000000002E-2</c:v>
                </c:pt>
                <c:pt idx="464">
                  <c:v>0.03</c:v>
                </c:pt>
                <c:pt idx="465">
                  <c:v>3.15E-2</c:v>
                </c:pt>
                <c:pt idx="466">
                  <c:v>3.1200000000000002E-2</c:v>
                </c:pt>
                <c:pt idx="467">
                  <c:v>2.8300000000000002E-2</c:v>
                </c:pt>
                <c:pt idx="468">
                  <c:v>2.7099999999999999E-2</c:v>
                </c:pt>
                <c:pt idx="469">
                  <c:v>2.6800000000000001E-2</c:v>
                </c:pt>
                <c:pt idx="470">
                  <c:v>2.5699999999999997E-2</c:v>
                </c:pt>
                <c:pt idx="471">
                  <c:v>2.53E-2</c:v>
                </c:pt>
                <c:pt idx="472">
                  <c:v>2.4E-2</c:v>
                </c:pt>
                <c:pt idx="473">
                  <c:v>2.07E-2</c:v>
                </c:pt>
                <c:pt idx="474">
                  <c:v>2.06E-2</c:v>
                </c:pt>
                <c:pt idx="475">
                  <c:v>1.6299999999999999E-2</c:v>
                </c:pt>
                <c:pt idx="476">
                  <c:v>1.7000000000000001E-2</c:v>
                </c:pt>
                <c:pt idx="477">
                  <c:v>1.7100000000000001E-2</c:v>
                </c:pt>
                <c:pt idx="478">
                  <c:v>1.8100000000000002E-2</c:v>
                </c:pt>
                <c:pt idx="479">
                  <c:v>1.8600000000000002E-2</c:v>
                </c:pt>
                <c:pt idx="480">
                  <c:v>1.7600000000000001E-2</c:v>
                </c:pt>
                <c:pt idx="481">
                  <c:v>1.4999999999999999E-2</c:v>
                </c:pt>
                <c:pt idx="482">
                  <c:v>8.6999999999999994E-3</c:v>
                </c:pt>
                <c:pt idx="483">
                  <c:v>6.6E-3</c:v>
                </c:pt>
                <c:pt idx="484">
                  <c:v>6.7000000000000002E-3</c:v>
                </c:pt>
                <c:pt idx="485">
                  <c:v>7.3000000000000001E-3</c:v>
                </c:pt>
                <c:pt idx="486">
                  <c:v>6.1999999999999998E-3</c:v>
                </c:pt>
                <c:pt idx="487">
                  <c:v>6.5000000000000006E-3</c:v>
                </c:pt>
                <c:pt idx="488">
                  <c:v>6.8000000000000005E-3</c:v>
                </c:pt>
                <c:pt idx="489">
                  <c:v>7.9000000000000008E-3</c:v>
                </c:pt>
                <c:pt idx="490">
                  <c:v>8.6999999999999994E-3</c:v>
                </c:pt>
                <c:pt idx="491">
                  <c:v>9.300000000000001E-3</c:v>
                </c:pt>
                <c:pt idx="492">
                  <c:v>1.0800000000000001E-2</c:v>
                </c:pt>
                <c:pt idx="493">
                  <c:v>1.26E-2</c:v>
                </c:pt>
                <c:pt idx="494">
                  <c:v>1.61E-2</c:v>
                </c:pt>
                <c:pt idx="495">
                  <c:v>1.6399999999999998E-2</c:v>
                </c:pt>
                <c:pt idx="496">
                  <c:v>1.6200000000000003E-2</c:v>
                </c:pt>
                <c:pt idx="497">
                  <c:v>1.52E-2</c:v>
                </c:pt>
                <c:pt idx="498">
                  <c:v>1.32E-2</c:v>
                </c:pt>
                <c:pt idx="499">
                  <c:v>1.2800000000000001E-2</c:v>
                </c:pt>
                <c:pt idx="500">
                  <c:v>1.37E-2</c:v>
                </c:pt>
                <c:pt idx="501">
                  <c:v>1.5800000000000002E-2</c:v>
                </c:pt>
                <c:pt idx="502">
                  <c:v>1.5600000000000001E-2</c:v>
                </c:pt>
                <c:pt idx="503">
                  <c:v>1.47E-2</c:v>
                </c:pt>
                <c:pt idx="504">
                  <c:v>1.7600000000000001E-2</c:v>
                </c:pt>
                <c:pt idx="505">
                  <c:v>1.9299999999999998E-2</c:v>
                </c:pt>
                <c:pt idx="506">
                  <c:v>2.1299999999999999E-2</c:v>
                </c:pt>
                <c:pt idx="507">
                  <c:v>2.75E-2</c:v>
                </c:pt>
                <c:pt idx="508">
                  <c:v>2.8999999999999998E-2</c:v>
                </c:pt>
                <c:pt idx="509">
                  <c:v>3.1400000000000004E-2</c:v>
                </c:pt>
                <c:pt idx="510">
                  <c:v>2.8999999999999998E-2</c:v>
                </c:pt>
                <c:pt idx="511">
                  <c:v>2.8999999999999998E-2</c:v>
                </c:pt>
                <c:pt idx="512">
                  <c:v>3.5200000000000002E-2</c:v>
                </c:pt>
                <c:pt idx="513">
                  <c:v>3.9800000000000002E-2</c:v>
                </c:pt>
                <c:pt idx="514">
                  <c:v>3.8900000000000004E-2</c:v>
                </c:pt>
                <c:pt idx="515">
                  <c:v>3.6200000000000003E-2</c:v>
                </c:pt>
                <c:pt idx="516">
                  <c:v>3.5299999999999998E-2</c:v>
                </c:pt>
                <c:pt idx="517">
                  <c:v>3.7499999999999999E-2</c:v>
                </c:pt>
                <c:pt idx="518">
                  <c:v>3.6600000000000001E-2</c:v>
                </c:pt>
                <c:pt idx="519">
                  <c:v>3.4599999999999999E-2</c:v>
                </c:pt>
                <c:pt idx="520">
                  <c:v>3.5699999999999996E-2</c:v>
                </c:pt>
                <c:pt idx="521">
                  <c:v>3.7499999999999999E-2</c:v>
                </c:pt>
                <c:pt idx="522">
                  <c:v>3.9E-2</c:v>
                </c:pt>
                <c:pt idx="523">
                  <c:v>4.1700000000000001E-2</c:v>
                </c:pt>
                <c:pt idx="524">
                  <c:v>4.3799999999999999E-2</c:v>
                </c:pt>
                <c:pt idx="525">
                  <c:v>4.8000000000000001E-2</c:v>
                </c:pt>
                <c:pt idx="526">
                  <c:v>4.4999999999999998E-2</c:v>
                </c:pt>
                <c:pt idx="527">
                  <c:v>4.0199999999999993E-2</c:v>
                </c:pt>
                <c:pt idx="528">
                  <c:v>4.0599999999999997E-2</c:v>
                </c:pt>
                <c:pt idx="529">
                  <c:v>4.2099999999999999E-2</c:v>
                </c:pt>
                <c:pt idx="530">
                  <c:v>4.2099999999999999E-2</c:v>
                </c:pt>
                <c:pt idx="531">
                  <c:v>4.5400000000000003E-2</c:v>
                </c:pt>
                <c:pt idx="532">
                  <c:v>4.4800000000000006E-2</c:v>
                </c:pt>
                <c:pt idx="533">
                  <c:v>4.3099999999999999E-2</c:v>
                </c:pt>
                <c:pt idx="534">
                  <c:v>4.2500000000000003E-2</c:v>
                </c:pt>
                <c:pt idx="535">
                  <c:v>3.8699999999999998E-2</c:v>
                </c:pt>
                <c:pt idx="536">
                  <c:v>3.7200000000000004E-2</c:v>
                </c:pt>
                <c:pt idx="537">
                  <c:v>4.0999999999999995E-2</c:v>
                </c:pt>
                <c:pt idx="538">
                  <c:v>4.36E-2</c:v>
                </c:pt>
                <c:pt idx="539">
                  <c:v>4.3899999999999995E-2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D-49FE-9E6B-05A8EA34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178816"/>
        <c:axId val="252180736"/>
      </c:lineChart>
      <c:dateAx>
        <c:axId val="252178816"/>
        <c:scaling>
          <c:orientation val="minMax"/>
        </c:scaling>
        <c:delete val="0"/>
        <c:axPos val="b"/>
        <c:title>
          <c:tx>
            <c:strRef>
              <c:f>'IV. 10Y Monthly'!$C$22</c:f>
              <c:strCache>
                <c:ptCount val="1"/>
                <c:pt idx="0">
                  <c:v>Source:  U.S. Federal Reserve</c:v>
                </c:pt>
              </c:strCache>
            </c:strRef>
          </c:tx>
          <c:layout>
            <c:manualLayout>
              <c:xMode val="edge"/>
              <c:yMode val="edge"/>
              <c:x val="0.38848086450568386"/>
              <c:y val="0.93908489050809163"/>
            </c:manualLayout>
          </c:layout>
          <c:overlay val="0"/>
          <c:txPr>
            <a:bodyPr/>
            <a:lstStyle/>
            <a:p>
              <a:pPr>
                <a:defRPr sz="800">
                  <a:solidFill>
                    <a:schemeClr val="bg1">
                      <a:lumMod val="50000"/>
                    </a:schemeClr>
                  </a:solidFill>
                </a:defRPr>
              </a:pPr>
              <a:endParaRPr lang="en-US"/>
            </a:p>
          </c:tx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5218073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52180736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2178816"/>
        <c:crosses val="autoZero"/>
        <c:crossBetween val="between"/>
        <c:minorUnit val="1.0000000000000002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ranklin Gothic Book"/>
          <a:ea typeface="Franklin Gothic Book"/>
          <a:cs typeface="Franklin Gothic Book"/>
        </a:defRPr>
      </a:pPr>
      <a:endParaRPr lang="en-US"/>
    </a:p>
  </c:txPr>
  <c:printSettings>
    <c:headerFooter alignWithMargins="0"/>
    <c:pageMargins b="1" l="0.75000000000000466" r="0.75000000000000466" t="1" header="0.5" footer="0.5"/>
    <c:pageSetup orientation="landscape" horizontalDpi="120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'V. 10Y Daily'!$B$2</c:f>
          <c:strCache>
            <c:ptCount val="1"/>
            <c:pt idx="0">
              <c:v>V. 10-Year Treasury Yield - Daily</c:v>
            </c:pt>
          </c:strCache>
        </c:strRef>
      </c:tx>
      <c:overlay val="0"/>
      <c:txPr>
        <a:bodyPr/>
        <a:lstStyle/>
        <a:p>
          <a:pPr>
            <a:defRPr sz="14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997579568451323E-2"/>
          <c:y val="0.16181747852144329"/>
          <c:w val="0.87182184070583491"/>
          <c:h val="0.6061292209269296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104985"/>
              </a:solidFill>
              <a:prstDash val="solid"/>
            </a:ln>
          </c:spPr>
          <c:marker>
            <c:symbol val="none"/>
          </c:marker>
          <c:cat>
            <c:numRef>
              <c:f>'V. 10Y Daily'!$B$30:$B$3922</c:f>
              <c:numCache>
                <c:formatCode>m/d/yyyy</c:formatCode>
                <c:ptCount val="3893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40245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40259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40269</c:v>
                </c:pt>
                <c:pt idx="62">
                  <c:v>40270</c:v>
                </c:pt>
                <c:pt idx="63">
                  <c:v>40273</c:v>
                </c:pt>
                <c:pt idx="64">
                  <c:v>40274</c:v>
                </c:pt>
                <c:pt idx="65">
                  <c:v>40275</c:v>
                </c:pt>
                <c:pt idx="66">
                  <c:v>40276</c:v>
                </c:pt>
                <c:pt idx="67">
                  <c:v>40277</c:v>
                </c:pt>
                <c:pt idx="68">
                  <c:v>40280</c:v>
                </c:pt>
                <c:pt idx="69">
                  <c:v>40281</c:v>
                </c:pt>
                <c:pt idx="70">
                  <c:v>40282</c:v>
                </c:pt>
                <c:pt idx="71">
                  <c:v>40283</c:v>
                </c:pt>
                <c:pt idx="72">
                  <c:v>40284</c:v>
                </c:pt>
                <c:pt idx="73">
                  <c:v>40287</c:v>
                </c:pt>
                <c:pt idx="74">
                  <c:v>40288</c:v>
                </c:pt>
                <c:pt idx="75">
                  <c:v>40289</c:v>
                </c:pt>
                <c:pt idx="76">
                  <c:v>40290</c:v>
                </c:pt>
                <c:pt idx="77">
                  <c:v>40291</c:v>
                </c:pt>
                <c:pt idx="78">
                  <c:v>40294</c:v>
                </c:pt>
                <c:pt idx="79">
                  <c:v>40295</c:v>
                </c:pt>
                <c:pt idx="80">
                  <c:v>40296</c:v>
                </c:pt>
                <c:pt idx="81">
                  <c:v>40297</c:v>
                </c:pt>
                <c:pt idx="82">
                  <c:v>40298</c:v>
                </c:pt>
                <c:pt idx="83">
                  <c:v>40301</c:v>
                </c:pt>
                <c:pt idx="84">
                  <c:v>40302</c:v>
                </c:pt>
                <c:pt idx="85">
                  <c:v>40303</c:v>
                </c:pt>
                <c:pt idx="86">
                  <c:v>40304</c:v>
                </c:pt>
                <c:pt idx="87">
                  <c:v>40305</c:v>
                </c:pt>
                <c:pt idx="88">
                  <c:v>40308</c:v>
                </c:pt>
                <c:pt idx="89">
                  <c:v>40309</c:v>
                </c:pt>
                <c:pt idx="90">
                  <c:v>40310</c:v>
                </c:pt>
                <c:pt idx="91">
                  <c:v>40311</c:v>
                </c:pt>
                <c:pt idx="92">
                  <c:v>40312</c:v>
                </c:pt>
                <c:pt idx="93">
                  <c:v>40315</c:v>
                </c:pt>
                <c:pt idx="94">
                  <c:v>40316</c:v>
                </c:pt>
                <c:pt idx="95">
                  <c:v>40317</c:v>
                </c:pt>
                <c:pt idx="96">
                  <c:v>40318</c:v>
                </c:pt>
                <c:pt idx="97">
                  <c:v>40319</c:v>
                </c:pt>
                <c:pt idx="98">
                  <c:v>40322</c:v>
                </c:pt>
                <c:pt idx="99">
                  <c:v>40323</c:v>
                </c:pt>
                <c:pt idx="100">
                  <c:v>40324</c:v>
                </c:pt>
                <c:pt idx="101">
                  <c:v>40325</c:v>
                </c:pt>
                <c:pt idx="102">
                  <c:v>40326</c:v>
                </c:pt>
                <c:pt idx="103">
                  <c:v>40330</c:v>
                </c:pt>
                <c:pt idx="104">
                  <c:v>40331</c:v>
                </c:pt>
                <c:pt idx="105">
                  <c:v>40332</c:v>
                </c:pt>
                <c:pt idx="106">
                  <c:v>40333</c:v>
                </c:pt>
                <c:pt idx="107">
                  <c:v>40336</c:v>
                </c:pt>
                <c:pt idx="108">
                  <c:v>40337</c:v>
                </c:pt>
                <c:pt idx="109">
                  <c:v>40338</c:v>
                </c:pt>
                <c:pt idx="110">
                  <c:v>40339</c:v>
                </c:pt>
                <c:pt idx="111">
                  <c:v>40340</c:v>
                </c:pt>
                <c:pt idx="112">
                  <c:v>40343</c:v>
                </c:pt>
                <c:pt idx="113">
                  <c:v>40344</c:v>
                </c:pt>
                <c:pt idx="114">
                  <c:v>40345</c:v>
                </c:pt>
                <c:pt idx="115">
                  <c:v>40346</c:v>
                </c:pt>
                <c:pt idx="116">
                  <c:v>40347</c:v>
                </c:pt>
                <c:pt idx="117">
                  <c:v>40350</c:v>
                </c:pt>
                <c:pt idx="118">
                  <c:v>40351</c:v>
                </c:pt>
                <c:pt idx="119">
                  <c:v>40352</c:v>
                </c:pt>
                <c:pt idx="120">
                  <c:v>40353</c:v>
                </c:pt>
                <c:pt idx="121">
                  <c:v>40354</c:v>
                </c:pt>
                <c:pt idx="122">
                  <c:v>40357</c:v>
                </c:pt>
                <c:pt idx="123">
                  <c:v>40358</c:v>
                </c:pt>
                <c:pt idx="124">
                  <c:v>40359</c:v>
                </c:pt>
                <c:pt idx="125">
                  <c:v>40360</c:v>
                </c:pt>
                <c:pt idx="126">
                  <c:v>40361</c:v>
                </c:pt>
                <c:pt idx="127">
                  <c:v>40365</c:v>
                </c:pt>
                <c:pt idx="128">
                  <c:v>40366</c:v>
                </c:pt>
                <c:pt idx="129">
                  <c:v>40367</c:v>
                </c:pt>
                <c:pt idx="130">
                  <c:v>40368</c:v>
                </c:pt>
                <c:pt idx="131">
                  <c:v>40371</c:v>
                </c:pt>
                <c:pt idx="132">
                  <c:v>40372</c:v>
                </c:pt>
                <c:pt idx="133">
                  <c:v>40373</c:v>
                </c:pt>
                <c:pt idx="134">
                  <c:v>40374</c:v>
                </c:pt>
                <c:pt idx="135">
                  <c:v>40375</c:v>
                </c:pt>
                <c:pt idx="136">
                  <c:v>40378</c:v>
                </c:pt>
                <c:pt idx="137">
                  <c:v>40379</c:v>
                </c:pt>
                <c:pt idx="138">
                  <c:v>40380</c:v>
                </c:pt>
                <c:pt idx="139">
                  <c:v>40381</c:v>
                </c:pt>
                <c:pt idx="140">
                  <c:v>40382</c:v>
                </c:pt>
                <c:pt idx="141">
                  <c:v>40385</c:v>
                </c:pt>
                <c:pt idx="142">
                  <c:v>40386</c:v>
                </c:pt>
                <c:pt idx="143">
                  <c:v>40387</c:v>
                </c:pt>
                <c:pt idx="144">
                  <c:v>40388</c:v>
                </c:pt>
                <c:pt idx="145">
                  <c:v>40389</c:v>
                </c:pt>
                <c:pt idx="146">
                  <c:v>40392</c:v>
                </c:pt>
                <c:pt idx="147">
                  <c:v>40393</c:v>
                </c:pt>
                <c:pt idx="148">
                  <c:v>40394</c:v>
                </c:pt>
                <c:pt idx="149">
                  <c:v>40395</c:v>
                </c:pt>
                <c:pt idx="150">
                  <c:v>40396</c:v>
                </c:pt>
                <c:pt idx="151">
                  <c:v>40399</c:v>
                </c:pt>
                <c:pt idx="152">
                  <c:v>40400</c:v>
                </c:pt>
                <c:pt idx="153">
                  <c:v>40401</c:v>
                </c:pt>
                <c:pt idx="154">
                  <c:v>40402</c:v>
                </c:pt>
                <c:pt idx="155">
                  <c:v>40403</c:v>
                </c:pt>
                <c:pt idx="156">
                  <c:v>40406</c:v>
                </c:pt>
                <c:pt idx="157">
                  <c:v>40407</c:v>
                </c:pt>
                <c:pt idx="158">
                  <c:v>40408</c:v>
                </c:pt>
                <c:pt idx="159">
                  <c:v>40409</c:v>
                </c:pt>
                <c:pt idx="160">
                  <c:v>40410</c:v>
                </c:pt>
                <c:pt idx="161">
                  <c:v>40413</c:v>
                </c:pt>
                <c:pt idx="162">
                  <c:v>40414</c:v>
                </c:pt>
                <c:pt idx="163">
                  <c:v>40415</c:v>
                </c:pt>
                <c:pt idx="164">
                  <c:v>40416</c:v>
                </c:pt>
                <c:pt idx="165">
                  <c:v>40417</c:v>
                </c:pt>
                <c:pt idx="166">
                  <c:v>40420</c:v>
                </c:pt>
                <c:pt idx="167">
                  <c:v>40421</c:v>
                </c:pt>
                <c:pt idx="168">
                  <c:v>40422</c:v>
                </c:pt>
                <c:pt idx="169">
                  <c:v>40423</c:v>
                </c:pt>
                <c:pt idx="170">
                  <c:v>40424</c:v>
                </c:pt>
                <c:pt idx="171">
                  <c:v>40428</c:v>
                </c:pt>
                <c:pt idx="172">
                  <c:v>40429</c:v>
                </c:pt>
                <c:pt idx="173">
                  <c:v>40430</c:v>
                </c:pt>
                <c:pt idx="174">
                  <c:v>40431</c:v>
                </c:pt>
                <c:pt idx="175">
                  <c:v>40434</c:v>
                </c:pt>
                <c:pt idx="176">
                  <c:v>40435</c:v>
                </c:pt>
                <c:pt idx="177">
                  <c:v>40436</c:v>
                </c:pt>
                <c:pt idx="178">
                  <c:v>40437</c:v>
                </c:pt>
                <c:pt idx="179">
                  <c:v>40438</c:v>
                </c:pt>
                <c:pt idx="180">
                  <c:v>40441</c:v>
                </c:pt>
                <c:pt idx="181">
                  <c:v>40442</c:v>
                </c:pt>
                <c:pt idx="182">
                  <c:v>40443</c:v>
                </c:pt>
                <c:pt idx="183">
                  <c:v>40444</c:v>
                </c:pt>
                <c:pt idx="184">
                  <c:v>40445</c:v>
                </c:pt>
                <c:pt idx="185">
                  <c:v>40448</c:v>
                </c:pt>
                <c:pt idx="186">
                  <c:v>40449</c:v>
                </c:pt>
                <c:pt idx="187">
                  <c:v>40450</c:v>
                </c:pt>
                <c:pt idx="188">
                  <c:v>40451</c:v>
                </c:pt>
                <c:pt idx="189">
                  <c:v>40452</c:v>
                </c:pt>
                <c:pt idx="190">
                  <c:v>40455</c:v>
                </c:pt>
                <c:pt idx="191">
                  <c:v>40456</c:v>
                </c:pt>
                <c:pt idx="192">
                  <c:v>40457</c:v>
                </c:pt>
                <c:pt idx="193">
                  <c:v>40458</c:v>
                </c:pt>
                <c:pt idx="194">
                  <c:v>40459</c:v>
                </c:pt>
                <c:pt idx="195">
                  <c:v>40463</c:v>
                </c:pt>
                <c:pt idx="196">
                  <c:v>40464</c:v>
                </c:pt>
                <c:pt idx="197">
                  <c:v>40465</c:v>
                </c:pt>
                <c:pt idx="198">
                  <c:v>40466</c:v>
                </c:pt>
                <c:pt idx="199">
                  <c:v>40469</c:v>
                </c:pt>
                <c:pt idx="200">
                  <c:v>40470</c:v>
                </c:pt>
                <c:pt idx="201">
                  <c:v>40471</c:v>
                </c:pt>
                <c:pt idx="202">
                  <c:v>40472</c:v>
                </c:pt>
                <c:pt idx="203">
                  <c:v>40473</c:v>
                </c:pt>
                <c:pt idx="204">
                  <c:v>40476</c:v>
                </c:pt>
                <c:pt idx="205">
                  <c:v>40477</c:v>
                </c:pt>
                <c:pt idx="206">
                  <c:v>40478</c:v>
                </c:pt>
                <c:pt idx="207">
                  <c:v>40479</c:v>
                </c:pt>
                <c:pt idx="208">
                  <c:v>40480</c:v>
                </c:pt>
                <c:pt idx="209">
                  <c:v>40483</c:v>
                </c:pt>
                <c:pt idx="210">
                  <c:v>40484</c:v>
                </c:pt>
                <c:pt idx="211">
                  <c:v>40485</c:v>
                </c:pt>
                <c:pt idx="212">
                  <c:v>40486</c:v>
                </c:pt>
                <c:pt idx="213">
                  <c:v>40487</c:v>
                </c:pt>
                <c:pt idx="214">
                  <c:v>40490</c:v>
                </c:pt>
                <c:pt idx="215">
                  <c:v>40491</c:v>
                </c:pt>
                <c:pt idx="216">
                  <c:v>40492</c:v>
                </c:pt>
                <c:pt idx="217">
                  <c:v>40494</c:v>
                </c:pt>
                <c:pt idx="218">
                  <c:v>40497</c:v>
                </c:pt>
                <c:pt idx="219">
                  <c:v>40498</c:v>
                </c:pt>
                <c:pt idx="220">
                  <c:v>40499</c:v>
                </c:pt>
                <c:pt idx="221">
                  <c:v>40500</c:v>
                </c:pt>
                <c:pt idx="222">
                  <c:v>40501</c:v>
                </c:pt>
                <c:pt idx="223">
                  <c:v>40504</c:v>
                </c:pt>
                <c:pt idx="224">
                  <c:v>40505</c:v>
                </c:pt>
                <c:pt idx="225">
                  <c:v>40506</c:v>
                </c:pt>
                <c:pt idx="226">
                  <c:v>40508</c:v>
                </c:pt>
                <c:pt idx="227">
                  <c:v>40511</c:v>
                </c:pt>
                <c:pt idx="228">
                  <c:v>40512</c:v>
                </c:pt>
                <c:pt idx="229">
                  <c:v>40513</c:v>
                </c:pt>
                <c:pt idx="230">
                  <c:v>40514</c:v>
                </c:pt>
                <c:pt idx="231">
                  <c:v>40515</c:v>
                </c:pt>
                <c:pt idx="232">
                  <c:v>40518</c:v>
                </c:pt>
                <c:pt idx="233">
                  <c:v>40519</c:v>
                </c:pt>
                <c:pt idx="234">
                  <c:v>40520</c:v>
                </c:pt>
                <c:pt idx="235">
                  <c:v>40521</c:v>
                </c:pt>
                <c:pt idx="236">
                  <c:v>40522</c:v>
                </c:pt>
                <c:pt idx="237">
                  <c:v>40525</c:v>
                </c:pt>
                <c:pt idx="238">
                  <c:v>40526</c:v>
                </c:pt>
                <c:pt idx="239">
                  <c:v>40527</c:v>
                </c:pt>
                <c:pt idx="240">
                  <c:v>40528</c:v>
                </c:pt>
                <c:pt idx="241">
                  <c:v>40529</c:v>
                </c:pt>
                <c:pt idx="242">
                  <c:v>40532</c:v>
                </c:pt>
                <c:pt idx="243">
                  <c:v>40533</c:v>
                </c:pt>
                <c:pt idx="244">
                  <c:v>40534</c:v>
                </c:pt>
                <c:pt idx="245">
                  <c:v>40535</c:v>
                </c:pt>
                <c:pt idx="246">
                  <c:v>40539</c:v>
                </c:pt>
                <c:pt idx="247">
                  <c:v>40540</c:v>
                </c:pt>
                <c:pt idx="248">
                  <c:v>40541</c:v>
                </c:pt>
                <c:pt idx="249">
                  <c:v>40542</c:v>
                </c:pt>
                <c:pt idx="250">
                  <c:v>40543</c:v>
                </c:pt>
                <c:pt idx="251">
                  <c:v>40546</c:v>
                </c:pt>
                <c:pt idx="252">
                  <c:v>40547</c:v>
                </c:pt>
                <c:pt idx="253">
                  <c:v>40548</c:v>
                </c:pt>
                <c:pt idx="254">
                  <c:v>40549</c:v>
                </c:pt>
                <c:pt idx="255">
                  <c:v>40550</c:v>
                </c:pt>
                <c:pt idx="256">
                  <c:v>40553</c:v>
                </c:pt>
                <c:pt idx="257">
                  <c:v>40554</c:v>
                </c:pt>
                <c:pt idx="258">
                  <c:v>40555</c:v>
                </c:pt>
                <c:pt idx="259">
                  <c:v>40556</c:v>
                </c:pt>
                <c:pt idx="260">
                  <c:v>40557</c:v>
                </c:pt>
                <c:pt idx="261">
                  <c:v>40561</c:v>
                </c:pt>
                <c:pt idx="262">
                  <c:v>40562</c:v>
                </c:pt>
                <c:pt idx="263">
                  <c:v>40563</c:v>
                </c:pt>
                <c:pt idx="264">
                  <c:v>40564</c:v>
                </c:pt>
                <c:pt idx="265">
                  <c:v>40567</c:v>
                </c:pt>
                <c:pt idx="266">
                  <c:v>40568</c:v>
                </c:pt>
                <c:pt idx="267">
                  <c:v>40569</c:v>
                </c:pt>
                <c:pt idx="268">
                  <c:v>40570</c:v>
                </c:pt>
                <c:pt idx="269">
                  <c:v>40571</c:v>
                </c:pt>
                <c:pt idx="270">
                  <c:v>40574</c:v>
                </c:pt>
                <c:pt idx="271">
                  <c:v>40575</c:v>
                </c:pt>
                <c:pt idx="272">
                  <c:v>40576</c:v>
                </c:pt>
                <c:pt idx="273">
                  <c:v>40577</c:v>
                </c:pt>
                <c:pt idx="274">
                  <c:v>40578</c:v>
                </c:pt>
                <c:pt idx="275">
                  <c:v>40581</c:v>
                </c:pt>
                <c:pt idx="276">
                  <c:v>40582</c:v>
                </c:pt>
                <c:pt idx="277">
                  <c:v>40583</c:v>
                </c:pt>
                <c:pt idx="278">
                  <c:v>40584</c:v>
                </c:pt>
                <c:pt idx="279">
                  <c:v>40585</c:v>
                </c:pt>
                <c:pt idx="280">
                  <c:v>40588</c:v>
                </c:pt>
                <c:pt idx="281">
                  <c:v>40589</c:v>
                </c:pt>
                <c:pt idx="282">
                  <c:v>40590</c:v>
                </c:pt>
                <c:pt idx="283">
                  <c:v>40591</c:v>
                </c:pt>
                <c:pt idx="284">
                  <c:v>40592</c:v>
                </c:pt>
                <c:pt idx="285">
                  <c:v>40596</c:v>
                </c:pt>
                <c:pt idx="286">
                  <c:v>40597</c:v>
                </c:pt>
                <c:pt idx="287">
                  <c:v>40598</c:v>
                </c:pt>
                <c:pt idx="288">
                  <c:v>40599</c:v>
                </c:pt>
                <c:pt idx="289">
                  <c:v>40602</c:v>
                </c:pt>
                <c:pt idx="290">
                  <c:v>40603</c:v>
                </c:pt>
                <c:pt idx="291">
                  <c:v>40604</c:v>
                </c:pt>
                <c:pt idx="292">
                  <c:v>40605</c:v>
                </c:pt>
                <c:pt idx="293">
                  <c:v>40606</c:v>
                </c:pt>
                <c:pt idx="294">
                  <c:v>40609</c:v>
                </c:pt>
                <c:pt idx="295">
                  <c:v>40610</c:v>
                </c:pt>
                <c:pt idx="296">
                  <c:v>40611</c:v>
                </c:pt>
                <c:pt idx="297">
                  <c:v>40612</c:v>
                </c:pt>
                <c:pt idx="298">
                  <c:v>40613</c:v>
                </c:pt>
                <c:pt idx="299">
                  <c:v>40616</c:v>
                </c:pt>
                <c:pt idx="300">
                  <c:v>40617</c:v>
                </c:pt>
                <c:pt idx="301">
                  <c:v>40618</c:v>
                </c:pt>
                <c:pt idx="302">
                  <c:v>40619</c:v>
                </c:pt>
                <c:pt idx="303">
                  <c:v>40620</c:v>
                </c:pt>
                <c:pt idx="304">
                  <c:v>40623</c:v>
                </c:pt>
                <c:pt idx="305">
                  <c:v>40624</c:v>
                </c:pt>
                <c:pt idx="306">
                  <c:v>40625</c:v>
                </c:pt>
                <c:pt idx="307">
                  <c:v>40626</c:v>
                </c:pt>
                <c:pt idx="308">
                  <c:v>40627</c:v>
                </c:pt>
                <c:pt idx="309">
                  <c:v>40630</c:v>
                </c:pt>
                <c:pt idx="310">
                  <c:v>40631</c:v>
                </c:pt>
                <c:pt idx="311">
                  <c:v>40632</c:v>
                </c:pt>
                <c:pt idx="312">
                  <c:v>40633</c:v>
                </c:pt>
                <c:pt idx="313">
                  <c:v>40634</c:v>
                </c:pt>
                <c:pt idx="314">
                  <c:v>40637</c:v>
                </c:pt>
                <c:pt idx="315">
                  <c:v>40638</c:v>
                </c:pt>
                <c:pt idx="316">
                  <c:v>40639</c:v>
                </c:pt>
                <c:pt idx="317">
                  <c:v>40640</c:v>
                </c:pt>
                <c:pt idx="318">
                  <c:v>40641</c:v>
                </c:pt>
                <c:pt idx="319">
                  <c:v>40644</c:v>
                </c:pt>
                <c:pt idx="320">
                  <c:v>40645</c:v>
                </c:pt>
                <c:pt idx="321">
                  <c:v>40646</c:v>
                </c:pt>
                <c:pt idx="322">
                  <c:v>40647</c:v>
                </c:pt>
                <c:pt idx="323">
                  <c:v>40648</c:v>
                </c:pt>
                <c:pt idx="324">
                  <c:v>40651</c:v>
                </c:pt>
                <c:pt idx="325">
                  <c:v>40652</c:v>
                </c:pt>
                <c:pt idx="326">
                  <c:v>40653</c:v>
                </c:pt>
                <c:pt idx="327">
                  <c:v>40654</c:v>
                </c:pt>
                <c:pt idx="328">
                  <c:v>40658</c:v>
                </c:pt>
                <c:pt idx="329">
                  <c:v>40659</c:v>
                </c:pt>
                <c:pt idx="330">
                  <c:v>40660</c:v>
                </c:pt>
                <c:pt idx="331">
                  <c:v>40661</c:v>
                </c:pt>
                <c:pt idx="332">
                  <c:v>40662</c:v>
                </c:pt>
                <c:pt idx="333">
                  <c:v>40665</c:v>
                </c:pt>
                <c:pt idx="334">
                  <c:v>40666</c:v>
                </c:pt>
                <c:pt idx="335">
                  <c:v>40667</c:v>
                </c:pt>
                <c:pt idx="336">
                  <c:v>40668</c:v>
                </c:pt>
                <c:pt idx="337">
                  <c:v>40669</c:v>
                </c:pt>
                <c:pt idx="338">
                  <c:v>40672</c:v>
                </c:pt>
                <c:pt idx="339">
                  <c:v>40673</c:v>
                </c:pt>
                <c:pt idx="340">
                  <c:v>40674</c:v>
                </c:pt>
                <c:pt idx="341">
                  <c:v>40675</c:v>
                </c:pt>
                <c:pt idx="342">
                  <c:v>40676</c:v>
                </c:pt>
                <c:pt idx="343">
                  <c:v>40679</c:v>
                </c:pt>
                <c:pt idx="344">
                  <c:v>40680</c:v>
                </c:pt>
                <c:pt idx="345">
                  <c:v>40681</c:v>
                </c:pt>
                <c:pt idx="346">
                  <c:v>40682</c:v>
                </c:pt>
                <c:pt idx="347">
                  <c:v>40683</c:v>
                </c:pt>
                <c:pt idx="348">
                  <c:v>40686</c:v>
                </c:pt>
                <c:pt idx="349">
                  <c:v>40687</c:v>
                </c:pt>
                <c:pt idx="350">
                  <c:v>40688</c:v>
                </c:pt>
                <c:pt idx="351">
                  <c:v>40689</c:v>
                </c:pt>
                <c:pt idx="352">
                  <c:v>40690</c:v>
                </c:pt>
                <c:pt idx="353">
                  <c:v>40694</c:v>
                </c:pt>
                <c:pt idx="354">
                  <c:v>40695</c:v>
                </c:pt>
                <c:pt idx="355">
                  <c:v>40696</c:v>
                </c:pt>
                <c:pt idx="356">
                  <c:v>40697</c:v>
                </c:pt>
                <c:pt idx="357">
                  <c:v>40700</c:v>
                </c:pt>
                <c:pt idx="358">
                  <c:v>40701</c:v>
                </c:pt>
                <c:pt idx="359">
                  <c:v>40702</c:v>
                </c:pt>
                <c:pt idx="360">
                  <c:v>40703</c:v>
                </c:pt>
                <c:pt idx="361">
                  <c:v>40704</c:v>
                </c:pt>
                <c:pt idx="362">
                  <c:v>40707</c:v>
                </c:pt>
                <c:pt idx="363">
                  <c:v>40708</c:v>
                </c:pt>
                <c:pt idx="364">
                  <c:v>40709</c:v>
                </c:pt>
                <c:pt idx="365">
                  <c:v>40710</c:v>
                </c:pt>
                <c:pt idx="366">
                  <c:v>40711</c:v>
                </c:pt>
                <c:pt idx="367">
                  <c:v>40714</c:v>
                </c:pt>
                <c:pt idx="368">
                  <c:v>40715</c:v>
                </c:pt>
                <c:pt idx="369">
                  <c:v>40716</c:v>
                </c:pt>
                <c:pt idx="370">
                  <c:v>40717</c:v>
                </c:pt>
                <c:pt idx="371">
                  <c:v>40718</c:v>
                </c:pt>
                <c:pt idx="372">
                  <c:v>40721</c:v>
                </c:pt>
                <c:pt idx="373">
                  <c:v>40722</c:v>
                </c:pt>
                <c:pt idx="374">
                  <c:v>40723</c:v>
                </c:pt>
                <c:pt idx="375">
                  <c:v>40724</c:v>
                </c:pt>
                <c:pt idx="376">
                  <c:v>40725</c:v>
                </c:pt>
                <c:pt idx="377">
                  <c:v>40729</c:v>
                </c:pt>
                <c:pt idx="378">
                  <c:v>40730</c:v>
                </c:pt>
                <c:pt idx="379">
                  <c:v>40731</c:v>
                </c:pt>
                <c:pt idx="380">
                  <c:v>40732</c:v>
                </c:pt>
                <c:pt idx="381">
                  <c:v>40735</c:v>
                </c:pt>
                <c:pt idx="382">
                  <c:v>40736</c:v>
                </c:pt>
                <c:pt idx="383">
                  <c:v>40737</c:v>
                </c:pt>
                <c:pt idx="384">
                  <c:v>40738</c:v>
                </c:pt>
                <c:pt idx="385">
                  <c:v>40739</c:v>
                </c:pt>
                <c:pt idx="386">
                  <c:v>40742</c:v>
                </c:pt>
                <c:pt idx="387">
                  <c:v>40743</c:v>
                </c:pt>
                <c:pt idx="388">
                  <c:v>40744</c:v>
                </c:pt>
                <c:pt idx="389">
                  <c:v>40745</c:v>
                </c:pt>
                <c:pt idx="390">
                  <c:v>40746</c:v>
                </c:pt>
                <c:pt idx="391">
                  <c:v>40749</c:v>
                </c:pt>
                <c:pt idx="392">
                  <c:v>40750</c:v>
                </c:pt>
                <c:pt idx="393">
                  <c:v>40751</c:v>
                </c:pt>
                <c:pt idx="394">
                  <c:v>40752</c:v>
                </c:pt>
                <c:pt idx="395">
                  <c:v>40753</c:v>
                </c:pt>
                <c:pt idx="396">
                  <c:v>40756</c:v>
                </c:pt>
                <c:pt idx="397">
                  <c:v>40757</c:v>
                </c:pt>
                <c:pt idx="398">
                  <c:v>40758</c:v>
                </c:pt>
                <c:pt idx="399">
                  <c:v>40759</c:v>
                </c:pt>
                <c:pt idx="400">
                  <c:v>40760</c:v>
                </c:pt>
                <c:pt idx="401">
                  <c:v>40763</c:v>
                </c:pt>
                <c:pt idx="402">
                  <c:v>40764</c:v>
                </c:pt>
                <c:pt idx="403">
                  <c:v>40765</c:v>
                </c:pt>
                <c:pt idx="404">
                  <c:v>40766</c:v>
                </c:pt>
                <c:pt idx="405">
                  <c:v>40767</c:v>
                </c:pt>
                <c:pt idx="406">
                  <c:v>40770</c:v>
                </c:pt>
                <c:pt idx="407">
                  <c:v>40771</c:v>
                </c:pt>
                <c:pt idx="408">
                  <c:v>40772</c:v>
                </c:pt>
                <c:pt idx="409">
                  <c:v>40773</c:v>
                </c:pt>
                <c:pt idx="410">
                  <c:v>40774</c:v>
                </c:pt>
                <c:pt idx="411">
                  <c:v>40777</c:v>
                </c:pt>
                <c:pt idx="412">
                  <c:v>40778</c:v>
                </c:pt>
                <c:pt idx="413">
                  <c:v>40779</c:v>
                </c:pt>
                <c:pt idx="414">
                  <c:v>40780</c:v>
                </c:pt>
                <c:pt idx="415">
                  <c:v>40781</c:v>
                </c:pt>
                <c:pt idx="416">
                  <c:v>40784</c:v>
                </c:pt>
                <c:pt idx="417">
                  <c:v>40785</c:v>
                </c:pt>
                <c:pt idx="418">
                  <c:v>40786</c:v>
                </c:pt>
                <c:pt idx="419">
                  <c:v>40787</c:v>
                </c:pt>
                <c:pt idx="420">
                  <c:v>40788</c:v>
                </c:pt>
                <c:pt idx="421">
                  <c:v>40792</c:v>
                </c:pt>
                <c:pt idx="422">
                  <c:v>40793</c:v>
                </c:pt>
                <c:pt idx="423">
                  <c:v>40794</c:v>
                </c:pt>
                <c:pt idx="424">
                  <c:v>40795</c:v>
                </c:pt>
                <c:pt idx="425">
                  <c:v>40798</c:v>
                </c:pt>
                <c:pt idx="426">
                  <c:v>40799</c:v>
                </c:pt>
                <c:pt idx="427">
                  <c:v>40800</c:v>
                </c:pt>
                <c:pt idx="428">
                  <c:v>40801</c:v>
                </c:pt>
                <c:pt idx="429">
                  <c:v>40802</c:v>
                </c:pt>
                <c:pt idx="430">
                  <c:v>40805</c:v>
                </c:pt>
                <c:pt idx="431">
                  <c:v>40806</c:v>
                </c:pt>
                <c:pt idx="432">
                  <c:v>40807</c:v>
                </c:pt>
                <c:pt idx="433">
                  <c:v>40808</c:v>
                </c:pt>
                <c:pt idx="434">
                  <c:v>40809</c:v>
                </c:pt>
                <c:pt idx="435">
                  <c:v>40812</c:v>
                </c:pt>
                <c:pt idx="436">
                  <c:v>40813</c:v>
                </c:pt>
                <c:pt idx="437">
                  <c:v>40814</c:v>
                </c:pt>
                <c:pt idx="438">
                  <c:v>40815</c:v>
                </c:pt>
                <c:pt idx="439">
                  <c:v>40816</c:v>
                </c:pt>
                <c:pt idx="440">
                  <c:v>40819</c:v>
                </c:pt>
                <c:pt idx="441">
                  <c:v>40820</c:v>
                </c:pt>
                <c:pt idx="442">
                  <c:v>40821</c:v>
                </c:pt>
                <c:pt idx="443">
                  <c:v>40822</c:v>
                </c:pt>
                <c:pt idx="444">
                  <c:v>40823</c:v>
                </c:pt>
                <c:pt idx="445">
                  <c:v>40827</c:v>
                </c:pt>
                <c:pt idx="446">
                  <c:v>40828</c:v>
                </c:pt>
                <c:pt idx="447">
                  <c:v>40829</c:v>
                </c:pt>
                <c:pt idx="448">
                  <c:v>40830</c:v>
                </c:pt>
                <c:pt idx="449">
                  <c:v>40833</c:v>
                </c:pt>
                <c:pt idx="450">
                  <c:v>40834</c:v>
                </c:pt>
                <c:pt idx="451">
                  <c:v>40835</c:v>
                </c:pt>
                <c:pt idx="452">
                  <c:v>40836</c:v>
                </c:pt>
                <c:pt idx="453">
                  <c:v>40837</c:v>
                </c:pt>
                <c:pt idx="454">
                  <c:v>40840</c:v>
                </c:pt>
                <c:pt idx="455">
                  <c:v>40841</c:v>
                </c:pt>
                <c:pt idx="456">
                  <c:v>40842</c:v>
                </c:pt>
                <c:pt idx="457">
                  <c:v>40843</c:v>
                </c:pt>
                <c:pt idx="458">
                  <c:v>40844</c:v>
                </c:pt>
                <c:pt idx="459">
                  <c:v>40847</c:v>
                </c:pt>
                <c:pt idx="460">
                  <c:v>40848</c:v>
                </c:pt>
                <c:pt idx="461">
                  <c:v>40849</c:v>
                </c:pt>
                <c:pt idx="462">
                  <c:v>40850</c:v>
                </c:pt>
                <c:pt idx="463">
                  <c:v>40851</c:v>
                </c:pt>
                <c:pt idx="464">
                  <c:v>40854</c:v>
                </c:pt>
                <c:pt idx="465">
                  <c:v>40855</c:v>
                </c:pt>
                <c:pt idx="466">
                  <c:v>40856</c:v>
                </c:pt>
                <c:pt idx="467">
                  <c:v>40857</c:v>
                </c:pt>
                <c:pt idx="468">
                  <c:v>40861</c:v>
                </c:pt>
                <c:pt idx="469">
                  <c:v>40862</c:v>
                </c:pt>
                <c:pt idx="470">
                  <c:v>40863</c:v>
                </c:pt>
                <c:pt idx="471">
                  <c:v>40864</c:v>
                </c:pt>
                <c:pt idx="472">
                  <c:v>40865</c:v>
                </c:pt>
                <c:pt idx="473">
                  <c:v>40868</c:v>
                </c:pt>
                <c:pt idx="474">
                  <c:v>40869</c:v>
                </c:pt>
                <c:pt idx="475">
                  <c:v>40870</c:v>
                </c:pt>
                <c:pt idx="476">
                  <c:v>40872</c:v>
                </c:pt>
                <c:pt idx="477">
                  <c:v>40875</c:v>
                </c:pt>
                <c:pt idx="478">
                  <c:v>40876</c:v>
                </c:pt>
                <c:pt idx="479">
                  <c:v>40877</c:v>
                </c:pt>
                <c:pt idx="480">
                  <c:v>40878</c:v>
                </c:pt>
                <c:pt idx="481">
                  <c:v>40879</c:v>
                </c:pt>
                <c:pt idx="482">
                  <c:v>40882</c:v>
                </c:pt>
                <c:pt idx="483">
                  <c:v>40883</c:v>
                </c:pt>
                <c:pt idx="484">
                  <c:v>40884</c:v>
                </c:pt>
                <c:pt idx="485">
                  <c:v>40885</c:v>
                </c:pt>
                <c:pt idx="486">
                  <c:v>40886</c:v>
                </c:pt>
                <c:pt idx="487">
                  <c:v>40889</c:v>
                </c:pt>
                <c:pt idx="488">
                  <c:v>40890</c:v>
                </c:pt>
                <c:pt idx="489">
                  <c:v>40891</c:v>
                </c:pt>
                <c:pt idx="490">
                  <c:v>40892</c:v>
                </c:pt>
                <c:pt idx="491">
                  <c:v>40893</c:v>
                </c:pt>
                <c:pt idx="492">
                  <c:v>40896</c:v>
                </c:pt>
                <c:pt idx="493">
                  <c:v>40897</c:v>
                </c:pt>
                <c:pt idx="494">
                  <c:v>40898</c:v>
                </c:pt>
                <c:pt idx="495">
                  <c:v>40899</c:v>
                </c:pt>
                <c:pt idx="496">
                  <c:v>40900</c:v>
                </c:pt>
                <c:pt idx="497">
                  <c:v>40904</c:v>
                </c:pt>
                <c:pt idx="498">
                  <c:v>40905</c:v>
                </c:pt>
                <c:pt idx="499">
                  <c:v>40906</c:v>
                </c:pt>
                <c:pt idx="500">
                  <c:v>40907</c:v>
                </c:pt>
                <c:pt idx="501">
                  <c:v>40910</c:v>
                </c:pt>
                <c:pt idx="502">
                  <c:v>40911</c:v>
                </c:pt>
                <c:pt idx="503">
                  <c:v>40912</c:v>
                </c:pt>
                <c:pt idx="504">
                  <c:v>40913</c:v>
                </c:pt>
                <c:pt idx="505">
                  <c:v>40914</c:v>
                </c:pt>
                <c:pt idx="506">
                  <c:v>40917</c:v>
                </c:pt>
                <c:pt idx="507">
                  <c:v>40918</c:v>
                </c:pt>
                <c:pt idx="508">
                  <c:v>40919</c:v>
                </c:pt>
                <c:pt idx="509">
                  <c:v>40920</c:v>
                </c:pt>
                <c:pt idx="510">
                  <c:v>40921</c:v>
                </c:pt>
                <c:pt idx="511">
                  <c:v>40924</c:v>
                </c:pt>
                <c:pt idx="512">
                  <c:v>40925</c:v>
                </c:pt>
                <c:pt idx="513">
                  <c:v>40926</c:v>
                </c:pt>
                <c:pt idx="514">
                  <c:v>40927</c:v>
                </c:pt>
                <c:pt idx="515">
                  <c:v>40928</c:v>
                </c:pt>
                <c:pt idx="516">
                  <c:v>40931</c:v>
                </c:pt>
                <c:pt idx="517">
                  <c:v>40932</c:v>
                </c:pt>
                <c:pt idx="518">
                  <c:v>40933</c:v>
                </c:pt>
                <c:pt idx="519">
                  <c:v>40934</c:v>
                </c:pt>
                <c:pt idx="520">
                  <c:v>40935</c:v>
                </c:pt>
                <c:pt idx="521">
                  <c:v>40938</c:v>
                </c:pt>
                <c:pt idx="522">
                  <c:v>40939</c:v>
                </c:pt>
                <c:pt idx="523">
                  <c:v>40940</c:v>
                </c:pt>
                <c:pt idx="524">
                  <c:v>40941</c:v>
                </c:pt>
                <c:pt idx="525">
                  <c:v>40942</c:v>
                </c:pt>
                <c:pt idx="526">
                  <c:v>40945</c:v>
                </c:pt>
                <c:pt idx="527">
                  <c:v>40946</c:v>
                </c:pt>
                <c:pt idx="528">
                  <c:v>40947</c:v>
                </c:pt>
                <c:pt idx="529">
                  <c:v>40948</c:v>
                </c:pt>
                <c:pt idx="530">
                  <c:v>40949</c:v>
                </c:pt>
                <c:pt idx="531">
                  <c:v>40952</c:v>
                </c:pt>
                <c:pt idx="532">
                  <c:v>40953</c:v>
                </c:pt>
                <c:pt idx="533">
                  <c:v>40954</c:v>
                </c:pt>
                <c:pt idx="534">
                  <c:v>40955</c:v>
                </c:pt>
                <c:pt idx="535">
                  <c:v>40956</c:v>
                </c:pt>
                <c:pt idx="536">
                  <c:v>40959</c:v>
                </c:pt>
                <c:pt idx="537">
                  <c:v>40960</c:v>
                </c:pt>
                <c:pt idx="538">
                  <c:v>40961</c:v>
                </c:pt>
                <c:pt idx="539">
                  <c:v>40962</c:v>
                </c:pt>
                <c:pt idx="540">
                  <c:v>40963</c:v>
                </c:pt>
                <c:pt idx="541">
                  <c:v>40966</c:v>
                </c:pt>
                <c:pt idx="542">
                  <c:v>40967</c:v>
                </c:pt>
                <c:pt idx="543">
                  <c:v>40968</c:v>
                </c:pt>
                <c:pt idx="544">
                  <c:v>40969</c:v>
                </c:pt>
                <c:pt idx="545">
                  <c:v>40970</c:v>
                </c:pt>
                <c:pt idx="546">
                  <c:v>40973</c:v>
                </c:pt>
                <c:pt idx="547">
                  <c:v>40974</c:v>
                </c:pt>
                <c:pt idx="548">
                  <c:v>40975</c:v>
                </c:pt>
                <c:pt idx="549">
                  <c:v>40976</c:v>
                </c:pt>
                <c:pt idx="550">
                  <c:v>40977</c:v>
                </c:pt>
                <c:pt idx="551">
                  <c:v>40980</c:v>
                </c:pt>
                <c:pt idx="552">
                  <c:v>40981</c:v>
                </c:pt>
                <c:pt idx="553">
                  <c:v>40982</c:v>
                </c:pt>
                <c:pt idx="554">
                  <c:v>40983</c:v>
                </c:pt>
                <c:pt idx="555">
                  <c:v>40984</c:v>
                </c:pt>
                <c:pt idx="556">
                  <c:v>40987</c:v>
                </c:pt>
                <c:pt idx="557">
                  <c:v>40988</c:v>
                </c:pt>
                <c:pt idx="558">
                  <c:v>40989</c:v>
                </c:pt>
                <c:pt idx="559">
                  <c:v>40990</c:v>
                </c:pt>
                <c:pt idx="560">
                  <c:v>40991</c:v>
                </c:pt>
                <c:pt idx="561">
                  <c:v>40994</c:v>
                </c:pt>
                <c:pt idx="562">
                  <c:v>40995</c:v>
                </c:pt>
                <c:pt idx="563">
                  <c:v>40996</c:v>
                </c:pt>
                <c:pt idx="564">
                  <c:v>40997</c:v>
                </c:pt>
                <c:pt idx="565">
                  <c:v>40998</c:v>
                </c:pt>
                <c:pt idx="566">
                  <c:v>41001</c:v>
                </c:pt>
                <c:pt idx="567">
                  <c:v>41002</c:v>
                </c:pt>
                <c:pt idx="568">
                  <c:v>41003</c:v>
                </c:pt>
                <c:pt idx="569">
                  <c:v>41004</c:v>
                </c:pt>
                <c:pt idx="570">
                  <c:v>41005</c:v>
                </c:pt>
                <c:pt idx="571">
                  <c:v>41008</c:v>
                </c:pt>
                <c:pt idx="572">
                  <c:v>41009</c:v>
                </c:pt>
                <c:pt idx="573">
                  <c:v>41010</c:v>
                </c:pt>
                <c:pt idx="574">
                  <c:v>41011</c:v>
                </c:pt>
                <c:pt idx="575">
                  <c:v>41012</c:v>
                </c:pt>
                <c:pt idx="576">
                  <c:v>41015</c:v>
                </c:pt>
                <c:pt idx="577">
                  <c:v>41016</c:v>
                </c:pt>
                <c:pt idx="578">
                  <c:v>41017</c:v>
                </c:pt>
                <c:pt idx="579">
                  <c:v>41018</c:v>
                </c:pt>
                <c:pt idx="580">
                  <c:v>41019</c:v>
                </c:pt>
                <c:pt idx="581">
                  <c:v>41022</c:v>
                </c:pt>
                <c:pt idx="582">
                  <c:v>41023</c:v>
                </c:pt>
                <c:pt idx="583">
                  <c:v>41024</c:v>
                </c:pt>
                <c:pt idx="584">
                  <c:v>41025</c:v>
                </c:pt>
                <c:pt idx="585">
                  <c:v>41026</c:v>
                </c:pt>
                <c:pt idx="586">
                  <c:v>41029</c:v>
                </c:pt>
                <c:pt idx="587">
                  <c:v>41030</c:v>
                </c:pt>
                <c:pt idx="588">
                  <c:v>41031</c:v>
                </c:pt>
                <c:pt idx="589">
                  <c:v>41032</c:v>
                </c:pt>
                <c:pt idx="590">
                  <c:v>41033</c:v>
                </c:pt>
                <c:pt idx="591">
                  <c:v>41036</c:v>
                </c:pt>
                <c:pt idx="592">
                  <c:v>41037</c:v>
                </c:pt>
                <c:pt idx="593">
                  <c:v>41038</c:v>
                </c:pt>
                <c:pt idx="594">
                  <c:v>41039</c:v>
                </c:pt>
                <c:pt idx="595">
                  <c:v>41040</c:v>
                </c:pt>
                <c:pt idx="596">
                  <c:v>41043</c:v>
                </c:pt>
                <c:pt idx="597">
                  <c:v>41044</c:v>
                </c:pt>
                <c:pt idx="598">
                  <c:v>41045</c:v>
                </c:pt>
                <c:pt idx="599">
                  <c:v>41046</c:v>
                </c:pt>
                <c:pt idx="600">
                  <c:v>41047</c:v>
                </c:pt>
                <c:pt idx="601">
                  <c:v>41050</c:v>
                </c:pt>
                <c:pt idx="602">
                  <c:v>41051</c:v>
                </c:pt>
                <c:pt idx="603">
                  <c:v>41052</c:v>
                </c:pt>
                <c:pt idx="604">
                  <c:v>41053</c:v>
                </c:pt>
                <c:pt idx="605">
                  <c:v>41054</c:v>
                </c:pt>
                <c:pt idx="606">
                  <c:v>41057</c:v>
                </c:pt>
                <c:pt idx="607">
                  <c:v>41058</c:v>
                </c:pt>
                <c:pt idx="608">
                  <c:v>41059</c:v>
                </c:pt>
                <c:pt idx="609">
                  <c:v>41060</c:v>
                </c:pt>
                <c:pt idx="610">
                  <c:v>41061</c:v>
                </c:pt>
                <c:pt idx="611">
                  <c:v>41064</c:v>
                </c:pt>
                <c:pt idx="612">
                  <c:v>41065</c:v>
                </c:pt>
                <c:pt idx="613">
                  <c:v>41066</c:v>
                </c:pt>
                <c:pt idx="614">
                  <c:v>41067</c:v>
                </c:pt>
                <c:pt idx="615">
                  <c:v>41068</c:v>
                </c:pt>
                <c:pt idx="616">
                  <c:v>41071</c:v>
                </c:pt>
                <c:pt idx="617">
                  <c:v>41072</c:v>
                </c:pt>
                <c:pt idx="618">
                  <c:v>41073</c:v>
                </c:pt>
                <c:pt idx="619">
                  <c:v>41074</c:v>
                </c:pt>
                <c:pt idx="620">
                  <c:v>41075</c:v>
                </c:pt>
                <c:pt idx="621">
                  <c:v>41078</c:v>
                </c:pt>
                <c:pt idx="622">
                  <c:v>41079</c:v>
                </c:pt>
                <c:pt idx="623">
                  <c:v>41080</c:v>
                </c:pt>
                <c:pt idx="624">
                  <c:v>41081</c:v>
                </c:pt>
                <c:pt idx="625">
                  <c:v>41082</c:v>
                </c:pt>
                <c:pt idx="626">
                  <c:v>41085</c:v>
                </c:pt>
                <c:pt idx="627">
                  <c:v>41086</c:v>
                </c:pt>
                <c:pt idx="628">
                  <c:v>41087</c:v>
                </c:pt>
                <c:pt idx="629">
                  <c:v>41088</c:v>
                </c:pt>
                <c:pt idx="630">
                  <c:v>41089</c:v>
                </c:pt>
                <c:pt idx="631">
                  <c:v>41092</c:v>
                </c:pt>
                <c:pt idx="632">
                  <c:v>41093</c:v>
                </c:pt>
                <c:pt idx="633">
                  <c:v>41094</c:v>
                </c:pt>
                <c:pt idx="634">
                  <c:v>41095</c:v>
                </c:pt>
                <c:pt idx="635">
                  <c:v>41096</c:v>
                </c:pt>
                <c:pt idx="636">
                  <c:v>41099</c:v>
                </c:pt>
                <c:pt idx="637">
                  <c:v>41100</c:v>
                </c:pt>
                <c:pt idx="638">
                  <c:v>41101</c:v>
                </c:pt>
                <c:pt idx="639">
                  <c:v>41102</c:v>
                </c:pt>
                <c:pt idx="640">
                  <c:v>41103</c:v>
                </c:pt>
                <c:pt idx="641">
                  <c:v>41106</c:v>
                </c:pt>
                <c:pt idx="642">
                  <c:v>41107</c:v>
                </c:pt>
                <c:pt idx="643">
                  <c:v>41108</c:v>
                </c:pt>
                <c:pt idx="644">
                  <c:v>41109</c:v>
                </c:pt>
                <c:pt idx="645">
                  <c:v>41110</c:v>
                </c:pt>
                <c:pt idx="646">
                  <c:v>41113</c:v>
                </c:pt>
                <c:pt idx="647">
                  <c:v>41114</c:v>
                </c:pt>
                <c:pt idx="648">
                  <c:v>41115</c:v>
                </c:pt>
                <c:pt idx="649">
                  <c:v>41116</c:v>
                </c:pt>
                <c:pt idx="650">
                  <c:v>41117</c:v>
                </c:pt>
                <c:pt idx="651">
                  <c:v>41120</c:v>
                </c:pt>
                <c:pt idx="652">
                  <c:v>41121</c:v>
                </c:pt>
                <c:pt idx="653">
                  <c:v>41122</c:v>
                </c:pt>
                <c:pt idx="654">
                  <c:v>41123</c:v>
                </c:pt>
                <c:pt idx="655">
                  <c:v>41124</c:v>
                </c:pt>
                <c:pt idx="656">
                  <c:v>41127</c:v>
                </c:pt>
                <c:pt idx="657">
                  <c:v>41128</c:v>
                </c:pt>
                <c:pt idx="658">
                  <c:v>41129</c:v>
                </c:pt>
                <c:pt idx="659">
                  <c:v>41130</c:v>
                </c:pt>
                <c:pt idx="660">
                  <c:v>41131</c:v>
                </c:pt>
                <c:pt idx="661">
                  <c:v>41134</c:v>
                </c:pt>
                <c:pt idx="662">
                  <c:v>41135</c:v>
                </c:pt>
                <c:pt idx="663">
                  <c:v>41136</c:v>
                </c:pt>
                <c:pt idx="664">
                  <c:v>41137</c:v>
                </c:pt>
                <c:pt idx="665">
                  <c:v>41138</c:v>
                </c:pt>
                <c:pt idx="666">
                  <c:v>41141</c:v>
                </c:pt>
                <c:pt idx="667">
                  <c:v>41142</c:v>
                </c:pt>
                <c:pt idx="668">
                  <c:v>41143</c:v>
                </c:pt>
                <c:pt idx="669">
                  <c:v>41144</c:v>
                </c:pt>
                <c:pt idx="670">
                  <c:v>41145</c:v>
                </c:pt>
                <c:pt idx="671">
                  <c:v>41148</c:v>
                </c:pt>
                <c:pt idx="672">
                  <c:v>41149</c:v>
                </c:pt>
                <c:pt idx="673">
                  <c:v>41150</c:v>
                </c:pt>
                <c:pt idx="674">
                  <c:v>41151</c:v>
                </c:pt>
                <c:pt idx="675">
                  <c:v>41152</c:v>
                </c:pt>
                <c:pt idx="676">
                  <c:v>41155</c:v>
                </c:pt>
                <c:pt idx="677">
                  <c:v>41156</c:v>
                </c:pt>
                <c:pt idx="678">
                  <c:v>41157</c:v>
                </c:pt>
                <c:pt idx="679">
                  <c:v>41158</c:v>
                </c:pt>
                <c:pt idx="680">
                  <c:v>41159</c:v>
                </c:pt>
                <c:pt idx="681">
                  <c:v>41162</c:v>
                </c:pt>
                <c:pt idx="682">
                  <c:v>41163</c:v>
                </c:pt>
                <c:pt idx="683">
                  <c:v>41164</c:v>
                </c:pt>
                <c:pt idx="684">
                  <c:v>41165</c:v>
                </c:pt>
                <c:pt idx="685">
                  <c:v>41166</c:v>
                </c:pt>
                <c:pt idx="686">
                  <c:v>41169</c:v>
                </c:pt>
                <c:pt idx="687">
                  <c:v>41170</c:v>
                </c:pt>
                <c:pt idx="688">
                  <c:v>41171</c:v>
                </c:pt>
                <c:pt idx="689">
                  <c:v>41172</c:v>
                </c:pt>
                <c:pt idx="690">
                  <c:v>41173</c:v>
                </c:pt>
                <c:pt idx="691">
                  <c:v>41176</c:v>
                </c:pt>
                <c:pt idx="692">
                  <c:v>41177</c:v>
                </c:pt>
                <c:pt idx="693">
                  <c:v>41178</c:v>
                </c:pt>
                <c:pt idx="694">
                  <c:v>41179</c:v>
                </c:pt>
                <c:pt idx="695">
                  <c:v>41180</c:v>
                </c:pt>
                <c:pt idx="696">
                  <c:v>41183</c:v>
                </c:pt>
                <c:pt idx="697">
                  <c:v>41184</c:v>
                </c:pt>
                <c:pt idx="698">
                  <c:v>41185</c:v>
                </c:pt>
                <c:pt idx="699">
                  <c:v>41186</c:v>
                </c:pt>
                <c:pt idx="700">
                  <c:v>41187</c:v>
                </c:pt>
                <c:pt idx="701">
                  <c:v>41190</c:v>
                </c:pt>
                <c:pt idx="702">
                  <c:v>41191</c:v>
                </c:pt>
                <c:pt idx="703">
                  <c:v>41192</c:v>
                </c:pt>
                <c:pt idx="704">
                  <c:v>41193</c:v>
                </c:pt>
                <c:pt idx="705">
                  <c:v>41194</c:v>
                </c:pt>
                <c:pt idx="706">
                  <c:v>41197</c:v>
                </c:pt>
                <c:pt idx="707">
                  <c:v>41198</c:v>
                </c:pt>
                <c:pt idx="708">
                  <c:v>41199</c:v>
                </c:pt>
                <c:pt idx="709">
                  <c:v>41200</c:v>
                </c:pt>
                <c:pt idx="710">
                  <c:v>41201</c:v>
                </c:pt>
                <c:pt idx="711">
                  <c:v>41204</c:v>
                </c:pt>
                <c:pt idx="712">
                  <c:v>41205</c:v>
                </c:pt>
                <c:pt idx="713">
                  <c:v>41206</c:v>
                </c:pt>
                <c:pt idx="714">
                  <c:v>41207</c:v>
                </c:pt>
                <c:pt idx="715">
                  <c:v>41208</c:v>
                </c:pt>
                <c:pt idx="716">
                  <c:v>41211</c:v>
                </c:pt>
                <c:pt idx="717">
                  <c:v>41212</c:v>
                </c:pt>
                <c:pt idx="718">
                  <c:v>41213</c:v>
                </c:pt>
                <c:pt idx="719">
                  <c:v>41214</c:v>
                </c:pt>
                <c:pt idx="720">
                  <c:v>41215</c:v>
                </c:pt>
                <c:pt idx="721">
                  <c:v>41218</c:v>
                </c:pt>
                <c:pt idx="722">
                  <c:v>41219</c:v>
                </c:pt>
                <c:pt idx="723">
                  <c:v>41220</c:v>
                </c:pt>
                <c:pt idx="724">
                  <c:v>41221</c:v>
                </c:pt>
                <c:pt idx="725">
                  <c:v>41222</c:v>
                </c:pt>
                <c:pt idx="726">
                  <c:v>41225</c:v>
                </c:pt>
                <c:pt idx="727">
                  <c:v>41226</c:v>
                </c:pt>
                <c:pt idx="728">
                  <c:v>41227</c:v>
                </c:pt>
                <c:pt idx="729">
                  <c:v>41228</c:v>
                </c:pt>
                <c:pt idx="730">
                  <c:v>41229</c:v>
                </c:pt>
                <c:pt idx="731">
                  <c:v>41232</c:v>
                </c:pt>
                <c:pt idx="732">
                  <c:v>41233</c:v>
                </c:pt>
                <c:pt idx="733">
                  <c:v>41234</c:v>
                </c:pt>
                <c:pt idx="734">
                  <c:v>41235</c:v>
                </c:pt>
                <c:pt idx="735">
                  <c:v>41236</c:v>
                </c:pt>
                <c:pt idx="736">
                  <c:v>41239</c:v>
                </c:pt>
                <c:pt idx="737">
                  <c:v>41240</c:v>
                </c:pt>
                <c:pt idx="738">
                  <c:v>41241</c:v>
                </c:pt>
                <c:pt idx="739">
                  <c:v>41242</c:v>
                </c:pt>
                <c:pt idx="740">
                  <c:v>41243</c:v>
                </c:pt>
                <c:pt idx="741">
                  <c:v>41246</c:v>
                </c:pt>
                <c:pt idx="742">
                  <c:v>41247</c:v>
                </c:pt>
                <c:pt idx="743">
                  <c:v>41248</c:v>
                </c:pt>
                <c:pt idx="744">
                  <c:v>41249</c:v>
                </c:pt>
                <c:pt idx="745">
                  <c:v>41250</c:v>
                </c:pt>
                <c:pt idx="746">
                  <c:v>41253</c:v>
                </c:pt>
                <c:pt idx="747">
                  <c:v>41254</c:v>
                </c:pt>
                <c:pt idx="748">
                  <c:v>41255</c:v>
                </c:pt>
                <c:pt idx="749">
                  <c:v>41256</c:v>
                </c:pt>
                <c:pt idx="750">
                  <c:v>41257</c:v>
                </c:pt>
                <c:pt idx="751">
                  <c:v>41260</c:v>
                </c:pt>
                <c:pt idx="752">
                  <c:v>41261</c:v>
                </c:pt>
                <c:pt idx="753">
                  <c:v>41262</c:v>
                </c:pt>
                <c:pt idx="754">
                  <c:v>41263</c:v>
                </c:pt>
                <c:pt idx="755">
                  <c:v>41264</c:v>
                </c:pt>
                <c:pt idx="756">
                  <c:v>41267</c:v>
                </c:pt>
                <c:pt idx="757">
                  <c:v>41268</c:v>
                </c:pt>
                <c:pt idx="758">
                  <c:v>41269</c:v>
                </c:pt>
                <c:pt idx="759">
                  <c:v>41270</c:v>
                </c:pt>
                <c:pt idx="760">
                  <c:v>41271</c:v>
                </c:pt>
                <c:pt idx="761">
                  <c:v>41274</c:v>
                </c:pt>
                <c:pt idx="762">
                  <c:v>41275</c:v>
                </c:pt>
                <c:pt idx="763">
                  <c:v>41276</c:v>
                </c:pt>
                <c:pt idx="764">
                  <c:v>41277</c:v>
                </c:pt>
                <c:pt idx="765">
                  <c:v>41278</c:v>
                </c:pt>
                <c:pt idx="766">
                  <c:v>41281</c:v>
                </c:pt>
                <c:pt idx="767">
                  <c:v>41282</c:v>
                </c:pt>
                <c:pt idx="768">
                  <c:v>41283</c:v>
                </c:pt>
                <c:pt idx="769">
                  <c:v>41284</c:v>
                </c:pt>
                <c:pt idx="770">
                  <c:v>41285</c:v>
                </c:pt>
                <c:pt idx="771">
                  <c:v>41288</c:v>
                </c:pt>
                <c:pt idx="772">
                  <c:v>41289</c:v>
                </c:pt>
                <c:pt idx="773">
                  <c:v>41290</c:v>
                </c:pt>
                <c:pt idx="774">
                  <c:v>41291</c:v>
                </c:pt>
                <c:pt idx="775">
                  <c:v>41292</c:v>
                </c:pt>
                <c:pt idx="776">
                  <c:v>41295</c:v>
                </c:pt>
                <c:pt idx="777">
                  <c:v>41296</c:v>
                </c:pt>
                <c:pt idx="778">
                  <c:v>41297</c:v>
                </c:pt>
                <c:pt idx="779">
                  <c:v>41298</c:v>
                </c:pt>
                <c:pt idx="780">
                  <c:v>41299</c:v>
                </c:pt>
                <c:pt idx="781">
                  <c:v>41302</c:v>
                </c:pt>
                <c:pt idx="782">
                  <c:v>41303</c:v>
                </c:pt>
                <c:pt idx="783">
                  <c:v>41304</c:v>
                </c:pt>
                <c:pt idx="784">
                  <c:v>41305</c:v>
                </c:pt>
                <c:pt idx="785">
                  <c:v>41306</c:v>
                </c:pt>
                <c:pt idx="786">
                  <c:v>41309</c:v>
                </c:pt>
                <c:pt idx="787">
                  <c:v>41310</c:v>
                </c:pt>
                <c:pt idx="788">
                  <c:v>41311</c:v>
                </c:pt>
                <c:pt idx="789">
                  <c:v>41312</c:v>
                </c:pt>
                <c:pt idx="790">
                  <c:v>41313</c:v>
                </c:pt>
                <c:pt idx="791">
                  <c:v>41316</c:v>
                </c:pt>
                <c:pt idx="792">
                  <c:v>41317</c:v>
                </c:pt>
                <c:pt idx="793">
                  <c:v>41318</c:v>
                </c:pt>
                <c:pt idx="794">
                  <c:v>41319</c:v>
                </c:pt>
                <c:pt idx="795">
                  <c:v>41320</c:v>
                </c:pt>
                <c:pt idx="796">
                  <c:v>41323</c:v>
                </c:pt>
                <c:pt idx="797">
                  <c:v>41324</c:v>
                </c:pt>
                <c:pt idx="798">
                  <c:v>41325</c:v>
                </c:pt>
                <c:pt idx="799">
                  <c:v>41326</c:v>
                </c:pt>
                <c:pt idx="800">
                  <c:v>41327</c:v>
                </c:pt>
                <c:pt idx="801">
                  <c:v>41330</c:v>
                </c:pt>
                <c:pt idx="802">
                  <c:v>41331</c:v>
                </c:pt>
                <c:pt idx="803">
                  <c:v>41332</c:v>
                </c:pt>
                <c:pt idx="804">
                  <c:v>41333</c:v>
                </c:pt>
                <c:pt idx="805">
                  <c:v>41334</c:v>
                </c:pt>
                <c:pt idx="806">
                  <c:v>41337</c:v>
                </c:pt>
                <c:pt idx="807">
                  <c:v>41338</c:v>
                </c:pt>
                <c:pt idx="808">
                  <c:v>41339</c:v>
                </c:pt>
                <c:pt idx="809">
                  <c:v>41340</c:v>
                </c:pt>
                <c:pt idx="810">
                  <c:v>41341</c:v>
                </c:pt>
                <c:pt idx="811">
                  <c:v>41344</c:v>
                </c:pt>
                <c:pt idx="812">
                  <c:v>41345</c:v>
                </c:pt>
                <c:pt idx="813">
                  <c:v>41346</c:v>
                </c:pt>
                <c:pt idx="814">
                  <c:v>41347</c:v>
                </c:pt>
                <c:pt idx="815">
                  <c:v>41348</c:v>
                </c:pt>
                <c:pt idx="816">
                  <c:v>41351</c:v>
                </c:pt>
                <c:pt idx="817">
                  <c:v>41352</c:v>
                </c:pt>
                <c:pt idx="818">
                  <c:v>41353</c:v>
                </c:pt>
                <c:pt idx="819">
                  <c:v>41354</c:v>
                </c:pt>
                <c:pt idx="820">
                  <c:v>41355</c:v>
                </c:pt>
                <c:pt idx="821">
                  <c:v>41358</c:v>
                </c:pt>
                <c:pt idx="822">
                  <c:v>41359</c:v>
                </c:pt>
                <c:pt idx="823">
                  <c:v>41360</c:v>
                </c:pt>
                <c:pt idx="824">
                  <c:v>41361</c:v>
                </c:pt>
                <c:pt idx="825">
                  <c:v>41362</c:v>
                </c:pt>
                <c:pt idx="826">
                  <c:v>41365</c:v>
                </c:pt>
                <c:pt idx="827">
                  <c:v>41366</c:v>
                </c:pt>
                <c:pt idx="828">
                  <c:v>41367</c:v>
                </c:pt>
                <c:pt idx="829">
                  <c:v>41368</c:v>
                </c:pt>
                <c:pt idx="830">
                  <c:v>41369</c:v>
                </c:pt>
                <c:pt idx="831">
                  <c:v>41372</c:v>
                </c:pt>
                <c:pt idx="832">
                  <c:v>41373</c:v>
                </c:pt>
                <c:pt idx="833">
                  <c:v>41374</c:v>
                </c:pt>
                <c:pt idx="834">
                  <c:v>41375</c:v>
                </c:pt>
                <c:pt idx="835">
                  <c:v>41376</c:v>
                </c:pt>
                <c:pt idx="836">
                  <c:v>41379</c:v>
                </c:pt>
                <c:pt idx="837">
                  <c:v>41380</c:v>
                </c:pt>
                <c:pt idx="838">
                  <c:v>41381</c:v>
                </c:pt>
                <c:pt idx="839">
                  <c:v>41382</c:v>
                </c:pt>
                <c:pt idx="840">
                  <c:v>41383</c:v>
                </c:pt>
                <c:pt idx="841">
                  <c:v>41386</c:v>
                </c:pt>
                <c:pt idx="842">
                  <c:v>41387</c:v>
                </c:pt>
                <c:pt idx="843">
                  <c:v>41388</c:v>
                </c:pt>
                <c:pt idx="844">
                  <c:v>41389</c:v>
                </c:pt>
                <c:pt idx="845">
                  <c:v>41390</c:v>
                </c:pt>
                <c:pt idx="846">
                  <c:v>41393</c:v>
                </c:pt>
                <c:pt idx="847">
                  <c:v>41394</c:v>
                </c:pt>
                <c:pt idx="848">
                  <c:v>41395</c:v>
                </c:pt>
                <c:pt idx="849">
                  <c:v>41396</c:v>
                </c:pt>
                <c:pt idx="850">
                  <c:v>41397</c:v>
                </c:pt>
                <c:pt idx="851">
                  <c:v>41400</c:v>
                </c:pt>
                <c:pt idx="852">
                  <c:v>41401</c:v>
                </c:pt>
                <c:pt idx="853">
                  <c:v>41402</c:v>
                </c:pt>
                <c:pt idx="854">
                  <c:v>41403</c:v>
                </c:pt>
                <c:pt idx="855">
                  <c:v>41404</c:v>
                </c:pt>
                <c:pt idx="856">
                  <c:v>41407</c:v>
                </c:pt>
                <c:pt idx="857">
                  <c:v>41408</c:v>
                </c:pt>
                <c:pt idx="858">
                  <c:v>41409</c:v>
                </c:pt>
                <c:pt idx="859">
                  <c:v>41410</c:v>
                </c:pt>
                <c:pt idx="860">
                  <c:v>41411</c:v>
                </c:pt>
                <c:pt idx="861">
                  <c:v>41414</c:v>
                </c:pt>
                <c:pt idx="862">
                  <c:v>41415</c:v>
                </c:pt>
                <c:pt idx="863">
                  <c:v>41416</c:v>
                </c:pt>
                <c:pt idx="864">
                  <c:v>41417</c:v>
                </c:pt>
                <c:pt idx="865">
                  <c:v>41418</c:v>
                </c:pt>
                <c:pt idx="866">
                  <c:v>41421</c:v>
                </c:pt>
                <c:pt idx="867">
                  <c:v>41422</c:v>
                </c:pt>
                <c:pt idx="868">
                  <c:v>41423</c:v>
                </c:pt>
                <c:pt idx="869">
                  <c:v>41424</c:v>
                </c:pt>
                <c:pt idx="870">
                  <c:v>41425</c:v>
                </c:pt>
                <c:pt idx="871">
                  <c:v>41428</c:v>
                </c:pt>
                <c:pt idx="872">
                  <c:v>41429</c:v>
                </c:pt>
                <c:pt idx="873">
                  <c:v>41430</c:v>
                </c:pt>
                <c:pt idx="874">
                  <c:v>41431</c:v>
                </c:pt>
                <c:pt idx="875">
                  <c:v>41432</c:v>
                </c:pt>
                <c:pt idx="876">
                  <c:v>41435</c:v>
                </c:pt>
                <c:pt idx="877">
                  <c:v>41436</c:v>
                </c:pt>
                <c:pt idx="878">
                  <c:v>41437</c:v>
                </c:pt>
                <c:pt idx="879">
                  <c:v>41438</c:v>
                </c:pt>
                <c:pt idx="880">
                  <c:v>41439</c:v>
                </c:pt>
                <c:pt idx="881">
                  <c:v>41442</c:v>
                </c:pt>
                <c:pt idx="882">
                  <c:v>41443</c:v>
                </c:pt>
                <c:pt idx="883">
                  <c:v>41444</c:v>
                </c:pt>
                <c:pt idx="884">
                  <c:v>41445</c:v>
                </c:pt>
                <c:pt idx="885">
                  <c:v>41446</c:v>
                </c:pt>
                <c:pt idx="886">
                  <c:v>41449</c:v>
                </c:pt>
                <c:pt idx="887">
                  <c:v>41450</c:v>
                </c:pt>
                <c:pt idx="888">
                  <c:v>41451</c:v>
                </c:pt>
                <c:pt idx="889">
                  <c:v>41452</c:v>
                </c:pt>
                <c:pt idx="890">
                  <c:v>41453</c:v>
                </c:pt>
                <c:pt idx="891">
                  <c:v>41456</c:v>
                </c:pt>
                <c:pt idx="892">
                  <c:v>41457</c:v>
                </c:pt>
                <c:pt idx="893">
                  <c:v>41458</c:v>
                </c:pt>
                <c:pt idx="894">
                  <c:v>41459</c:v>
                </c:pt>
                <c:pt idx="895">
                  <c:v>41460</c:v>
                </c:pt>
                <c:pt idx="896">
                  <c:v>41463</c:v>
                </c:pt>
                <c:pt idx="897">
                  <c:v>41464</c:v>
                </c:pt>
                <c:pt idx="898">
                  <c:v>41465</c:v>
                </c:pt>
                <c:pt idx="899">
                  <c:v>41466</c:v>
                </c:pt>
                <c:pt idx="900">
                  <c:v>41467</c:v>
                </c:pt>
                <c:pt idx="901">
                  <c:v>41470</c:v>
                </c:pt>
                <c:pt idx="902">
                  <c:v>41471</c:v>
                </c:pt>
                <c:pt idx="903">
                  <c:v>41472</c:v>
                </c:pt>
                <c:pt idx="904">
                  <c:v>41473</c:v>
                </c:pt>
                <c:pt idx="905">
                  <c:v>41474</c:v>
                </c:pt>
                <c:pt idx="906">
                  <c:v>41477</c:v>
                </c:pt>
                <c:pt idx="907">
                  <c:v>41478</c:v>
                </c:pt>
                <c:pt idx="908">
                  <c:v>41479</c:v>
                </c:pt>
                <c:pt idx="909">
                  <c:v>41480</c:v>
                </c:pt>
                <c:pt idx="910">
                  <c:v>41481</c:v>
                </c:pt>
                <c:pt idx="911">
                  <c:v>41484</c:v>
                </c:pt>
                <c:pt idx="912">
                  <c:v>41485</c:v>
                </c:pt>
                <c:pt idx="913">
                  <c:v>41486</c:v>
                </c:pt>
                <c:pt idx="914">
                  <c:v>41487</c:v>
                </c:pt>
                <c:pt idx="915">
                  <c:v>41488</c:v>
                </c:pt>
                <c:pt idx="916">
                  <c:v>41491</c:v>
                </c:pt>
                <c:pt idx="917">
                  <c:v>41492</c:v>
                </c:pt>
                <c:pt idx="918">
                  <c:v>41493</c:v>
                </c:pt>
                <c:pt idx="919">
                  <c:v>41494</c:v>
                </c:pt>
                <c:pt idx="920">
                  <c:v>41495</c:v>
                </c:pt>
                <c:pt idx="921">
                  <c:v>41498</c:v>
                </c:pt>
                <c:pt idx="922">
                  <c:v>41499</c:v>
                </c:pt>
                <c:pt idx="923">
                  <c:v>41500</c:v>
                </c:pt>
                <c:pt idx="924">
                  <c:v>41501</c:v>
                </c:pt>
                <c:pt idx="925">
                  <c:v>41502</c:v>
                </c:pt>
                <c:pt idx="926">
                  <c:v>41505</c:v>
                </c:pt>
                <c:pt idx="927">
                  <c:v>41506</c:v>
                </c:pt>
                <c:pt idx="928">
                  <c:v>41507</c:v>
                </c:pt>
                <c:pt idx="929">
                  <c:v>41508</c:v>
                </c:pt>
                <c:pt idx="930">
                  <c:v>41509</c:v>
                </c:pt>
                <c:pt idx="931">
                  <c:v>41512</c:v>
                </c:pt>
                <c:pt idx="932">
                  <c:v>41513</c:v>
                </c:pt>
                <c:pt idx="933">
                  <c:v>41514</c:v>
                </c:pt>
                <c:pt idx="934">
                  <c:v>41515</c:v>
                </c:pt>
                <c:pt idx="935">
                  <c:v>41516</c:v>
                </c:pt>
                <c:pt idx="936">
                  <c:v>41519</c:v>
                </c:pt>
                <c:pt idx="937">
                  <c:v>41520</c:v>
                </c:pt>
                <c:pt idx="938">
                  <c:v>41521</c:v>
                </c:pt>
                <c:pt idx="939">
                  <c:v>41522</c:v>
                </c:pt>
                <c:pt idx="940">
                  <c:v>41523</c:v>
                </c:pt>
                <c:pt idx="941">
                  <c:v>41526</c:v>
                </c:pt>
                <c:pt idx="942">
                  <c:v>41527</c:v>
                </c:pt>
                <c:pt idx="943">
                  <c:v>41528</c:v>
                </c:pt>
                <c:pt idx="944">
                  <c:v>41529</c:v>
                </c:pt>
                <c:pt idx="945">
                  <c:v>41530</c:v>
                </c:pt>
                <c:pt idx="946">
                  <c:v>41533</c:v>
                </c:pt>
                <c:pt idx="947">
                  <c:v>41534</c:v>
                </c:pt>
                <c:pt idx="948">
                  <c:v>41535</c:v>
                </c:pt>
                <c:pt idx="949">
                  <c:v>41536</c:v>
                </c:pt>
                <c:pt idx="950">
                  <c:v>41537</c:v>
                </c:pt>
                <c:pt idx="951">
                  <c:v>41540</c:v>
                </c:pt>
                <c:pt idx="952">
                  <c:v>41541</c:v>
                </c:pt>
                <c:pt idx="953">
                  <c:v>41542</c:v>
                </c:pt>
                <c:pt idx="954">
                  <c:v>41543</c:v>
                </c:pt>
                <c:pt idx="955">
                  <c:v>41544</c:v>
                </c:pt>
                <c:pt idx="956">
                  <c:v>41547</c:v>
                </c:pt>
                <c:pt idx="957">
                  <c:v>41548</c:v>
                </c:pt>
                <c:pt idx="958">
                  <c:v>41549</c:v>
                </c:pt>
                <c:pt idx="959">
                  <c:v>41550</c:v>
                </c:pt>
                <c:pt idx="960">
                  <c:v>41551</c:v>
                </c:pt>
                <c:pt idx="961">
                  <c:v>41554</c:v>
                </c:pt>
                <c:pt idx="962">
                  <c:v>41555</c:v>
                </c:pt>
                <c:pt idx="963">
                  <c:v>41556</c:v>
                </c:pt>
                <c:pt idx="964">
                  <c:v>41557</c:v>
                </c:pt>
                <c:pt idx="965">
                  <c:v>41558</c:v>
                </c:pt>
                <c:pt idx="966">
                  <c:v>41561</c:v>
                </c:pt>
                <c:pt idx="967">
                  <c:v>41562</c:v>
                </c:pt>
                <c:pt idx="968">
                  <c:v>41563</c:v>
                </c:pt>
                <c:pt idx="969">
                  <c:v>41564</c:v>
                </c:pt>
                <c:pt idx="970">
                  <c:v>41565</c:v>
                </c:pt>
                <c:pt idx="971">
                  <c:v>41568</c:v>
                </c:pt>
                <c:pt idx="972">
                  <c:v>41569</c:v>
                </c:pt>
                <c:pt idx="973">
                  <c:v>41570</c:v>
                </c:pt>
                <c:pt idx="974">
                  <c:v>41571</c:v>
                </c:pt>
                <c:pt idx="975">
                  <c:v>41572</c:v>
                </c:pt>
                <c:pt idx="976">
                  <c:v>41575</c:v>
                </c:pt>
                <c:pt idx="977">
                  <c:v>41576</c:v>
                </c:pt>
                <c:pt idx="978">
                  <c:v>41577</c:v>
                </c:pt>
                <c:pt idx="979">
                  <c:v>41578</c:v>
                </c:pt>
                <c:pt idx="980">
                  <c:v>41579</c:v>
                </c:pt>
                <c:pt idx="981">
                  <c:v>41582</c:v>
                </c:pt>
                <c:pt idx="982">
                  <c:v>41583</c:v>
                </c:pt>
                <c:pt idx="983">
                  <c:v>41584</c:v>
                </c:pt>
                <c:pt idx="984">
                  <c:v>41585</c:v>
                </c:pt>
                <c:pt idx="985">
                  <c:v>41586</c:v>
                </c:pt>
                <c:pt idx="986">
                  <c:v>41589</c:v>
                </c:pt>
                <c:pt idx="987">
                  <c:v>41590</c:v>
                </c:pt>
                <c:pt idx="988">
                  <c:v>41591</c:v>
                </c:pt>
                <c:pt idx="989">
                  <c:v>41592</c:v>
                </c:pt>
                <c:pt idx="990">
                  <c:v>41593</c:v>
                </c:pt>
                <c:pt idx="991">
                  <c:v>41596</c:v>
                </c:pt>
                <c:pt idx="992">
                  <c:v>41597</c:v>
                </c:pt>
                <c:pt idx="993">
                  <c:v>41598</c:v>
                </c:pt>
                <c:pt idx="994">
                  <c:v>41599</c:v>
                </c:pt>
                <c:pt idx="995">
                  <c:v>41600</c:v>
                </c:pt>
                <c:pt idx="996">
                  <c:v>41603</c:v>
                </c:pt>
                <c:pt idx="997">
                  <c:v>41604</c:v>
                </c:pt>
                <c:pt idx="998">
                  <c:v>41605</c:v>
                </c:pt>
                <c:pt idx="999">
                  <c:v>41606</c:v>
                </c:pt>
                <c:pt idx="1000">
                  <c:v>41607</c:v>
                </c:pt>
                <c:pt idx="1001">
                  <c:v>41610</c:v>
                </c:pt>
                <c:pt idx="1002">
                  <c:v>41611</c:v>
                </c:pt>
                <c:pt idx="1003">
                  <c:v>41612</c:v>
                </c:pt>
                <c:pt idx="1004">
                  <c:v>41613</c:v>
                </c:pt>
                <c:pt idx="1005">
                  <c:v>41614</c:v>
                </c:pt>
                <c:pt idx="1006">
                  <c:v>41617</c:v>
                </c:pt>
                <c:pt idx="1007">
                  <c:v>41618</c:v>
                </c:pt>
                <c:pt idx="1008">
                  <c:v>41619</c:v>
                </c:pt>
                <c:pt idx="1009">
                  <c:v>41620</c:v>
                </c:pt>
                <c:pt idx="1010">
                  <c:v>41621</c:v>
                </c:pt>
                <c:pt idx="1011">
                  <c:v>41624</c:v>
                </c:pt>
                <c:pt idx="1012">
                  <c:v>41625</c:v>
                </c:pt>
                <c:pt idx="1013">
                  <c:v>41626</c:v>
                </c:pt>
                <c:pt idx="1014">
                  <c:v>41627</c:v>
                </c:pt>
                <c:pt idx="1015">
                  <c:v>41628</c:v>
                </c:pt>
                <c:pt idx="1016">
                  <c:v>41631</c:v>
                </c:pt>
                <c:pt idx="1017">
                  <c:v>41632</c:v>
                </c:pt>
                <c:pt idx="1018">
                  <c:v>41633</c:v>
                </c:pt>
                <c:pt idx="1019">
                  <c:v>41634</c:v>
                </c:pt>
                <c:pt idx="1020">
                  <c:v>41635</c:v>
                </c:pt>
                <c:pt idx="1021">
                  <c:v>41638</c:v>
                </c:pt>
                <c:pt idx="1022">
                  <c:v>41639</c:v>
                </c:pt>
                <c:pt idx="1023">
                  <c:v>41640</c:v>
                </c:pt>
                <c:pt idx="1024">
                  <c:v>41641</c:v>
                </c:pt>
                <c:pt idx="1025">
                  <c:v>41642</c:v>
                </c:pt>
                <c:pt idx="1026">
                  <c:v>41645</c:v>
                </c:pt>
                <c:pt idx="1027">
                  <c:v>41646</c:v>
                </c:pt>
                <c:pt idx="1028">
                  <c:v>41647</c:v>
                </c:pt>
                <c:pt idx="1029">
                  <c:v>41648</c:v>
                </c:pt>
                <c:pt idx="1030">
                  <c:v>41649</c:v>
                </c:pt>
                <c:pt idx="1031">
                  <c:v>41652</c:v>
                </c:pt>
                <c:pt idx="1032">
                  <c:v>41653</c:v>
                </c:pt>
                <c:pt idx="1033">
                  <c:v>41654</c:v>
                </c:pt>
                <c:pt idx="1034">
                  <c:v>41655</c:v>
                </c:pt>
                <c:pt idx="1035">
                  <c:v>41656</c:v>
                </c:pt>
                <c:pt idx="1036">
                  <c:v>41659</c:v>
                </c:pt>
                <c:pt idx="1037">
                  <c:v>41660</c:v>
                </c:pt>
                <c:pt idx="1038">
                  <c:v>41661</c:v>
                </c:pt>
                <c:pt idx="1039">
                  <c:v>41662</c:v>
                </c:pt>
                <c:pt idx="1040">
                  <c:v>41663</c:v>
                </c:pt>
                <c:pt idx="1041">
                  <c:v>41666</c:v>
                </c:pt>
                <c:pt idx="1042">
                  <c:v>41667</c:v>
                </c:pt>
                <c:pt idx="1043">
                  <c:v>41668</c:v>
                </c:pt>
                <c:pt idx="1044">
                  <c:v>41669</c:v>
                </c:pt>
                <c:pt idx="1045">
                  <c:v>41670</c:v>
                </c:pt>
                <c:pt idx="1046">
                  <c:v>41673</c:v>
                </c:pt>
                <c:pt idx="1047">
                  <c:v>41674</c:v>
                </c:pt>
                <c:pt idx="1048">
                  <c:v>41675</c:v>
                </c:pt>
                <c:pt idx="1049">
                  <c:v>41676</c:v>
                </c:pt>
                <c:pt idx="1050">
                  <c:v>41677</c:v>
                </c:pt>
                <c:pt idx="1051">
                  <c:v>41680</c:v>
                </c:pt>
                <c:pt idx="1052">
                  <c:v>41681</c:v>
                </c:pt>
                <c:pt idx="1053">
                  <c:v>41682</c:v>
                </c:pt>
                <c:pt idx="1054">
                  <c:v>41683</c:v>
                </c:pt>
                <c:pt idx="1055">
                  <c:v>41684</c:v>
                </c:pt>
                <c:pt idx="1056">
                  <c:v>41687</c:v>
                </c:pt>
                <c:pt idx="1057">
                  <c:v>41688</c:v>
                </c:pt>
                <c:pt idx="1058">
                  <c:v>41689</c:v>
                </c:pt>
                <c:pt idx="1059">
                  <c:v>41690</c:v>
                </c:pt>
                <c:pt idx="1060">
                  <c:v>41691</c:v>
                </c:pt>
                <c:pt idx="1061">
                  <c:v>41694</c:v>
                </c:pt>
                <c:pt idx="1062">
                  <c:v>41695</c:v>
                </c:pt>
                <c:pt idx="1063">
                  <c:v>41696</c:v>
                </c:pt>
                <c:pt idx="1064">
                  <c:v>41697</c:v>
                </c:pt>
                <c:pt idx="1065">
                  <c:v>41698</c:v>
                </c:pt>
                <c:pt idx="1066">
                  <c:v>41701</c:v>
                </c:pt>
                <c:pt idx="1067">
                  <c:v>41702</c:v>
                </c:pt>
                <c:pt idx="1068">
                  <c:v>41703</c:v>
                </c:pt>
                <c:pt idx="1069">
                  <c:v>41704</c:v>
                </c:pt>
                <c:pt idx="1070">
                  <c:v>41705</c:v>
                </c:pt>
                <c:pt idx="1071">
                  <c:v>41708</c:v>
                </c:pt>
                <c:pt idx="1072">
                  <c:v>41709</c:v>
                </c:pt>
                <c:pt idx="1073">
                  <c:v>41710</c:v>
                </c:pt>
                <c:pt idx="1074">
                  <c:v>41711</c:v>
                </c:pt>
                <c:pt idx="1075">
                  <c:v>41712</c:v>
                </c:pt>
                <c:pt idx="1076">
                  <c:v>41715</c:v>
                </c:pt>
                <c:pt idx="1077">
                  <c:v>41716</c:v>
                </c:pt>
                <c:pt idx="1078">
                  <c:v>41717</c:v>
                </c:pt>
                <c:pt idx="1079">
                  <c:v>41718</c:v>
                </c:pt>
                <c:pt idx="1080">
                  <c:v>41719</c:v>
                </c:pt>
                <c:pt idx="1081">
                  <c:v>41722</c:v>
                </c:pt>
                <c:pt idx="1082">
                  <c:v>41723</c:v>
                </c:pt>
                <c:pt idx="1083">
                  <c:v>41724</c:v>
                </c:pt>
                <c:pt idx="1084">
                  <c:v>41725</c:v>
                </c:pt>
                <c:pt idx="1085">
                  <c:v>41726</c:v>
                </c:pt>
                <c:pt idx="1086">
                  <c:v>41729</c:v>
                </c:pt>
                <c:pt idx="1087">
                  <c:v>41730</c:v>
                </c:pt>
                <c:pt idx="1088">
                  <c:v>41731</c:v>
                </c:pt>
                <c:pt idx="1089">
                  <c:v>41732</c:v>
                </c:pt>
                <c:pt idx="1090">
                  <c:v>41733</c:v>
                </c:pt>
                <c:pt idx="1091">
                  <c:v>41736</c:v>
                </c:pt>
                <c:pt idx="1092">
                  <c:v>41737</c:v>
                </c:pt>
                <c:pt idx="1093">
                  <c:v>41738</c:v>
                </c:pt>
                <c:pt idx="1094">
                  <c:v>41739</c:v>
                </c:pt>
                <c:pt idx="1095">
                  <c:v>41740</c:v>
                </c:pt>
                <c:pt idx="1096">
                  <c:v>41743</c:v>
                </c:pt>
                <c:pt idx="1097">
                  <c:v>41744</c:v>
                </c:pt>
                <c:pt idx="1098">
                  <c:v>41745</c:v>
                </c:pt>
                <c:pt idx="1099">
                  <c:v>41746</c:v>
                </c:pt>
                <c:pt idx="1100">
                  <c:v>41747</c:v>
                </c:pt>
                <c:pt idx="1101">
                  <c:v>41750</c:v>
                </c:pt>
                <c:pt idx="1102">
                  <c:v>41751</c:v>
                </c:pt>
                <c:pt idx="1103">
                  <c:v>41752</c:v>
                </c:pt>
                <c:pt idx="1104">
                  <c:v>41753</c:v>
                </c:pt>
                <c:pt idx="1105">
                  <c:v>41754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41760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41998</c:v>
                </c:pt>
                <c:pt idx="1280">
                  <c:v>41999</c:v>
                </c:pt>
                <c:pt idx="1281">
                  <c:v>42002</c:v>
                </c:pt>
                <c:pt idx="1282">
                  <c:v>42003</c:v>
                </c:pt>
                <c:pt idx="1283">
                  <c:v>42004</c:v>
                </c:pt>
                <c:pt idx="1284">
                  <c:v>42005</c:v>
                </c:pt>
                <c:pt idx="1285">
                  <c:v>42006</c:v>
                </c:pt>
                <c:pt idx="1286">
                  <c:v>42009</c:v>
                </c:pt>
                <c:pt idx="1287">
                  <c:v>42010</c:v>
                </c:pt>
                <c:pt idx="1288">
                  <c:v>42011</c:v>
                </c:pt>
                <c:pt idx="1289">
                  <c:v>42012</c:v>
                </c:pt>
                <c:pt idx="1290">
                  <c:v>42013</c:v>
                </c:pt>
                <c:pt idx="1291">
                  <c:v>42016</c:v>
                </c:pt>
                <c:pt idx="1292">
                  <c:v>42017</c:v>
                </c:pt>
                <c:pt idx="1293">
                  <c:v>42018</c:v>
                </c:pt>
                <c:pt idx="1294">
                  <c:v>42019</c:v>
                </c:pt>
                <c:pt idx="1295">
                  <c:v>42020</c:v>
                </c:pt>
                <c:pt idx="1296">
                  <c:v>42023</c:v>
                </c:pt>
                <c:pt idx="1297">
                  <c:v>42024</c:v>
                </c:pt>
                <c:pt idx="1298">
                  <c:v>42025</c:v>
                </c:pt>
                <c:pt idx="1299">
                  <c:v>42026</c:v>
                </c:pt>
                <c:pt idx="1300">
                  <c:v>42027</c:v>
                </c:pt>
                <c:pt idx="1301">
                  <c:v>42030</c:v>
                </c:pt>
                <c:pt idx="1302">
                  <c:v>42031</c:v>
                </c:pt>
                <c:pt idx="1303">
                  <c:v>42032</c:v>
                </c:pt>
                <c:pt idx="1304">
                  <c:v>42033</c:v>
                </c:pt>
                <c:pt idx="1305">
                  <c:v>42034</c:v>
                </c:pt>
                <c:pt idx="1306">
                  <c:v>42037</c:v>
                </c:pt>
                <c:pt idx="1307">
                  <c:v>42038</c:v>
                </c:pt>
                <c:pt idx="1308">
                  <c:v>42039</c:v>
                </c:pt>
                <c:pt idx="1309">
                  <c:v>42040</c:v>
                </c:pt>
                <c:pt idx="1310">
                  <c:v>42041</c:v>
                </c:pt>
                <c:pt idx="1311">
                  <c:v>42044</c:v>
                </c:pt>
                <c:pt idx="1312">
                  <c:v>42045</c:v>
                </c:pt>
                <c:pt idx="1313">
                  <c:v>42046</c:v>
                </c:pt>
                <c:pt idx="1314">
                  <c:v>42047</c:v>
                </c:pt>
                <c:pt idx="1315">
                  <c:v>42048</c:v>
                </c:pt>
                <c:pt idx="1316">
                  <c:v>42051</c:v>
                </c:pt>
                <c:pt idx="1317">
                  <c:v>42052</c:v>
                </c:pt>
                <c:pt idx="1318">
                  <c:v>42053</c:v>
                </c:pt>
                <c:pt idx="1319">
                  <c:v>42054</c:v>
                </c:pt>
                <c:pt idx="1320">
                  <c:v>42055</c:v>
                </c:pt>
                <c:pt idx="1321">
                  <c:v>42058</c:v>
                </c:pt>
                <c:pt idx="1322">
                  <c:v>42059</c:v>
                </c:pt>
                <c:pt idx="1323">
                  <c:v>42060</c:v>
                </c:pt>
                <c:pt idx="1324">
                  <c:v>42061</c:v>
                </c:pt>
                <c:pt idx="1325">
                  <c:v>42062</c:v>
                </c:pt>
                <c:pt idx="1326">
                  <c:v>42065</c:v>
                </c:pt>
                <c:pt idx="1327">
                  <c:v>42066</c:v>
                </c:pt>
                <c:pt idx="1328">
                  <c:v>42067</c:v>
                </c:pt>
                <c:pt idx="1329">
                  <c:v>42068</c:v>
                </c:pt>
                <c:pt idx="1330">
                  <c:v>42069</c:v>
                </c:pt>
                <c:pt idx="1331">
                  <c:v>42072</c:v>
                </c:pt>
                <c:pt idx="1332">
                  <c:v>42073</c:v>
                </c:pt>
                <c:pt idx="1333">
                  <c:v>42074</c:v>
                </c:pt>
                <c:pt idx="1334">
                  <c:v>42075</c:v>
                </c:pt>
                <c:pt idx="1335">
                  <c:v>42076</c:v>
                </c:pt>
                <c:pt idx="1336">
                  <c:v>42079</c:v>
                </c:pt>
                <c:pt idx="1337">
                  <c:v>42080</c:v>
                </c:pt>
                <c:pt idx="1338">
                  <c:v>42081</c:v>
                </c:pt>
                <c:pt idx="1339">
                  <c:v>42082</c:v>
                </c:pt>
                <c:pt idx="1340">
                  <c:v>42083</c:v>
                </c:pt>
                <c:pt idx="1341">
                  <c:v>42086</c:v>
                </c:pt>
                <c:pt idx="1342">
                  <c:v>42087</c:v>
                </c:pt>
                <c:pt idx="1343">
                  <c:v>42088</c:v>
                </c:pt>
                <c:pt idx="1344">
                  <c:v>42089</c:v>
                </c:pt>
                <c:pt idx="1345">
                  <c:v>42090</c:v>
                </c:pt>
                <c:pt idx="1346">
                  <c:v>42093</c:v>
                </c:pt>
                <c:pt idx="1347">
                  <c:v>42094</c:v>
                </c:pt>
                <c:pt idx="1348">
                  <c:v>42095</c:v>
                </c:pt>
                <c:pt idx="1349">
                  <c:v>42096</c:v>
                </c:pt>
                <c:pt idx="1350">
                  <c:v>42097</c:v>
                </c:pt>
                <c:pt idx="1351">
                  <c:v>42100</c:v>
                </c:pt>
                <c:pt idx="1352">
                  <c:v>42101</c:v>
                </c:pt>
                <c:pt idx="1353">
                  <c:v>42102</c:v>
                </c:pt>
                <c:pt idx="1354">
                  <c:v>42103</c:v>
                </c:pt>
                <c:pt idx="1355">
                  <c:v>42104</c:v>
                </c:pt>
                <c:pt idx="1356">
                  <c:v>42107</c:v>
                </c:pt>
                <c:pt idx="1357">
                  <c:v>42108</c:v>
                </c:pt>
                <c:pt idx="1358">
                  <c:v>42109</c:v>
                </c:pt>
                <c:pt idx="1359">
                  <c:v>42110</c:v>
                </c:pt>
                <c:pt idx="1360">
                  <c:v>42111</c:v>
                </c:pt>
                <c:pt idx="1361">
                  <c:v>42114</c:v>
                </c:pt>
                <c:pt idx="1362">
                  <c:v>42115</c:v>
                </c:pt>
                <c:pt idx="1363">
                  <c:v>42116</c:v>
                </c:pt>
                <c:pt idx="1364">
                  <c:v>42117</c:v>
                </c:pt>
                <c:pt idx="1365">
                  <c:v>42118</c:v>
                </c:pt>
                <c:pt idx="1366">
                  <c:v>42121</c:v>
                </c:pt>
                <c:pt idx="1367">
                  <c:v>42122</c:v>
                </c:pt>
                <c:pt idx="1368">
                  <c:v>42123</c:v>
                </c:pt>
                <c:pt idx="1369">
                  <c:v>42124</c:v>
                </c:pt>
                <c:pt idx="1370">
                  <c:v>42125</c:v>
                </c:pt>
                <c:pt idx="1371">
                  <c:v>42128</c:v>
                </c:pt>
                <c:pt idx="1372">
                  <c:v>42129</c:v>
                </c:pt>
                <c:pt idx="1373">
                  <c:v>42130</c:v>
                </c:pt>
                <c:pt idx="1374">
                  <c:v>42131</c:v>
                </c:pt>
                <c:pt idx="1375">
                  <c:v>42132</c:v>
                </c:pt>
                <c:pt idx="1376">
                  <c:v>42135</c:v>
                </c:pt>
                <c:pt idx="1377">
                  <c:v>42136</c:v>
                </c:pt>
                <c:pt idx="1378">
                  <c:v>42137</c:v>
                </c:pt>
                <c:pt idx="1379">
                  <c:v>42138</c:v>
                </c:pt>
                <c:pt idx="1380">
                  <c:v>42139</c:v>
                </c:pt>
                <c:pt idx="1381">
                  <c:v>42142</c:v>
                </c:pt>
                <c:pt idx="1382">
                  <c:v>42143</c:v>
                </c:pt>
                <c:pt idx="1383">
                  <c:v>42144</c:v>
                </c:pt>
                <c:pt idx="1384">
                  <c:v>42145</c:v>
                </c:pt>
                <c:pt idx="1385">
                  <c:v>42146</c:v>
                </c:pt>
                <c:pt idx="1386">
                  <c:v>42149</c:v>
                </c:pt>
                <c:pt idx="1387">
                  <c:v>42150</c:v>
                </c:pt>
                <c:pt idx="1388">
                  <c:v>42151</c:v>
                </c:pt>
                <c:pt idx="1389">
                  <c:v>42152</c:v>
                </c:pt>
                <c:pt idx="1390">
                  <c:v>42153</c:v>
                </c:pt>
                <c:pt idx="1391">
                  <c:v>42156</c:v>
                </c:pt>
                <c:pt idx="1392">
                  <c:v>42157</c:v>
                </c:pt>
                <c:pt idx="1393">
                  <c:v>42158</c:v>
                </c:pt>
                <c:pt idx="1394">
                  <c:v>42159</c:v>
                </c:pt>
                <c:pt idx="1395">
                  <c:v>42160</c:v>
                </c:pt>
                <c:pt idx="1396">
                  <c:v>42163</c:v>
                </c:pt>
                <c:pt idx="1397">
                  <c:v>42164</c:v>
                </c:pt>
                <c:pt idx="1398">
                  <c:v>42165</c:v>
                </c:pt>
                <c:pt idx="1399">
                  <c:v>42166</c:v>
                </c:pt>
                <c:pt idx="1400">
                  <c:v>42167</c:v>
                </c:pt>
                <c:pt idx="1401">
                  <c:v>42170</c:v>
                </c:pt>
                <c:pt idx="1402">
                  <c:v>42171</c:v>
                </c:pt>
                <c:pt idx="1403">
                  <c:v>42172</c:v>
                </c:pt>
                <c:pt idx="1404">
                  <c:v>42173</c:v>
                </c:pt>
                <c:pt idx="1405">
                  <c:v>42174</c:v>
                </c:pt>
                <c:pt idx="1406">
                  <c:v>42177</c:v>
                </c:pt>
                <c:pt idx="1407">
                  <c:v>42178</c:v>
                </c:pt>
                <c:pt idx="1408">
                  <c:v>42179</c:v>
                </c:pt>
                <c:pt idx="1409">
                  <c:v>42180</c:v>
                </c:pt>
                <c:pt idx="1410">
                  <c:v>42181</c:v>
                </c:pt>
                <c:pt idx="1411">
                  <c:v>42184</c:v>
                </c:pt>
                <c:pt idx="1412">
                  <c:v>42185</c:v>
                </c:pt>
                <c:pt idx="1413">
                  <c:v>42186</c:v>
                </c:pt>
                <c:pt idx="1414">
                  <c:v>42187</c:v>
                </c:pt>
                <c:pt idx="1415">
                  <c:v>42188</c:v>
                </c:pt>
                <c:pt idx="1416">
                  <c:v>42191</c:v>
                </c:pt>
                <c:pt idx="1417">
                  <c:v>42192</c:v>
                </c:pt>
                <c:pt idx="1418">
                  <c:v>42193</c:v>
                </c:pt>
                <c:pt idx="1419">
                  <c:v>42194</c:v>
                </c:pt>
                <c:pt idx="1420">
                  <c:v>42195</c:v>
                </c:pt>
                <c:pt idx="1421">
                  <c:v>42198</c:v>
                </c:pt>
                <c:pt idx="1422">
                  <c:v>42199</c:v>
                </c:pt>
                <c:pt idx="1423">
                  <c:v>42200</c:v>
                </c:pt>
                <c:pt idx="1424">
                  <c:v>42201</c:v>
                </c:pt>
                <c:pt idx="1425">
                  <c:v>42202</c:v>
                </c:pt>
                <c:pt idx="1426">
                  <c:v>42205</c:v>
                </c:pt>
                <c:pt idx="1427">
                  <c:v>42206</c:v>
                </c:pt>
                <c:pt idx="1428">
                  <c:v>42207</c:v>
                </c:pt>
                <c:pt idx="1429">
                  <c:v>42208</c:v>
                </c:pt>
                <c:pt idx="1430">
                  <c:v>42209</c:v>
                </c:pt>
                <c:pt idx="1431">
                  <c:v>42212</c:v>
                </c:pt>
                <c:pt idx="1432">
                  <c:v>42213</c:v>
                </c:pt>
                <c:pt idx="1433">
                  <c:v>42214</c:v>
                </c:pt>
                <c:pt idx="1434">
                  <c:v>42215</c:v>
                </c:pt>
                <c:pt idx="1435">
                  <c:v>42216</c:v>
                </c:pt>
                <c:pt idx="1436">
                  <c:v>42219</c:v>
                </c:pt>
                <c:pt idx="1437">
                  <c:v>42220</c:v>
                </c:pt>
                <c:pt idx="1438">
                  <c:v>42221</c:v>
                </c:pt>
                <c:pt idx="1439">
                  <c:v>42222</c:v>
                </c:pt>
                <c:pt idx="1440">
                  <c:v>42223</c:v>
                </c:pt>
                <c:pt idx="1441">
                  <c:v>42226</c:v>
                </c:pt>
                <c:pt idx="1442">
                  <c:v>42227</c:v>
                </c:pt>
                <c:pt idx="1443">
                  <c:v>42228</c:v>
                </c:pt>
                <c:pt idx="1444">
                  <c:v>42229</c:v>
                </c:pt>
                <c:pt idx="1445">
                  <c:v>42230</c:v>
                </c:pt>
                <c:pt idx="1446">
                  <c:v>42233</c:v>
                </c:pt>
                <c:pt idx="1447">
                  <c:v>42234</c:v>
                </c:pt>
                <c:pt idx="1448">
                  <c:v>42235</c:v>
                </c:pt>
                <c:pt idx="1449">
                  <c:v>42236</c:v>
                </c:pt>
                <c:pt idx="1450">
                  <c:v>42237</c:v>
                </c:pt>
                <c:pt idx="1451">
                  <c:v>42240</c:v>
                </c:pt>
                <c:pt idx="1452">
                  <c:v>42241</c:v>
                </c:pt>
                <c:pt idx="1453">
                  <c:v>42242</c:v>
                </c:pt>
                <c:pt idx="1454">
                  <c:v>42243</c:v>
                </c:pt>
                <c:pt idx="1455">
                  <c:v>42244</c:v>
                </c:pt>
                <c:pt idx="1456">
                  <c:v>42247</c:v>
                </c:pt>
                <c:pt idx="1457">
                  <c:v>42248</c:v>
                </c:pt>
                <c:pt idx="1458">
                  <c:v>42249</c:v>
                </c:pt>
                <c:pt idx="1459">
                  <c:v>42250</c:v>
                </c:pt>
                <c:pt idx="1460">
                  <c:v>42251</c:v>
                </c:pt>
                <c:pt idx="1461">
                  <c:v>42254</c:v>
                </c:pt>
                <c:pt idx="1462">
                  <c:v>42255</c:v>
                </c:pt>
                <c:pt idx="1463">
                  <c:v>42256</c:v>
                </c:pt>
                <c:pt idx="1464">
                  <c:v>42257</c:v>
                </c:pt>
                <c:pt idx="1465">
                  <c:v>42258</c:v>
                </c:pt>
                <c:pt idx="1466">
                  <c:v>42261</c:v>
                </c:pt>
                <c:pt idx="1467">
                  <c:v>42262</c:v>
                </c:pt>
                <c:pt idx="1468">
                  <c:v>42263</c:v>
                </c:pt>
                <c:pt idx="1469">
                  <c:v>42264</c:v>
                </c:pt>
                <c:pt idx="1470">
                  <c:v>42265</c:v>
                </c:pt>
                <c:pt idx="1471">
                  <c:v>42268</c:v>
                </c:pt>
                <c:pt idx="1472">
                  <c:v>42269</c:v>
                </c:pt>
                <c:pt idx="1473">
                  <c:v>42270</c:v>
                </c:pt>
                <c:pt idx="1474">
                  <c:v>42271</c:v>
                </c:pt>
                <c:pt idx="1475">
                  <c:v>42272</c:v>
                </c:pt>
                <c:pt idx="1476">
                  <c:v>42275</c:v>
                </c:pt>
                <c:pt idx="1477">
                  <c:v>42276</c:v>
                </c:pt>
                <c:pt idx="1478">
                  <c:v>42277</c:v>
                </c:pt>
                <c:pt idx="1479">
                  <c:v>42278</c:v>
                </c:pt>
                <c:pt idx="1480">
                  <c:v>42279</c:v>
                </c:pt>
                <c:pt idx="1481">
                  <c:v>42282</c:v>
                </c:pt>
                <c:pt idx="1482">
                  <c:v>42283</c:v>
                </c:pt>
                <c:pt idx="1483">
                  <c:v>42284</c:v>
                </c:pt>
                <c:pt idx="1484">
                  <c:v>42285</c:v>
                </c:pt>
                <c:pt idx="1485">
                  <c:v>42286</c:v>
                </c:pt>
                <c:pt idx="1486">
                  <c:v>42289</c:v>
                </c:pt>
                <c:pt idx="1487">
                  <c:v>42290</c:v>
                </c:pt>
                <c:pt idx="1488">
                  <c:v>42291</c:v>
                </c:pt>
                <c:pt idx="1489">
                  <c:v>42292</c:v>
                </c:pt>
                <c:pt idx="1490">
                  <c:v>42293</c:v>
                </c:pt>
                <c:pt idx="1491">
                  <c:v>42296</c:v>
                </c:pt>
                <c:pt idx="1492">
                  <c:v>42297</c:v>
                </c:pt>
                <c:pt idx="1493">
                  <c:v>42298</c:v>
                </c:pt>
                <c:pt idx="1494">
                  <c:v>42299</c:v>
                </c:pt>
                <c:pt idx="1495">
                  <c:v>42300</c:v>
                </c:pt>
                <c:pt idx="1496">
                  <c:v>42303</c:v>
                </c:pt>
                <c:pt idx="1497">
                  <c:v>42304</c:v>
                </c:pt>
                <c:pt idx="1498">
                  <c:v>42305</c:v>
                </c:pt>
                <c:pt idx="1499">
                  <c:v>42306</c:v>
                </c:pt>
                <c:pt idx="1500">
                  <c:v>42307</c:v>
                </c:pt>
                <c:pt idx="1501">
                  <c:v>42310</c:v>
                </c:pt>
                <c:pt idx="1502">
                  <c:v>42311</c:v>
                </c:pt>
                <c:pt idx="1503">
                  <c:v>42312</c:v>
                </c:pt>
                <c:pt idx="1504">
                  <c:v>42313</c:v>
                </c:pt>
                <c:pt idx="1505">
                  <c:v>42314</c:v>
                </c:pt>
                <c:pt idx="1506">
                  <c:v>42317</c:v>
                </c:pt>
                <c:pt idx="1507">
                  <c:v>42318</c:v>
                </c:pt>
                <c:pt idx="1508">
                  <c:v>42319</c:v>
                </c:pt>
                <c:pt idx="1509">
                  <c:v>42320</c:v>
                </c:pt>
                <c:pt idx="1510">
                  <c:v>42321</c:v>
                </c:pt>
                <c:pt idx="1511">
                  <c:v>42324</c:v>
                </c:pt>
                <c:pt idx="1512">
                  <c:v>42325</c:v>
                </c:pt>
                <c:pt idx="1513">
                  <c:v>42326</c:v>
                </c:pt>
                <c:pt idx="1514">
                  <c:v>42327</c:v>
                </c:pt>
                <c:pt idx="1515">
                  <c:v>42328</c:v>
                </c:pt>
                <c:pt idx="1516">
                  <c:v>42331</c:v>
                </c:pt>
                <c:pt idx="1517">
                  <c:v>42332</c:v>
                </c:pt>
                <c:pt idx="1518">
                  <c:v>42333</c:v>
                </c:pt>
                <c:pt idx="1519">
                  <c:v>42334</c:v>
                </c:pt>
                <c:pt idx="1520">
                  <c:v>42335</c:v>
                </c:pt>
                <c:pt idx="1521">
                  <c:v>42338</c:v>
                </c:pt>
                <c:pt idx="1522">
                  <c:v>42339</c:v>
                </c:pt>
                <c:pt idx="1523">
                  <c:v>42340</c:v>
                </c:pt>
                <c:pt idx="1524">
                  <c:v>42341</c:v>
                </c:pt>
                <c:pt idx="1525">
                  <c:v>42342</c:v>
                </c:pt>
                <c:pt idx="1526">
                  <c:v>42345</c:v>
                </c:pt>
                <c:pt idx="1527">
                  <c:v>42346</c:v>
                </c:pt>
                <c:pt idx="1528">
                  <c:v>42347</c:v>
                </c:pt>
                <c:pt idx="1529">
                  <c:v>42348</c:v>
                </c:pt>
                <c:pt idx="1530">
                  <c:v>42349</c:v>
                </c:pt>
                <c:pt idx="1531">
                  <c:v>42352</c:v>
                </c:pt>
                <c:pt idx="1532">
                  <c:v>42353</c:v>
                </c:pt>
                <c:pt idx="1533">
                  <c:v>42354</c:v>
                </c:pt>
                <c:pt idx="1534">
                  <c:v>42355</c:v>
                </c:pt>
                <c:pt idx="1535">
                  <c:v>42356</c:v>
                </c:pt>
                <c:pt idx="1536">
                  <c:v>42359</c:v>
                </c:pt>
                <c:pt idx="1537">
                  <c:v>42360</c:v>
                </c:pt>
                <c:pt idx="1538">
                  <c:v>42361</c:v>
                </c:pt>
                <c:pt idx="1539">
                  <c:v>42362</c:v>
                </c:pt>
                <c:pt idx="1540">
                  <c:v>42363</c:v>
                </c:pt>
                <c:pt idx="1541">
                  <c:v>42366</c:v>
                </c:pt>
                <c:pt idx="1542">
                  <c:v>42367</c:v>
                </c:pt>
                <c:pt idx="1543">
                  <c:v>42368</c:v>
                </c:pt>
                <c:pt idx="1544">
                  <c:v>42369</c:v>
                </c:pt>
                <c:pt idx="1545">
                  <c:v>42370</c:v>
                </c:pt>
                <c:pt idx="1546">
                  <c:v>42373</c:v>
                </c:pt>
                <c:pt idx="1547">
                  <c:v>42374</c:v>
                </c:pt>
                <c:pt idx="1548">
                  <c:v>42375</c:v>
                </c:pt>
                <c:pt idx="1549">
                  <c:v>42376</c:v>
                </c:pt>
                <c:pt idx="1550">
                  <c:v>42377</c:v>
                </c:pt>
                <c:pt idx="1551">
                  <c:v>42380</c:v>
                </c:pt>
                <c:pt idx="1552">
                  <c:v>42381</c:v>
                </c:pt>
                <c:pt idx="1553">
                  <c:v>42382</c:v>
                </c:pt>
                <c:pt idx="1554">
                  <c:v>42383</c:v>
                </c:pt>
                <c:pt idx="1555">
                  <c:v>42384</c:v>
                </c:pt>
                <c:pt idx="1556">
                  <c:v>42387</c:v>
                </c:pt>
                <c:pt idx="1557">
                  <c:v>42388</c:v>
                </c:pt>
                <c:pt idx="1558">
                  <c:v>42389</c:v>
                </c:pt>
                <c:pt idx="1559">
                  <c:v>42390</c:v>
                </c:pt>
                <c:pt idx="1560">
                  <c:v>42391</c:v>
                </c:pt>
                <c:pt idx="1561">
                  <c:v>42394</c:v>
                </c:pt>
                <c:pt idx="1562">
                  <c:v>42395</c:v>
                </c:pt>
                <c:pt idx="1563">
                  <c:v>42396</c:v>
                </c:pt>
                <c:pt idx="1564">
                  <c:v>42397</c:v>
                </c:pt>
                <c:pt idx="1565">
                  <c:v>42398</c:v>
                </c:pt>
                <c:pt idx="1566">
                  <c:v>42401</c:v>
                </c:pt>
                <c:pt idx="1567">
                  <c:v>42402</c:v>
                </c:pt>
                <c:pt idx="1568">
                  <c:v>42403</c:v>
                </c:pt>
                <c:pt idx="1569">
                  <c:v>42404</c:v>
                </c:pt>
                <c:pt idx="1570">
                  <c:v>42405</c:v>
                </c:pt>
                <c:pt idx="1571">
                  <c:v>42408</c:v>
                </c:pt>
                <c:pt idx="1572">
                  <c:v>42409</c:v>
                </c:pt>
                <c:pt idx="1573">
                  <c:v>42410</c:v>
                </c:pt>
                <c:pt idx="1574">
                  <c:v>42411</c:v>
                </c:pt>
                <c:pt idx="1575">
                  <c:v>42412</c:v>
                </c:pt>
                <c:pt idx="1576">
                  <c:v>42415</c:v>
                </c:pt>
                <c:pt idx="1577">
                  <c:v>42416</c:v>
                </c:pt>
                <c:pt idx="1578">
                  <c:v>42417</c:v>
                </c:pt>
                <c:pt idx="1579">
                  <c:v>42418</c:v>
                </c:pt>
                <c:pt idx="1580">
                  <c:v>42419</c:v>
                </c:pt>
                <c:pt idx="1581">
                  <c:v>42422</c:v>
                </c:pt>
                <c:pt idx="1582">
                  <c:v>42423</c:v>
                </c:pt>
                <c:pt idx="1583">
                  <c:v>42424</c:v>
                </c:pt>
                <c:pt idx="1584">
                  <c:v>42425</c:v>
                </c:pt>
                <c:pt idx="1585">
                  <c:v>42426</c:v>
                </c:pt>
                <c:pt idx="1586">
                  <c:v>42429</c:v>
                </c:pt>
                <c:pt idx="1587">
                  <c:v>42430</c:v>
                </c:pt>
                <c:pt idx="1588">
                  <c:v>42431</c:v>
                </c:pt>
                <c:pt idx="1589">
                  <c:v>42432</c:v>
                </c:pt>
                <c:pt idx="1590">
                  <c:v>42433</c:v>
                </c:pt>
                <c:pt idx="1591">
                  <c:v>42436</c:v>
                </c:pt>
                <c:pt idx="1592">
                  <c:v>42437</c:v>
                </c:pt>
                <c:pt idx="1593">
                  <c:v>42438</c:v>
                </c:pt>
                <c:pt idx="1594">
                  <c:v>42439</c:v>
                </c:pt>
                <c:pt idx="1595">
                  <c:v>42440</c:v>
                </c:pt>
                <c:pt idx="1596">
                  <c:v>42443</c:v>
                </c:pt>
                <c:pt idx="1597">
                  <c:v>42444</c:v>
                </c:pt>
                <c:pt idx="1598">
                  <c:v>42445</c:v>
                </c:pt>
                <c:pt idx="1599">
                  <c:v>42446</c:v>
                </c:pt>
                <c:pt idx="1600">
                  <c:v>42447</c:v>
                </c:pt>
                <c:pt idx="1601">
                  <c:v>42450</c:v>
                </c:pt>
                <c:pt idx="1602">
                  <c:v>42451</c:v>
                </c:pt>
                <c:pt idx="1603">
                  <c:v>42452</c:v>
                </c:pt>
                <c:pt idx="1604">
                  <c:v>42453</c:v>
                </c:pt>
                <c:pt idx="1605">
                  <c:v>42454</c:v>
                </c:pt>
                <c:pt idx="1606">
                  <c:v>42457</c:v>
                </c:pt>
                <c:pt idx="1607">
                  <c:v>42458</c:v>
                </c:pt>
                <c:pt idx="1608">
                  <c:v>42459</c:v>
                </c:pt>
                <c:pt idx="1609">
                  <c:v>42460</c:v>
                </c:pt>
                <c:pt idx="1610">
                  <c:v>42461</c:v>
                </c:pt>
                <c:pt idx="1611">
                  <c:v>42464</c:v>
                </c:pt>
                <c:pt idx="1612">
                  <c:v>42465</c:v>
                </c:pt>
                <c:pt idx="1613">
                  <c:v>42466</c:v>
                </c:pt>
                <c:pt idx="1614">
                  <c:v>42467</c:v>
                </c:pt>
                <c:pt idx="1615">
                  <c:v>42468</c:v>
                </c:pt>
                <c:pt idx="1616">
                  <c:v>42471</c:v>
                </c:pt>
                <c:pt idx="1617">
                  <c:v>42472</c:v>
                </c:pt>
                <c:pt idx="1618">
                  <c:v>42473</c:v>
                </c:pt>
                <c:pt idx="1619">
                  <c:v>42474</c:v>
                </c:pt>
                <c:pt idx="1620">
                  <c:v>42475</c:v>
                </c:pt>
                <c:pt idx="1621">
                  <c:v>42478</c:v>
                </c:pt>
                <c:pt idx="1622">
                  <c:v>42479</c:v>
                </c:pt>
                <c:pt idx="1623">
                  <c:v>42480</c:v>
                </c:pt>
                <c:pt idx="1624">
                  <c:v>42481</c:v>
                </c:pt>
                <c:pt idx="1625">
                  <c:v>42482</c:v>
                </c:pt>
                <c:pt idx="1626">
                  <c:v>42485</c:v>
                </c:pt>
                <c:pt idx="1627">
                  <c:v>42486</c:v>
                </c:pt>
                <c:pt idx="1628">
                  <c:v>42487</c:v>
                </c:pt>
                <c:pt idx="1629">
                  <c:v>42488</c:v>
                </c:pt>
                <c:pt idx="1630">
                  <c:v>42489</c:v>
                </c:pt>
                <c:pt idx="1631">
                  <c:v>42492</c:v>
                </c:pt>
                <c:pt idx="1632">
                  <c:v>42493</c:v>
                </c:pt>
                <c:pt idx="1633">
                  <c:v>42494</c:v>
                </c:pt>
                <c:pt idx="1634">
                  <c:v>42495</c:v>
                </c:pt>
                <c:pt idx="1635">
                  <c:v>42496</c:v>
                </c:pt>
                <c:pt idx="1636">
                  <c:v>42499</c:v>
                </c:pt>
                <c:pt idx="1637">
                  <c:v>42500</c:v>
                </c:pt>
                <c:pt idx="1638">
                  <c:v>42501</c:v>
                </c:pt>
                <c:pt idx="1639">
                  <c:v>42502</c:v>
                </c:pt>
                <c:pt idx="1640">
                  <c:v>42503</c:v>
                </c:pt>
                <c:pt idx="1641">
                  <c:v>42506</c:v>
                </c:pt>
                <c:pt idx="1642">
                  <c:v>42507</c:v>
                </c:pt>
                <c:pt idx="1643">
                  <c:v>42508</c:v>
                </c:pt>
                <c:pt idx="1644">
                  <c:v>42509</c:v>
                </c:pt>
                <c:pt idx="1645">
                  <c:v>42510</c:v>
                </c:pt>
                <c:pt idx="1646">
                  <c:v>42513</c:v>
                </c:pt>
                <c:pt idx="1647">
                  <c:v>42514</c:v>
                </c:pt>
                <c:pt idx="1648">
                  <c:v>42515</c:v>
                </c:pt>
                <c:pt idx="1649">
                  <c:v>42516</c:v>
                </c:pt>
                <c:pt idx="1650">
                  <c:v>42517</c:v>
                </c:pt>
                <c:pt idx="1651">
                  <c:v>42520</c:v>
                </c:pt>
                <c:pt idx="1652">
                  <c:v>42521</c:v>
                </c:pt>
                <c:pt idx="1653">
                  <c:v>42522</c:v>
                </c:pt>
                <c:pt idx="1654">
                  <c:v>42523</c:v>
                </c:pt>
                <c:pt idx="1655">
                  <c:v>42524</c:v>
                </c:pt>
                <c:pt idx="1656">
                  <c:v>42527</c:v>
                </c:pt>
                <c:pt idx="1657">
                  <c:v>42528</c:v>
                </c:pt>
                <c:pt idx="1658">
                  <c:v>42529</c:v>
                </c:pt>
                <c:pt idx="1659">
                  <c:v>42530</c:v>
                </c:pt>
                <c:pt idx="1660">
                  <c:v>42531</c:v>
                </c:pt>
                <c:pt idx="1661">
                  <c:v>42534</c:v>
                </c:pt>
                <c:pt idx="1662">
                  <c:v>42535</c:v>
                </c:pt>
                <c:pt idx="1663">
                  <c:v>42536</c:v>
                </c:pt>
                <c:pt idx="1664">
                  <c:v>42537</c:v>
                </c:pt>
                <c:pt idx="1665">
                  <c:v>42538</c:v>
                </c:pt>
                <c:pt idx="1666">
                  <c:v>42541</c:v>
                </c:pt>
                <c:pt idx="1667">
                  <c:v>42542</c:v>
                </c:pt>
                <c:pt idx="1668">
                  <c:v>42543</c:v>
                </c:pt>
                <c:pt idx="1669">
                  <c:v>42544</c:v>
                </c:pt>
                <c:pt idx="1670">
                  <c:v>42545</c:v>
                </c:pt>
                <c:pt idx="1671">
                  <c:v>42548</c:v>
                </c:pt>
                <c:pt idx="1672">
                  <c:v>42549</c:v>
                </c:pt>
                <c:pt idx="1673">
                  <c:v>42550</c:v>
                </c:pt>
                <c:pt idx="1674">
                  <c:v>42551</c:v>
                </c:pt>
                <c:pt idx="1675">
                  <c:v>42552</c:v>
                </c:pt>
                <c:pt idx="1676">
                  <c:v>42555</c:v>
                </c:pt>
                <c:pt idx="1677">
                  <c:v>42556</c:v>
                </c:pt>
                <c:pt idx="1678">
                  <c:v>42557</c:v>
                </c:pt>
                <c:pt idx="1679">
                  <c:v>42558</c:v>
                </c:pt>
                <c:pt idx="1680">
                  <c:v>42559</c:v>
                </c:pt>
                <c:pt idx="1681">
                  <c:v>42562</c:v>
                </c:pt>
                <c:pt idx="1682">
                  <c:v>42563</c:v>
                </c:pt>
                <c:pt idx="1683">
                  <c:v>42564</c:v>
                </c:pt>
                <c:pt idx="1684">
                  <c:v>42565</c:v>
                </c:pt>
                <c:pt idx="1685">
                  <c:v>42566</c:v>
                </c:pt>
                <c:pt idx="1686">
                  <c:v>42569</c:v>
                </c:pt>
                <c:pt idx="1687">
                  <c:v>42570</c:v>
                </c:pt>
                <c:pt idx="1688">
                  <c:v>42571</c:v>
                </c:pt>
                <c:pt idx="1689">
                  <c:v>42572</c:v>
                </c:pt>
                <c:pt idx="1690">
                  <c:v>42573</c:v>
                </c:pt>
                <c:pt idx="1691">
                  <c:v>42576</c:v>
                </c:pt>
                <c:pt idx="1692">
                  <c:v>42577</c:v>
                </c:pt>
                <c:pt idx="1693">
                  <c:v>42578</c:v>
                </c:pt>
                <c:pt idx="1694">
                  <c:v>42579</c:v>
                </c:pt>
                <c:pt idx="1695">
                  <c:v>42580</c:v>
                </c:pt>
                <c:pt idx="1696">
                  <c:v>42583</c:v>
                </c:pt>
                <c:pt idx="1697">
                  <c:v>42584</c:v>
                </c:pt>
                <c:pt idx="1698">
                  <c:v>42585</c:v>
                </c:pt>
                <c:pt idx="1699">
                  <c:v>42586</c:v>
                </c:pt>
                <c:pt idx="1700">
                  <c:v>42587</c:v>
                </c:pt>
                <c:pt idx="1701">
                  <c:v>42590</c:v>
                </c:pt>
                <c:pt idx="1702">
                  <c:v>42591</c:v>
                </c:pt>
                <c:pt idx="1703">
                  <c:v>42592</c:v>
                </c:pt>
                <c:pt idx="1704">
                  <c:v>42593</c:v>
                </c:pt>
                <c:pt idx="1705">
                  <c:v>42594</c:v>
                </c:pt>
                <c:pt idx="1706">
                  <c:v>42597</c:v>
                </c:pt>
                <c:pt idx="1707">
                  <c:v>42598</c:v>
                </c:pt>
                <c:pt idx="1708">
                  <c:v>42599</c:v>
                </c:pt>
                <c:pt idx="1709">
                  <c:v>42600</c:v>
                </c:pt>
                <c:pt idx="1710">
                  <c:v>42601</c:v>
                </c:pt>
                <c:pt idx="1711">
                  <c:v>42604</c:v>
                </c:pt>
                <c:pt idx="1712">
                  <c:v>42605</c:v>
                </c:pt>
                <c:pt idx="1713">
                  <c:v>42606</c:v>
                </c:pt>
                <c:pt idx="1714">
                  <c:v>42607</c:v>
                </c:pt>
                <c:pt idx="1715">
                  <c:v>42608</c:v>
                </c:pt>
                <c:pt idx="1716">
                  <c:v>42611</c:v>
                </c:pt>
                <c:pt idx="1717">
                  <c:v>42612</c:v>
                </c:pt>
                <c:pt idx="1718">
                  <c:v>42613</c:v>
                </c:pt>
                <c:pt idx="1719">
                  <c:v>42614</c:v>
                </c:pt>
                <c:pt idx="1720">
                  <c:v>42615</c:v>
                </c:pt>
                <c:pt idx="1721">
                  <c:v>42618</c:v>
                </c:pt>
                <c:pt idx="1722">
                  <c:v>42619</c:v>
                </c:pt>
                <c:pt idx="1723">
                  <c:v>42620</c:v>
                </c:pt>
                <c:pt idx="1724">
                  <c:v>42621</c:v>
                </c:pt>
                <c:pt idx="1725">
                  <c:v>42622</c:v>
                </c:pt>
                <c:pt idx="1726">
                  <c:v>42625</c:v>
                </c:pt>
                <c:pt idx="1727">
                  <c:v>42626</c:v>
                </c:pt>
                <c:pt idx="1728">
                  <c:v>42627</c:v>
                </c:pt>
                <c:pt idx="1729">
                  <c:v>42628</c:v>
                </c:pt>
                <c:pt idx="1730">
                  <c:v>42629</c:v>
                </c:pt>
                <c:pt idx="1731">
                  <c:v>42632</c:v>
                </c:pt>
                <c:pt idx="1732">
                  <c:v>42633</c:v>
                </c:pt>
                <c:pt idx="1733">
                  <c:v>42634</c:v>
                </c:pt>
                <c:pt idx="1734">
                  <c:v>42635</c:v>
                </c:pt>
                <c:pt idx="1735">
                  <c:v>42636</c:v>
                </c:pt>
                <c:pt idx="1736">
                  <c:v>42639</c:v>
                </c:pt>
                <c:pt idx="1737">
                  <c:v>42640</c:v>
                </c:pt>
                <c:pt idx="1738">
                  <c:v>42641</c:v>
                </c:pt>
                <c:pt idx="1739">
                  <c:v>42642</c:v>
                </c:pt>
                <c:pt idx="1740">
                  <c:v>42643</c:v>
                </c:pt>
                <c:pt idx="1741">
                  <c:v>42646</c:v>
                </c:pt>
                <c:pt idx="1742">
                  <c:v>42647</c:v>
                </c:pt>
                <c:pt idx="1743">
                  <c:v>42648</c:v>
                </c:pt>
                <c:pt idx="1744">
                  <c:v>42649</c:v>
                </c:pt>
                <c:pt idx="1745">
                  <c:v>42650</c:v>
                </c:pt>
                <c:pt idx="1746">
                  <c:v>42653</c:v>
                </c:pt>
                <c:pt idx="1747">
                  <c:v>42654</c:v>
                </c:pt>
                <c:pt idx="1748">
                  <c:v>42655</c:v>
                </c:pt>
                <c:pt idx="1749">
                  <c:v>42656</c:v>
                </c:pt>
                <c:pt idx="1750">
                  <c:v>42657</c:v>
                </c:pt>
                <c:pt idx="1751">
                  <c:v>42660</c:v>
                </c:pt>
                <c:pt idx="1752">
                  <c:v>42661</c:v>
                </c:pt>
                <c:pt idx="1753">
                  <c:v>42662</c:v>
                </c:pt>
                <c:pt idx="1754">
                  <c:v>42663</c:v>
                </c:pt>
                <c:pt idx="1755">
                  <c:v>42664</c:v>
                </c:pt>
                <c:pt idx="1756">
                  <c:v>42667</c:v>
                </c:pt>
                <c:pt idx="1757">
                  <c:v>42668</c:v>
                </c:pt>
                <c:pt idx="1758">
                  <c:v>42669</c:v>
                </c:pt>
                <c:pt idx="1759">
                  <c:v>42670</c:v>
                </c:pt>
                <c:pt idx="1760">
                  <c:v>42671</c:v>
                </c:pt>
                <c:pt idx="1761">
                  <c:v>42674</c:v>
                </c:pt>
                <c:pt idx="1762">
                  <c:v>42675</c:v>
                </c:pt>
                <c:pt idx="1763">
                  <c:v>42676</c:v>
                </c:pt>
                <c:pt idx="1764">
                  <c:v>42677</c:v>
                </c:pt>
                <c:pt idx="1765">
                  <c:v>42678</c:v>
                </c:pt>
                <c:pt idx="1766">
                  <c:v>42681</c:v>
                </c:pt>
                <c:pt idx="1767">
                  <c:v>42682</c:v>
                </c:pt>
                <c:pt idx="1768">
                  <c:v>42683</c:v>
                </c:pt>
                <c:pt idx="1769">
                  <c:v>42684</c:v>
                </c:pt>
                <c:pt idx="1770">
                  <c:v>42685</c:v>
                </c:pt>
                <c:pt idx="1771">
                  <c:v>42688</c:v>
                </c:pt>
                <c:pt idx="1772">
                  <c:v>42689</c:v>
                </c:pt>
                <c:pt idx="1773">
                  <c:v>42690</c:v>
                </c:pt>
                <c:pt idx="1774">
                  <c:v>42691</c:v>
                </c:pt>
                <c:pt idx="1775">
                  <c:v>42692</c:v>
                </c:pt>
                <c:pt idx="1776">
                  <c:v>42695</c:v>
                </c:pt>
                <c:pt idx="1777">
                  <c:v>42696</c:v>
                </c:pt>
                <c:pt idx="1778">
                  <c:v>42697</c:v>
                </c:pt>
                <c:pt idx="1779">
                  <c:v>42698</c:v>
                </c:pt>
                <c:pt idx="1780">
                  <c:v>42699</c:v>
                </c:pt>
                <c:pt idx="1781">
                  <c:v>42702</c:v>
                </c:pt>
                <c:pt idx="1782">
                  <c:v>42703</c:v>
                </c:pt>
                <c:pt idx="1783">
                  <c:v>42704</c:v>
                </c:pt>
                <c:pt idx="1784">
                  <c:v>42705</c:v>
                </c:pt>
                <c:pt idx="1785">
                  <c:v>42706</c:v>
                </c:pt>
                <c:pt idx="1786">
                  <c:v>42709</c:v>
                </c:pt>
                <c:pt idx="1787">
                  <c:v>42710</c:v>
                </c:pt>
                <c:pt idx="1788">
                  <c:v>42711</c:v>
                </c:pt>
                <c:pt idx="1789">
                  <c:v>42712</c:v>
                </c:pt>
                <c:pt idx="1790">
                  <c:v>42713</c:v>
                </c:pt>
                <c:pt idx="1791">
                  <c:v>42716</c:v>
                </c:pt>
                <c:pt idx="1792">
                  <c:v>42717</c:v>
                </c:pt>
                <c:pt idx="1793">
                  <c:v>42718</c:v>
                </c:pt>
                <c:pt idx="1794">
                  <c:v>42719</c:v>
                </c:pt>
                <c:pt idx="1795">
                  <c:v>42720</c:v>
                </c:pt>
                <c:pt idx="1796">
                  <c:v>42723</c:v>
                </c:pt>
                <c:pt idx="1797">
                  <c:v>42724</c:v>
                </c:pt>
                <c:pt idx="1798">
                  <c:v>42725</c:v>
                </c:pt>
                <c:pt idx="1799">
                  <c:v>42726</c:v>
                </c:pt>
                <c:pt idx="1800">
                  <c:v>42727</c:v>
                </c:pt>
                <c:pt idx="1801">
                  <c:v>42730</c:v>
                </c:pt>
                <c:pt idx="1802">
                  <c:v>42731</c:v>
                </c:pt>
                <c:pt idx="1803">
                  <c:v>42732</c:v>
                </c:pt>
                <c:pt idx="1804">
                  <c:v>42733</c:v>
                </c:pt>
                <c:pt idx="1805">
                  <c:v>42734</c:v>
                </c:pt>
                <c:pt idx="1806">
                  <c:v>42737</c:v>
                </c:pt>
                <c:pt idx="1807">
                  <c:v>42738</c:v>
                </c:pt>
                <c:pt idx="1808">
                  <c:v>42739</c:v>
                </c:pt>
                <c:pt idx="1809">
                  <c:v>42740</c:v>
                </c:pt>
                <c:pt idx="1810">
                  <c:v>42741</c:v>
                </c:pt>
                <c:pt idx="1811">
                  <c:v>42744</c:v>
                </c:pt>
                <c:pt idx="1812">
                  <c:v>42745</c:v>
                </c:pt>
                <c:pt idx="1813">
                  <c:v>42746</c:v>
                </c:pt>
                <c:pt idx="1814">
                  <c:v>42747</c:v>
                </c:pt>
                <c:pt idx="1815">
                  <c:v>42748</c:v>
                </c:pt>
                <c:pt idx="1816">
                  <c:v>42751</c:v>
                </c:pt>
                <c:pt idx="1817">
                  <c:v>42752</c:v>
                </c:pt>
                <c:pt idx="1818">
                  <c:v>42753</c:v>
                </c:pt>
                <c:pt idx="1819">
                  <c:v>42754</c:v>
                </c:pt>
                <c:pt idx="1820">
                  <c:v>42755</c:v>
                </c:pt>
                <c:pt idx="1821">
                  <c:v>42758</c:v>
                </c:pt>
                <c:pt idx="1822">
                  <c:v>42759</c:v>
                </c:pt>
                <c:pt idx="1823">
                  <c:v>42760</c:v>
                </c:pt>
                <c:pt idx="1824">
                  <c:v>42761</c:v>
                </c:pt>
                <c:pt idx="1825">
                  <c:v>42762</c:v>
                </c:pt>
                <c:pt idx="1826">
                  <c:v>42765</c:v>
                </c:pt>
                <c:pt idx="1827">
                  <c:v>42766</c:v>
                </c:pt>
                <c:pt idx="1828">
                  <c:v>42767</c:v>
                </c:pt>
                <c:pt idx="1829">
                  <c:v>42768</c:v>
                </c:pt>
                <c:pt idx="1830">
                  <c:v>42769</c:v>
                </c:pt>
                <c:pt idx="1831">
                  <c:v>42772</c:v>
                </c:pt>
                <c:pt idx="1832">
                  <c:v>42773</c:v>
                </c:pt>
                <c:pt idx="1833">
                  <c:v>42774</c:v>
                </c:pt>
                <c:pt idx="1834">
                  <c:v>42775</c:v>
                </c:pt>
                <c:pt idx="1835">
                  <c:v>42776</c:v>
                </c:pt>
                <c:pt idx="1836">
                  <c:v>42779</c:v>
                </c:pt>
                <c:pt idx="1837">
                  <c:v>42780</c:v>
                </c:pt>
                <c:pt idx="1838">
                  <c:v>42781</c:v>
                </c:pt>
                <c:pt idx="1839">
                  <c:v>42782</c:v>
                </c:pt>
                <c:pt idx="1840">
                  <c:v>42783</c:v>
                </c:pt>
                <c:pt idx="1841">
                  <c:v>42786</c:v>
                </c:pt>
                <c:pt idx="1842">
                  <c:v>42787</c:v>
                </c:pt>
                <c:pt idx="1843">
                  <c:v>42788</c:v>
                </c:pt>
                <c:pt idx="1844">
                  <c:v>42789</c:v>
                </c:pt>
                <c:pt idx="1845">
                  <c:v>42790</c:v>
                </c:pt>
                <c:pt idx="1846">
                  <c:v>42793</c:v>
                </c:pt>
                <c:pt idx="1847">
                  <c:v>42794</c:v>
                </c:pt>
                <c:pt idx="1848">
                  <c:v>42795</c:v>
                </c:pt>
                <c:pt idx="1849">
                  <c:v>42796</c:v>
                </c:pt>
                <c:pt idx="1850">
                  <c:v>42797</c:v>
                </c:pt>
                <c:pt idx="1851">
                  <c:v>42800</c:v>
                </c:pt>
                <c:pt idx="1852">
                  <c:v>42801</c:v>
                </c:pt>
                <c:pt idx="1853">
                  <c:v>42802</c:v>
                </c:pt>
                <c:pt idx="1854">
                  <c:v>42803</c:v>
                </c:pt>
                <c:pt idx="1855">
                  <c:v>42804</c:v>
                </c:pt>
                <c:pt idx="1856">
                  <c:v>42807</c:v>
                </c:pt>
                <c:pt idx="1857">
                  <c:v>42808</c:v>
                </c:pt>
                <c:pt idx="1858">
                  <c:v>42809</c:v>
                </c:pt>
                <c:pt idx="1859">
                  <c:v>42810</c:v>
                </c:pt>
                <c:pt idx="1860">
                  <c:v>42811</c:v>
                </c:pt>
                <c:pt idx="1861">
                  <c:v>42814</c:v>
                </c:pt>
                <c:pt idx="1862">
                  <c:v>42815</c:v>
                </c:pt>
                <c:pt idx="1863">
                  <c:v>42816</c:v>
                </c:pt>
                <c:pt idx="1864">
                  <c:v>42817</c:v>
                </c:pt>
                <c:pt idx="1865">
                  <c:v>42818</c:v>
                </c:pt>
                <c:pt idx="1866">
                  <c:v>42821</c:v>
                </c:pt>
                <c:pt idx="1867">
                  <c:v>42822</c:v>
                </c:pt>
                <c:pt idx="1868">
                  <c:v>42823</c:v>
                </c:pt>
                <c:pt idx="1869">
                  <c:v>42824</c:v>
                </c:pt>
                <c:pt idx="1870">
                  <c:v>42825</c:v>
                </c:pt>
                <c:pt idx="1871">
                  <c:v>42828</c:v>
                </c:pt>
                <c:pt idx="1872">
                  <c:v>42829</c:v>
                </c:pt>
                <c:pt idx="1873">
                  <c:v>42830</c:v>
                </c:pt>
                <c:pt idx="1874">
                  <c:v>42831</c:v>
                </c:pt>
                <c:pt idx="1875">
                  <c:v>42832</c:v>
                </c:pt>
                <c:pt idx="1876">
                  <c:v>42835</c:v>
                </c:pt>
                <c:pt idx="1877">
                  <c:v>42836</c:v>
                </c:pt>
                <c:pt idx="1878">
                  <c:v>42837</c:v>
                </c:pt>
                <c:pt idx="1879">
                  <c:v>42838</c:v>
                </c:pt>
                <c:pt idx="1880">
                  <c:v>42839</c:v>
                </c:pt>
                <c:pt idx="1881">
                  <c:v>42842</c:v>
                </c:pt>
                <c:pt idx="1882">
                  <c:v>42843</c:v>
                </c:pt>
                <c:pt idx="1883">
                  <c:v>42844</c:v>
                </c:pt>
                <c:pt idx="1884">
                  <c:v>42845</c:v>
                </c:pt>
                <c:pt idx="1885">
                  <c:v>42846</c:v>
                </c:pt>
                <c:pt idx="1886">
                  <c:v>42849</c:v>
                </c:pt>
                <c:pt idx="1887">
                  <c:v>42850</c:v>
                </c:pt>
                <c:pt idx="1888">
                  <c:v>42851</c:v>
                </c:pt>
                <c:pt idx="1889">
                  <c:v>42852</c:v>
                </c:pt>
                <c:pt idx="1890">
                  <c:v>42853</c:v>
                </c:pt>
                <c:pt idx="1891">
                  <c:v>42856</c:v>
                </c:pt>
                <c:pt idx="1892">
                  <c:v>42857</c:v>
                </c:pt>
                <c:pt idx="1893">
                  <c:v>42858</c:v>
                </c:pt>
                <c:pt idx="1894">
                  <c:v>42859</c:v>
                </c:pt>
                <c:pt idx="1895">
                  <c:v>42860</c:v>
                </c:pt>
                <c:pt idx="1896">
                  <c:v>42863</c:v>
                </c:pt>
                <c:pt idx="1897">
                  <c:v>42864</c:v>
                </c:pt>
                <c:pt idx="1898">
                  <c:v>42865</c:v>
                </c:pt>
                <c:pt idx="1899">
                  <c:v>42866</c:v>
                </c:pt>
                <c:pt idx="1900">
                  <c:v>42867</c:v>
                </c:pt>
                <c:pt idx="1901">
                  <c:v>42870</c:v>
                </c:pt>
                <c:pt idx="1902">
                  <c:v>42871</c:v>
                </c:pt>
                <c:pt idx="1903">
                  <c:v>42872</c:v>
                </c:pt>
                <c:pt idx="1904">
                  <c:v>42873</c:v>
                </c:pt>
                <c:pt idx="1905">
                  <c:v>42874</c:v>
                </c:pt>
                <c:pt idx="1906">
                  <c:v>42877</c:v>
                </c:pt>
                <c:pt idx="1907">
                  <c:v>42878</c:v>
                </c:pt>
                <c:pt idx="1908">
                  <c:v>42879</c:v>
                </c:pt>
                <c:pt idx="1909">
                  <c:v>42880</c:v>
                </c:pt>
                <c:pt idx="1910">
                  <c:v>42881</c:v>
                </c:pt>
                <c:pt idx="1911">
                  <c:v>42884</c:v>
                </c:pt>
                <c:pt idx="1912">
                  <c:v>42885</c:v>
                </c:pt>
                <c:pt idx="1913">
                  <c:v>42886</c:v>
                </c:pt>
                <c:pt idx="1914">
                  <c:v>42887</c:v>
                </c:pt>
                <c:pt idx="1915">
                  <c:v>42888</c:v>
                </c:pt>
                <c:pt idx="1916">
                  <c:v>42891</c:v>
                </c:pt>
                <c:pt idx="1917">
                  <c:v>42892</c:v>
                </c:pt>
                <c:pt idx="1918">
                  <c:v>42893</c:v>
                </c:pt>
                <c:pt idx="1919">
                  <c:v>42894</c:v>
                </c:pt>
                <c:pt idx="1920">
                  <c:v>42895</c:v>
                </c:pt>
                <c:pt idx="1921">
                  <c:v>42898</c:v>
                </c:pt>
                <c:pt idx="1922">
                  <c:v>42899</c:v>
                </c:pt>
                <c:pt idx="1923">
                  <c:v>42900</c:v>
                </c:pt>
                <c:pt idx="1924">
                  <c:v>42901</c:v>
                </c:pt>
                <c:pt idx="1925">
                  <c:v>42902</c:v>
                </c:pt>
                <c:pt idx="1926">
                  <c:v>42905</c:v>
                </c:pt>
                <c:pt idx="1927">
                  <c:v>42906</c:v>
                </c:pt>
                <c:pt idx="1928">
                  <c:v>42907</c:v>
                </c:pt>
                <c:pt idx="1929">
                  <c:v>42908</c:v>
                </c:pt>
                <c:pt idx="1930">
                  <c:v>42909</c:v>
                </c:pt>
                <c:pt idx="1931">
                  <c:v>42912</c:v>
                </c:pt>
                <c:pt idx="1932">
                  <c:v>42913</c:v>
                </c:pt>
                <c:pt idx="1933">
                  <c:v>42914</c:v>
                </c:pt>
                <c:pt idx="1934">
                  <c:v>42915</c:v>
                </c:pt>
                <c:pt idx="1935">
                  <c:v>42916</c:v>
                </c:pt>
                <c:pt idx="1936">
                  <c:v>42919</c:v>
                </c:pt>
                <c:pt idx="1937">
                  <c:v>42920</c:v>
                </c:pt>
                <c:pt idx="1938">
                  <c:v>42921</c:v>
                </c:pt>
                <c:pt idx="1939">
                  <c:v>42922</c:v>
                </c:pt>
                <c:pt idx="1940">
                  <c:v>42923</c:v>
                </c:pt>
                <c:pt idx="1941">
                  <c:v>42926</c:v>
                </c:pt>
                <c:pt idx="1942">
                  <c:v>42927</c:v>
                </c:pt>
                <c:pt idx="1943">
                  <c:v>42928</c:v>
                </c:pt>
                <c:pt idx="1944">
                  <c:v>42929</c:v>
                </c:pt>
                <c:pt idx="1945">
                  <c:v>42930</c:v>
                </c:pt>
                <c:pt idx="1946">
                  <c:v>42933</c:v>
                </c:pt>
                <c:pt idx="1947">
                  <c:v>42934</c:v>
                </c:pt>
                <c:pt idx="1948">
                  <c:v>42935</c:v>
                </c:pt>
                <c:pt idx="1949">
                  <c:v>42936</c:v>
                </c:pt>
                <c:pt idx="1950">
                  <c:v>42937</c:v>
                </c:pt>
                <c:pt idx="1951">
                  <c:v>42940</c:v>
                </c:pt>
                <c:pt idx="1952">
                  <c:v>42941</c:v>
                </c:pt>
                <c:pt idx="1953">
                  <c:v>42942</c:v>
                </c:pt>
                <c:pt idx="1954">
                  <c:v>42943</c:v>
                </c:pt>
                <c:pt idx="1955">
                  <c:v>42944</c:v>
                </c:pt>
                <c:pt idx="1956">
                  <c:v>42947</c:v>
                </c:pt>
                <c:pt idx="1957">
                  <c:v>42948</c:v>
                </c:pt>
                <c:pt idx="1958">
                  <c:v>42949</c:v>
                </c:pt>
                <c:pt idx="1959">
                  <c:v>42950</c:v>
                </c:pt>
                <c:pt idx="1960">
                  <c:v>42951</c:v>
                </c:pt>
                <c:pt idx="1961">
                  <c:v>42954</c:v>
                </c:pt>
                <c:pt idx="1962">
                  <c:v>42955</c:v>
                </c:pt>
                <c:pt idx="1963">
                  <c:v>42956</c:v>
                </c:pt>
                <c:pt idx="1964">
                  <c:v>42957</c:v>
                </c:pt>
                <c:pt idx="1965">
                  <c:v>42958</c:v>
                </c:pt>
                <c:pt idx="1966">
                  <c:v>42961</c:v>
                </c:pt>
                <c:pt idx="1967">
                  <c:v>42962</c:v>
                </c:pt>
                <c:pt idx="1968">
                  <c:v>42963</c:v>
                </c:pt>
                <c:pt idx="1969">
                  <c:v>42964</c:v>
                </c:pt>
                <c:pt idx="1970">
                  <c:v>42965</c:v>
                </c:pt>
                <c:pt idx="1971">
                  <c:v>42968</c:v>
                </c:pt>
                <c:pt idx="1972">
                  <c:v>42969</c:v>
                </c:pt>
                <c:pt idx="1973">
                  <c:v>42970</c:v>
                </c:pt>
                <c:pt idx="1974">
                  <c:v>42971</c:v>
                </c:pt>
                <c:pt idx="1975">
                  <c:v>42972</c:v>
                </c:pt>
                <c:pt idx="1976">
                  <c:v>42975</c:v>
                </c:pt>
                <c:pt idx="1977">
                  <c:v>42976</c:v>
                </c:pt>
                <c:pt idx="1978">
                  <c:v>42977</c:v>
                </c:pt>
                <c:pt idx="1979">
                  <c:v>42978</c:v>
                </c:pt>
                <c:pt idx="1980">
                  <c:v>42979</c:v>
                </c:pt>
                <c:pt idx="1981">
                  <c:v>42982</c:v>
                </c:pt>
                <c:pt idx="1982">
                  <c:v>42983</c:v>
                </c:pt>
                <c:pt idx="1983">
                  <c:v>42984</c:v>
                </c:pt>
                <c:pt idx="1984">
                  <c:v>42985</c:v>
                </c:pt>
                <c:pt idx="1985">
                  <c:v>42986</c:v>
                </c:pt>
                <c:pt idx="1986">
                  <c:v>42989</c:v>
                </c:pt>
                <c:pt idx="1987">
                  <c:v>42990</c:v>
                </c:pt>
                <c:pt idx="1988">
                  <c:v>42991</c:v>
                </c:pt>
                <c:pt idx="1989">
                  <c:v>42992</c:v>
                </c:pt>
                <c:pt idx="1990">
                  <c:v>42993</c:v>
                </c:pt>
                <c:pt idx="1991">
                  <c:v>42996</c:v>
                </c:pt>
                <c:pt idx="1992">
                  <c:v>42997</c:v>
                </c:pt>
                <c:pt idx="1993">
                  <c:v>42998</c:v>
                </c:pt>
                <c:pt idx="1994">
                  <c:v>42999</c:v>
                </c:pt>
                <c:pt idx="1995">
                  <c:v>43000</c:v>
                </c:pt>
                <c:pt idx="1996">
                  <c:v>43003</c:v>
                </c:pt>
                <c:pt idx="1997">
                  <c:v>43004</c:v>
                </c:pt>
                <c:pt idx="1998">
                  <c:v>43005</c:v>
                </c:pt>
                <c:pt idx="1999">
                  <c:v>43006</c:v>
                </c:pt>
                <c:pt idx="2000">
                  <c:v>43007</c:v>
                </c:pt>
                <c:pt idx="2001">
                  <c:v>43010</c:v>
                </c:pt>
                <c:pt idx="2002">
                  <c:v>43011</c:v>
                </c:pt>
                <c:pt idx="2003">
                  <c:v>43012</c:v>
                </c:pt>
                <c:pt idx="2004">
                  <c:v>43013</c:v>
                </c:pt>
                <c:pt idx="2005">
                  <c:v>43014</c:v>
                </c:pt>
                <c:pt idx="2006">
                  <c:v>43017</c:v>
                </c:pt>
                <c:pt idx="2007">
                  <c:v>43018</c:v>
                </c:pt>
                <c:pt idx="2008">
                  <c:v>43019</c:v>
                </c:pt>
                <c:pt idx="2009">
                  <c:v>43020</c:v>
                </c:pt>
                <c:pt idx="2010">
                  <c:v>43021</c:v>
                </c:pt>
                <c:pt idx="2011">
                  <c:v>43024</c:v>
                </c:pt>
                <c:pt idx="2012">
                  <c:v>43025</c:v>
                </c:pt>
                <c:pt idx="2013">
                  <c:v>43026</c:v>
                </c:pt>
                <c:pt idx="2014">
                  <c:v>43027</c:v>
                </c:pt>
                <c:pt idx="2015">
                  <c:v>43028</c:v>
                </c:pt>
                <c:pt idx="2016">
                  <c:v>43031</c:v>
                </c:pt>
                <c:pt idx="2017">
                  <c:v>43032</c:v>
                </c:pt>
                <c:pt idx="2018">
                  <c:v>43033</c:v>
                </c:pt>
                <c:pt idx="2019">
                  <c:v>43034</c:v>
                </c:pt>
                <c:pt idx="2020">
                  <c:v>43035</c:v>
                </c:pt>
                <c:pt idx="2021">
                  <c:v>43038</c:v>
                </c:pt>
                <c:pt idx="2022">
                  <c:v>43039</c:v>
                </c:pt>
                <c:pt idx="2023">
                  <c:v>43040</c:v>
                </c:pt>
                <c:pt idx="2024">
                  <c:v>43041</c:v>
                </c:pt>
                <c:pt idx="2025">
                  <c:v>43042</c:v>
                </c:pt>
                <c:pt idx="2026">
                  <c:v>43045</c:v>
                </c:pt>
                <c:pt idx="2027">
                  <c:v>43046</c:v>
                </c:pt>
                <c:pt idx="2028">
                  <c:v>43047</c:v>
                </c:pt>
                <c:pt idx="2029">
                  <c:v>43048</c:v>
                </c:pt>
                <c:pt idx="2030">
                  <c:v>43049</c:v>
                </c:pt>
                <c:pt idx="2031">
                  <c:v>43052</c:v>
                </c:pt>
                <c:pt idx="2032">
                  <c:v>43053</c:v>
                </c:pt>
                <c:pt idx="2033">
                  <c:v>43054</c:v>
                </c:pt>
                <c:pt idx="2034">
                  <c:v>43055</c:v>
                </c:pt>
                <c:pt idx="2035">
                  <c:v>43056</c:v>
                </c:pt>
                <c:pt idx="2036">
                  <c:v>43059</c:v>
                </c:pt>
                <c:pt idx="2037">
                  <c:v>43060</c:v>
                </c:pt>
                <c:pt idx="2038">
                  <c:v>43061</c:v>
                </c:pt>
                <c:pt idx="2039">
                  <c:v>43062</c:v>
                </c:pt>
                <c:pt idx="2040">
                  <c:v>43063</c:v>
                </c:pt>
                <c:pt idx="2041">
                  <c:v>43066</c:v>
                </c:pt>
                <c:pt idx="2042">
                  <c:v>43067</c:v>
                </c:pt>
                <c:pt idx="2043">
                  <c:v>43068</c:v>
                </c:pt>
                <c:pt idx="2044">
                  <c:v>43069</c:v>
                </c:pt>
                <c:pt idx="2045">
                  <c:v>43070</c:v>
                </c:pt>
                <c:pt idx="2046">
                  <c:v>43073</c:v>
                </c:pt>
                <c:pt idx="2047">
                  <c:v>43074</c:v>
                </c:pt>
                <c:pt idx="2048">
                  <c:v>43075</c:v>
                </c:pt>
                <c:pt idx="2049">
                  <c:v>43076</c:v>
                </c:pt>
                <c:pt idx="2050">
                  <c:v>43077</c:v>
                </c:pt>
                <c:pt idx="2051">
                  <c:v>43080</c:v>
                </c:pt>
                <c:pt idx="2052">
                  <c:v>43081</c:v>
                </c:pt>
                <c:pt idx="2053">
                  <c:v>43082</c:v>
                </c:pt>
                <c:pt idx="2054">
                  <c:v>43083</c:v>
                </c:pt>
                <c:pt idx="2055">
                  <c:v>43084</c:v>
                </c:pt>
                <c:pt idx="2056">
                  <c:v>43087</c:v>
                </c:pt>
                <c:pt idx="2057">
                  <c:v>43088</c:v>
                </c:pt>
                <c:pt idx="2058">
                  <c:v>43089</c:v>
                </c:pt>
                <c:pt idx="2059">
                  <c:v>43090</c:v>
                </c:pt>
                <c:pt idx="2060">
                  <c:v>43091</c:v>
                </c:pt>
                <c:pt idx="2061">
                  <c:v>43094</c:v>
                </c:pt>
                <c:pt idx="2062">
                  <c:v>43095</c:v>
                </c:pt>
                <c:pt idx="2063">
                  <c:v>43096</c:v>
                </c:pt>
                <c:pt idx="2064">
                  <c:v>43097</c:v>
                </c:pt>
                <c:pt idx="2065">
                  <c:v>43098</c:v>
                </c:pt>
                <c:pt idx="2066">
                  <c:v>43101</c:v>
                </c:pt>
                <c:pt idx="2067">
                  <c:v>43102</c:v>
                </c:pt>
                <c:pt idx="2068">
                  <c:v>43103</c:v>
                </c:pt>
                <c:pt idx="2069">
                  <c:v>43104</c:v>
                </c:pt>
                <c:pt idx="2070">
                  <c:v>43105</c:v>
                </c:pt>
                <c:pt idx="2071">
                  <c:v>43108</c:v>
                </c:pt>
                <c:pt idx="2072">
                  <c:v>43109</c:v>
                </c:pt>
                <c:pt idx="2073">
                  <c:v>43110</c:v>
                </c:pt>
                <c:pt idx="2074">
                  <c:v>43111</c:v>
                </c:pt>
                <c:pt idx="2075">
                  <c:v>43112</c:v>
                </c:pt>
                <c:pt idx="2076">
                  <c:v>43115</c:v>
                </c:pt>
                <c:pt idx="2077">
                  <c:v>43116</c:v>
                </c:pt>
                <c:pt idx="2078">
                  <c:v>43117</c:v>
                </c:pt>
                <c:pt idx="2079">
                  <c:v>43118</c:v>
                </c:pt>
                <c:pt idx="2080">
                  <c:v>43119</c:v>
                </c:pt>
                <c:pt idx="2081">
                  <c:v>43122</c:v>
                </c:pt>
                <c:pt idx="2082">
                  <c:v>43123</c:v>
                </c:pt>
                <c:pt idx="2083">
                  <c:v>43124</c:v>
                </c:pt>
                <c:pt idx="2084">
                  <c:v>43125</c:v>
                </c:pt>
                <c:pt idx="2085">
                  <c:v>43126</c:v>
                </c:pt>
                <c:pt idx="2086">
                  <c:v>43129</c:v>
                </c:pt>
                <c:pt idx="2087">
                  <c:v>43130</c:v>
                </c:pt>
                <c:pt idx="2088">
                  <c:v>43131</c:v>
                </c:pt>
                <c:pt idx="2089">
                  <c:v>43132</c:v>
                </c:pt>
                <c:pt idx="2090">
                  <c:v>43133</c:v>
                </c:pt>
                <c:pt idx="2091">
                  <c:v>43136</c:v>
                </c:pt>
                <c:pt idx="2092">
                  <c:v>43137</c:v>
                </c:pt>
                <c:pt idx="2093">
                  <c:v>43138</c:v>
                </c:pt>
                <c:pt idx="2094">
                  <c:v>43139</c:v>
                </c:pt>
                <c:pt idx="2095">
                  <c:v>43140</c:v>
                </c:pt>
                <c:pt idx="2096">
                  <c:v>43143</c:v>
                </c:pt>
                <c:pt idx="2097">
                  <c:v>43144</c:v>
                </c:pt>
                <c:pt idx="2098">
                  <c:v>43145</c:v>
                </c:pt>
                <c:pt idx="2099">
                  <c:v>43146</c:v>
                </c:pt>
                <c:pt idx="2100">
                  <c:v>43147</c:v>
                </c:pt>
                <c:pt idx="2101">
                  <c:v>43150</c:v>
                </c:pt>
                <c:pt idx="2102">
                  <c:v>43151</c:v>
                </c:pt>
                <c:pt idx="2103">
                  <c:v>43152</c:v>
                </c:pt>
                <c:pt idx="2104">
                  <c:v>43153</c:v>
                </c:pt>
                <c:pt idx="2105">
                  <c:v>43154</c:v>
                </c:pt>
                <c:pt idx="2106">
                  <c:v>43157</c:v>
                </c:pt>
                <c:pt idx="2107">
                  <c:v>43158</c:v>
                </c:pt>
                <c:pt idx="2108">
                  <c:v>43159</c:v>
                </c:pt>
                <c:pt idx="2109">
                  <c:v>43160</c:v>
                </c:pt>
                <c:pt idx="2110">
                  <c:v>43161</c:v>
                </c:pt>
                <c:pt idx="2111">
                  <c:v>43164</c:v>
                </c:pt>
                <c:pt idx="2112">
                  <c:v>43165</c:v>
                </c:pt>
                <c:pt idx="2113">
                  <c:v>43166</c:v>
                </c:pt>
                <c:pt idx="2114">
                  <c:v>43167</c:v>
                </c:pt>
                <c:pt idx="2115">
                  <c:v>43168</c:v>
                </c:pt>
                <c:pt idx="2116">
                  <c:v>43171</c:v>
                </c:pt>
                <c:pt idx="2117">
                  <c:v>43172</c:v>
                </c:pt>
                <c:pt idx="2118">
                  <c:v>43173</c:v>
                </c:pt>
                <c:pt idx="2119">
                  <c:v>43174</c:v>
                </c:pt>
                <c:pt idx="2120">
                  <c:v>43175</c:v>
                </c:pt>
                <c:pt idx="2121">
                  <c:v>43178</c:v>
                </c:pt>
                <c:pt idx="2122">
                  <c:v>43179</c:v>
                </c:pt>
                <c:pt idx="2123">
                  <c:v>43180</c:v>
                </c:pt>
                <c:pt idx="2124">
                  <c:v>43181</c:v>
                </c:pt>
                <c:pt idx="2125">
                  <c:v>43182</c:v>
                </c:pt>
                <c:pt idx="2126">
                  <c:v>43185</c:v>
                </c:pt>
                <c:pt idx="2127">
                  <c:v>43186</c:v>
                </c:pt>
                <c:pt idx="2128">
                  <c:v>43187</c:v>
                </c:pt>
                <c:pt idx="2129">
                  <c:v>43188</c:v>
                </c:pt>
                <c:pt idx="2130">
                  <c:v>43189</c:v>
                </c:pt>
                <c:pt idx="2131">
                  <c:v>43192</c:v>
                </c:pt>
                <c:pt idx="2132">
                  <c:v>43193</c:v>
                </c:pt>
                <c:pt idx="2133">
                  <c:v>43194</c:v>
                </c:pt>
                <c:pt idx="2134">
                  <c:v>43195</c:v>
                </c:pt>
                <c:pt idx="2135">
                  <c:v>43196</c:v>
                </c:pt>
                <c:pt idx="2136">
                  <c:v>43199</c:v>
                </c:pt>
                <c:pt idx="2137">
                  <c:v>43200</c:v>
                </c:pt>
                <c:pt idx="2138">
                  <c:v>43201</c:v>
                </c:pt>
                <c:pt idx="2139">
                  <c:v>43202</c:v>
                </c:pt>
                <c:pt idx="2140">
                  <c:v>43203</c:v>
                </c:pt>
                <c:pt idx="2141">
                  <c:v>43206</c:v>
                </c:pt>
                <c:pt idx="2142">
                  <c:v>43207</c:v>
                </c:pt>
                <c:pt idx="2143">
                  <c:v>43208</c:v>
                </c:pt>
                <c:pt idx="2144">
                  <c:v>43209</c:v>
                </c:pt>
                <c:pt idx="2145">
                  <c:v>43210</c:v>
                </c:pt>
                <c:pt idx="2146">
                  <c:v>43213</c:v>
                </c:pt>
                <c:pt idx="2147">
                  <c:v>43214</c:v>
                </c:pt>
                <c:pt idx="2148">
                  <c:v>43215</c:v>
                </c:pt>
                <c:pt idx="2149">
                  <c:v>43216</c:v>
                </c:pt>
                <c:pt idx="2150">
                  <c:v>43217</c:v>
                </c:pt>
                <c:pt idx="2151">
                  <c:v>43220</c:v>
                </c:pt>
                <c:pt idx="2152">
                  <c:v>43221</c:v>
                </c:pt>
                <c:pt idx="2153">
                  <c:v>43222</c:v>
                </c:pt>
                <c:pt idx="2154">
                  <c:v>43223</c:v>
                </c:pt>
                <c:pt idx="2155">
                  <c:v>43224</c:v>
                </c:pt>
                <c:pt idx="2156">
                  <c:v>43227</c:v>
                </c:pt>
                <c:pt idx="2157">
                  <c:v>43228</c:v>
                </c:pt>
                <c:pt idx="2158">
                  <c:v>43229</c:v>
                </c:pt>
                <c:pt idx="2159">
                  <c:v>43230</c:v>
                </c:pt>
                <c:pt idx="2160">
                  <c:v>43231</c:v>
                </c:pt>
                <c:pt idx="2161">
                  <c:v>43234</c:v>
                </c:pt>
                <c:pt idx="2162">
                  <c:v>43235</c:v>
                </c:pt>
                <c:pt idx="2163">
                  <c:v>43236</c:v>
                </c:pt>
                <c:pt idx="2164">
                  <c:v>43237</c:v>
                </c:pt>
                <c:pt idx="2165">
                  <c:v>43238</c:v>
                </c:pt>
                <c:pt idx="2166">
                  <c:v>43241</c:v>
                </c:pt>
                <c:pt idx="2167">
                  <c:v>43242</c:v>
                </c:pt>
                <c:pt idx="2168">
                  <c:v>43243</c:v>
                </c:pt>
                <c:pt idx="2169">
                  <c:v>43244</c:v>
                </c:pt>
                <c:pt idx="2170">
                  <c:v>43245</c:v>
                </c:pt>
                <c:pt idx="2171">
                  <c:v>43248</c:v>
                </c:pt>
                <c:pt idx="2172">
                  <c:v>43249</c:v>
                </c:pt>
                <c:pt idx="2173">
                  <c:v>43250</c:v>
                </c:pt>
                <c:pt idx="2174">
                  <c:v>43251</c:v>
                </c:pt>
                <c:pt idx="2175">
                  <c:v>43252</c:v>
                </c:pt>
                <c:pt idx="2176">
                  <c:v>43255</c:v>
                </c:pt>
                <c:pt idx="2177">
                  <c:v>43256</c:v>
                </c:pt>
                <c:pt idx="2178">
                  <c:v>43257</c:v>
                </c:pt>
                <c:pt idx="2179">
                  <c:v>43258</c:v>
                </c:pt>
                <c:pt idx="2180">
                  <c:v>43259</c:v>
                </c:pt>
                <c:pt idx="2181">
                  <c:v>43262</c:v>
                </c:pt>
                <c:pt idx="2182">
                  <c:v>43263</c:v>
                </c:pt>
                <c:pt idx="2183">
                  <c:v>43264</c:v>
                </c:pt>
                <c:pt idx="2184">
                  <c:v>43265</c:v>
                </c:pt>
                <c:pt idx="2185">
                  <c:v>43266</c:v>
                </c:pt>
                <c:pt idx="2186">
                  <c:v>43269</c:v>
                </c:pt>
                <c:pt idx="2187">
                  <c:v>43270</c:v>
                </c:pt>
                <c:pt idx="2188">
                  <c:v>43271</c:v>
                </c:pt>
                <c:pt idx="2189">
                  <c:v>43272</c:v>
                </c:pt>
                <c:pt idx="2190">
                  <c:v>43273</c:v>
                </c:pt>
                <c:pt idx="2191">
                  <c:v>43276</c:v>
                </c:pt>
                <c:pt idx="2192">
                  <c:v>43277</c:v>
                </c:pt>
                <c:pt idx="2193">
                  <c:v>43278</c:v>
                </c:pt>
                <c:pt idx="2194">
                  <c:v>43279</c:v>
                </c:pt>
                <c:pt idx="2195">
                  <c:v>43280</c:v>
                </c:pt>
                <c:pt idx="2196">
                  <c:v>43283</c:v>
                </c:pt>
                <c:pt idx="2197">
                  <c:v>43284</c:v>
                </c:pt>
                <c:pt idx="2198">
                  <c:v>43285</c:v>
                </c:pt>
                <c:pt idx="2199">
                  <c:v>43286</c:v>
                </c:pt>
                <c:pt idx="2200">
                  <c:v>43287</c:v>
                </c:pt>
                <c:pt idx="2201">
                  <c:v>43290</c:v>
                </c:pt>
                <c:pt idx="2202">
                  <c:v>43291</c:v>
                </c:pt>
                <c:pt idx="2203">
                  <c:v>43292</c:v>
                </c:pt>
                <c:pt idx="2204">
                  <c:v>43293</c:v>
                </c:pt>
                <c:pt idx="2205">
                  <c:v>43294</c:v>
                </c:pt>
                <c:pt idx="2206">
                  <c:v>43297</c:v>
                </c:pt>
                <c:pt idx="2207">
                  <c:v>43298</c:v>
                </c:pt>
                <c:pt idx="2208">
                  <c:v>43299</c:v>
                </c:pt>
                <c:pt idx="2209">
                  <c:v>43300</c:v>
                </c:pt>
                <c:pt idx="2210">
                  <c:v>43301</c:v>
                </c:pt>
                <c:pt idx="2211">
                  <c:v>43304</c:v>
                </c:pt>
                <c:pt idx="2212">
                  <c:v>43305</c:v>
                </c:pt>
                <c:pt idx="2213">
                  <c:v>43306</c:v>
                </c:pt>
                <c:pt idx="2214">
                  <c:v>43307</c:v>
                </c:pt>
                <c:pt idx="2215">
                  <c:v>43308</c:v>
                </c:pt>
                <c:pt idx="2216">
                  <c:v>43311</c:v>
                </c:pt>
                <c:pt idx="2217">
                  <c:v>43312</c:v>
                </c:pt>
                <c:pt idx="2218">
                  <c:v>43313</c:v>
                </c:pt>
                <c:pt idx="2219">
                  <c:v>43314</c:v>
                </c:pt>
                <c:pt idx="2220">
                  <c:v>43315</c:v>
                </c:pt>
                <c:pt idx="2221">
                  <c:v>43318</c:v>
                </c:pt>
                <c:pt idx="2222">
                  <c:v>43319</c:v>
                </c:pt>
                <c:pt idx="2223">
                  <c:v>43320</c:v>
                </c:pt>
                <c:pt idx="2224">
                  <c:v>43321</c:v>
                </c:pt>
                <c:pt idx="2225">
                  <c:v>43322</c:v>
                </c:pt>
                <c:pt idx="2226">
                  <c:v>43325</c:v>
                </c:pt>
                <c:pt idx="2227">
                  <c:v>43326</c:v>
                </c:pt>
                <c:pt idx="2228">
                  <c:v>43327</c:v>
                </c:pt>
                <c:pt idx="2229">
                  <c:v>43328</c:v>
                </c:pt>
                <c:pt idx="2230">
                  <c:v>43329</c:v>
                </c:pt>
                <c:pt idx="2231">
                  <c:v>43332</c:v>
                </c:pt>
                <c:pt idx="2232">
                  <c:v>43333</c:v>
                </c:pt>
                <c:pt idx="2233">
                  <c:v>43334</c:v>
                </c:pt>
                <c:pt idx="2234">
                  <c:v>43335</c:v>
                </c:pt>
                <c:pt idx="2235">
                  <c:v>43336</c:v>
                </c:pt>
                <c:pt idx="2236">
                  <c:v>43339</c:v>
                </c:pt>
                <c:pt idx="2237">
                  <c:v>43340</c:v>
                </c:pt>
                <c:pt idx="2238">
                  <c:v>43341</c:v>
                </c:pt>
                <c:pt idx="2239">
                  <c:v>43342</c:v>
                </c:pt>
                <c:pt idx="2240">
                  <c:v>43343</c:v>
                </c:pt>
                <c:pt idx="2241">
                  <c:v>43346</c:v>
                </c:pt>
                <c:pt idx="2242">
                  <c:v>43347</c:v>
                </c:pt>
                <c:pt idx="2243">
                  <c:v>43348</c:v>
                </c:pt>
                <c:pt idx="2244">
                  <c:v>43349</c:v>
                </c:pt>
                <c:pt idx="2245">
                  <c:v>43350</c:v>
                </c:pt>
                <c:pt idx="2246">
                  <c:v>43353</c:v>
                </c:pt>
                <c:pt idx="2247">
                  <c:v>43354</c:v>
                </c:pt>
                <c:pt idx="2248">
                  <c:v>43355</c:v>
                </c:pt>
                <c:pt idx="2249">
                  <c:v>43356</c:v>
                </c:pt>
                <c:pt idx="2250">
                  <c:v>43357</c:v>
                </c:pt>
                <c:pt idx="2251">
                  <c:v>43360</c:v>
                </c:pt>
                <c:pt idx="2252">
                  <c:v>43361</c:v>
                </c:pt>
                <c:pt idx="2253">
                  <c:v>43362</c:v>
                </c:pt>
                <c:pt idx="2254">
                  <c:v>43363</c:v>
                </c:pt>
                <c:pt idx="2255">
                  <c:v>43364</c:v>
                </c:pt>
                <c:pt idx="2256">
                  <c:v>43367</c:v>
                </c:pt>
                <c:pt idx="2257">
                  <c:v>43368</c:v>
                </c:pt>
                <c:pt idx="2258">
                  <c:v>43369</c:v>
                </c:pt>
                <c:pt idx="2259">
                  <c:v>43370</c:v>
                </c:pt>
                <c:pt idx="2260">
                  <c:v>43371</c:v>
                </c:pt>
                <c:pt idx="2261">
                  <c:v>43374</c:v>
                </c:pt>
                <c:pt idx="2262">
                  <c:v>43375</c:v>
                </c:pt>
                <c:pt idx="2263">
                  <c:v>43376</c:v>
                </c:pt>
                <c:pt idx="2264">
                  <c:v>43377</c:v>
                </c:pt>
                <c:pt idx="2265">
                  <c:v>43378</c:v>
                </c:pt>
                <c:pt idx="2266">
                  <c:v>43381</c:v>
                </c:pt>
                <c:pt idx="2267">
                  <c:v>43382</c:v>
                </c:pt>
                <c:pt idx="2268">
                  <c:v>43383</c:v>
                </c:pt>
                <c:pt idx="2269">
                  <c:v>43384</c:v>
                </c:pt>
                <c:pt idx="2270">
                  <c:v>43385</c:v>
                </c:pt>
                <c:pt idx="2271">
                  <c:v>43388</c:v>
                </c:pt>
                <c:pt idx="2272">
                  <c:v>43389</c:v>
                </c:pt>
                <c:pt idx="2273">
                  <c:v>43390</c:v>
                </c:pt>
                <c:pt idx="2274">
                  <c:v>43391</c:v>
                </c:pt>
                <c:pt idx="2275">
                  <c:v>43392</c:v>
                </c:pt>
                <c:pt idx="2276">
                  <c:v>43395</c:v>
                </c:pt>
                <c:pt idx="2277">
                  <c:v>43396</c:v>
                </c:pt>
                <c:pt idx="2278">
                  <c:v>43397</c:v>
                </c:pt>
                <c:pt idx="2279">
                  <c:v>43398</c:v>
                </c:pt>
                <c:pt idx="2280">
                  <c:v>43399</c:v>
                </c:pt>
                <c:pt idx="2281">
                  <c:v>43402</c:v>
                </c:pt>
                <c:pt idx="2282">
                  <c:v>43403</c:v>
                </c:pt>
                <c:pt idx="2283">
                  <c:v>43404</c:v>
                </c:pt>
                <c:pt idx="2284">
                  <c:v>43405</c:v>
                </c:pt>
                <c:pt idx="2285">
                  <c:v>43406</c:v>
                </c:pt>
                <c:pt idx="2286">
                  <c:v>43409</c:v>
                </c:pt>
                <c:pt idx="2287">
                  <c:v>43410</c:v>
                </c:pt>
                <c:pt idx="2288">
                  <c:v>43411</c:v>
                </c:pt>
                <c:pt idx="2289">
                  <c:v>43412</c:v>
                </c:pt>
                <c:pt idx="2290">
                  <c:v>43413</c:v>
                </c:pt>
                <c:pt idx="2291">
                  <c:v>43416</c:v>
                </c:pt>
                <c:pt idx="2292">
                  <c:v>43417</c:v>
                </c:pt>
                <c:pt idx="2293">
                  <c:v>43418</c:v>
                </c:pt>
                <c:pt idx="2294">
                  <c:v>43419</c:v>
                </c:pt>
                <c:pt idx="2295">
                  <c:v>43420</c:v>
                </c:pt>
                <c:pt idx="2296">
                  <c:v>43423</c:v>
                </c:pt>
                <c:pt idx="2297">
                  <c:v>43424</c:v>
                </c:pt>
                <c:pt idx="2298">
                  <c:v>43425</c:v>
                </c:pt>
                <c:pt idx="2299">
                  <c:v>43426</c:v>
                </c:pt>
                <c:pt idx="2300">
                  <c:v>43427</c:v>
                </c:pt>
                <c:pt idx="2301">
                  <c:v>43430</c:v>
                </c:pt>
                <c:pt idx="2302">
                  <c:v>43431</c:v>
                </c:pt>
                <c:pt idx="2303">
                  <c:v>43432</c:v>
                </c:pt>
                <c:pt idx="2304">
                  <c:v>43433</c:v>
                </c:pt>
                <c:pt idx="2305">
                  <c:v>43434</c:v>
                </c:pt>
                <c:pt idx="2306">
                  <c:v>43437</c:v>
                </c:pt>
                <c:pt idx="2307">
                  <c:v>43438</c:v>
                </c:pt>
                <c:pt idx="2308">
                  <c:v>43439</c:v>
                </c:pt>
                <c:pt idx="2309">
                  <c:v>43440</c:v>
                </c:pt>
                <c:pt idx="2310">
                  <c:v>43441</c:v>
                </c:pt>
                <c:pt idx="2311">
                  <c:v>43444</c:v>
                </c:pt>
                <c:pt idx="2312">
                  <c:v>43445</c:v>
                </c:pt>
                <c:pt idx="2313">
                  <c:v>43446</c:v>
                </c:pt>
                <c:pt idx="2314">
                  <c:v>43447</c:v>
                </c:pt>
                <c:pt idx="2315">
                  <c:v>43448</c:v>
                </c:pt>
                <c:pt idx="2316">
                  <c:v>43451</c:v>
                </c:pt>
                <c:pt idx="2317">
                  <c:v>43452</c:v>
                </c:pt>
                <c:pt idx="2318">
                  <c:v>43453</c:v>
                </c:pt>
                <c:pt idx="2319">
                  <c:v>43454</c:v>
                </c:pt>
                <c:pt idx="2320">
                  <c:v>43455</c:v>
                </c:pt>
                <c:pt idx="2321">
                  <c:v>43458</c:v>
                </c:pt>
                <c:pt idx="2322">
                  <c:v>43459</c:v>
                </c:pt>
                <c:pt idx="2323">
                  <c:v>43460</c:v>
                </c:pt>
                <c:pt idx="2324">
                  <c:v>43461</c:v>
                </c:pt>
                <c:pt idx="2325">
                  <c:v>43462</c:v>
                </c:pt>
                <c:pt idx="2326">
                  <c:v>43465</c:v>
                </c:pt>
                <c:pt idx="2327">
                  <c:v>43466</c:v>
                </c:pt>
                <c:pt idx="2328">
                  <c:v>43467</c:v>
                </c:pt>
                <c:pt idx="2329">
                  <c:v>43468</c:v>
                </c:pt>
                <c:pt idx="2330">
                  <c:v>43469</c:v>
                </c:pt>
                <c:pt idx="2331">
                  <c:v>43472</c:v>
                </c:pt>
                <c:pt idx="2332">
                  <c:v>43473</c:v>
                </c:pt>
                <c:pt idx="2333">
                  <c:v>43474</c:v>
                </c:pt>
                <c:pt idx="2334">
                  <c:v>43475</c:v>
                </c:pt>
                <c:pt idx="2335">
                  <c:v>43476</c:v>
                </c:pt>
                <c:pt idx="2336">
                  <c:v>43479</c:v>
                </c:pt>
                <c:pt idx="2337">
                  <c:v>43480</c:v>
                </c:pt>
                <c:pt idx="2338">
                  <c:v>43481</c:v>
                </c:pt>
                <c:pt idx="2339">
                  <c:v>43482</c:v>
                </c:pt>
                <c:pt idx="2340">
                  <c:v>43483</c:v>
                </c:pt>
                <c:pt idx="2341">
                  <c:v>43486</c:v>
                </c:pt>
                <c:pt idx="2342">
                  <c:v>43487</c:v>
                </c:pt>
                <c:pt idx="2343">
                  <c:v>43488</c:v>
                </c:pt>
                <c:pt idx="2344">
                  <c:v>43489</c:v>
                </c:pt>
                <c:pt idx="2345">
                  <c:v>43490</c:v>
                </c:pt>
                <c:pt idx="2346">
                  <c:v>43493</c:v>
                </c:pt>
                <c:pt idx="2347">
                  <c:v>43494</c:v>
                </c:pt>
                <c:pt idx="2348">
                  <c:v>43495</c:v>
                </c:pt>
                <c:pt idx="2349">
                  <c:v>43496</c:v>
                </c:pt>
                <c:pt idx="2350">
                  <c:v>43497</c:v>
                </c:pt>
                <c:pt idx="2351">
                  <c:v>43500</c:v>
                </c:pt>
                <c:pt idx="2352">
                  <c:v>43501</c:v>
                </c:pt>
                <c:pt idx="2353">
                  <c:v>43502</c:v>
                </c:pt>
                <c:pt idx="2354">
                  <c:v>43503</c:v>
                </c:pt>
                <c:pt idx="2355">
                  <c:v>43504</c:v>
                </c:pt>
                <c:pt idx="2356">
                  <c:v>43507</c:v>
                </c:pt>
                <c:pt idx="2357">
                  <c:v>43508</c:v>
                </c:pt>
                <c:pt idx="2358">
                  <c:v>43509</c:v>
                </c:pt>
                <c:pt idx="2359">
                  <c:v>43510</c:v>
                </c:pt>
                <c:pt idx="2360">
                  <c:v>43511</c:v>
                </c:pt>
                <c:pt idx="2361">
                  <c:v>43514</c:v>
                </c:pt>
                <c:pt idx="2362">
                  <c:v>43515</c:v>
                </c:pt>
                <c:pt idx="2363">
                  <c:v>43516</c:v>
                </c:pt>
                <c:pt idx="2364">
                  <c:v>43517</c:v>
                </c:pt>
                <c:pt idx="2365">
                  <c:v>43518</c:v>
                </c:pt>
                <c:pt idx="2366">
                  <c:v>43521</c:v>
                </c:pt>
                <c:pt idx="2367">
                  <c:v>43522</c:v>
                </c:pt>
                <c:pt idx="2368">
                  <c:v>43523</c:v>
                </c:pt>
                <c:pt idx="2369">
                  <c:v>43524</c:v>
                </c:pt>
                <c:pt idx="2370">
                  <c:v>43525</c:v>
                </c:pt>
                <c:pt idx="2371">
                  <c:v>43528</c:v>
                </c:pt>
                <c:pt idx="2372">
                  <c:v>43529</c:v>
                </c:pt>
                <c:pt idx="2373">
                  <c:v>43530</c:v>
                </c:pt>
                <c:pt idx="2374">
                  <c:v>43531</c:v>
                </c:pt>
                <c:pt idx="2375">
                  <c:v>43532</c:v>
                </c:pt>
                <c:pt idx="2376">
                  <c:v>43535</c:v>
                </c:pt>
                <c:pt idx="2377">
                  <c:v>43536</c:v>
                </c:pt>
                <c:pt idx="2378">
                  <c:v>43537</c:v>
                </c:pt>
                <c:pt idx="2379">
                  <c:v>43538</c:v>
                </c:pt>
                <c:pt idx="2380">
                  <c:v>43539</c:v>
                </c:pt>
                <c:pt idx="2381">
                  <c:v>43542</c:v>
                </c:pt>
                <c:pt idx="2382">
                  <c:v>43543</c:v>
                </c:pt>
                <c:pt idx="2383">
                  <c:v>43544</c:v>
                </c:pt>
                <c:pt idx="2384">
                  <c:v>43545</c:v>
                </c:pt>
                <c:pt idx="2385">
                  <c:v>43546</c:v>
                </c:pt>
                <c:pt idx="2386">
                  <c:v>43549</c:v>
                </c:pt>
                <c:pt idx="2387">
                  <c:v>43550</c:v>
                </c:pt>
                <c:pt idx="2388">
                  <c:v>43551</c:v>
                </c:pt>
                <c:pt idx="2389">
                  <c:v>43552</c:v>
                </c:pt>
                <c:pt idx="2390">
                  <c:v>43553</c:v>
                </c:pt>
                <c:pt idx="2391">
                  <c:v>43556</c:v>
                </c:pt>
                <c:pt idx="2392">
                  <c:v>43557</c:v>
                </c:pt>
                <c:pt idx="2393">
                  <c:v>43558</c:v>
                </c:pt>
                <c:pt idx="2394">
                  <c:v>43559</c:v>
                </c:pt>
                <c:pt idx="2395">
                  <c:v>43560</c:v>
                </c:pt>
                <c:pt idx="2396">
                  <c:v>43563</c:v>
                </c:pt>
                <c:pt idx="2397">
                  <c:v>43564</c:v>
                </c:pt>
                <c:pt idx="2398">
                  <c:v>43565</c:v>
                </c:pt>
                <c:pt idx="2399">
                  <c:v>43566</c:v>
                </c:pt>
                <c:pt idx="2400">
                  <c:v>43567</c:v>
                </c:pt>
                <c:pt idx="2401">
                  <c:v>43570</c:v>
                </c:pt>
                <c:pt idx="2402">
                  <c:v>43571</c:v>
                </c:pt>
                <c:pt idx="2403">
                  <c:v>43572</c:v>
                </c:pt>
                <c:pt idx="2404">
                  <c:v>43573</c:v>
                </c:pt>
                <c:pt idx="2405">
                  <c:v>43574</c:v>
                </c:pt>
                <c:pt idx="2406">
                  <c:v>43577</c:v>
                </c:pt>
                <c:pt idx="2407">
                  <c:v>43578</c:v>
                </c:pt>
                <c:pt idx="2408">
                  <c:v>43579</c:v>
                </c:pt>
                <c:pt idx="2409">
                  <c:v>43580</c:v>
                </c:pt>
                <c:pt idx="2410">
                  <c:v>43581</c:v>
                </c:pt>
                <c:pt idx="2411">
                  <c:v>43584</c:v>
                </c:pt>
                <c:pt idx="2412">
                  <c:v>43585</c:v>
                </c:pt>
                <c:pt idx="2413">
                  <c:v>43586</c:v>
                </c:pt>
                <c:pt idx="2414">
                  <c:v>43587</c:v>
                </c:pt>
                <c:pt idx="2415">
                  <c:v>43588</c:v>
                </c:pt>
                <c:pt idx="2416">
                  <c:v>43591</c:v>
                </c:pt>
                <c:pt idx="2417">
                  <c:v>43592</c:v>
                </c:pt>
                <c:pt idx="2418">
                  <c:v>43593</c:v>
                </c:pt>
                <c:pt idx="2419">
                  <c:v>43594</c:v>
                </c:pt>
                <c:pt idx="2420">
                  <c:v>43595</c:v>
                </c:pt>
                <c:pt idx="2421">
                  <c:v>43598</c:v>
                </c:pt>
                <c:pt idx="2422">
                  <c:v>43599</c:v>
                </c:pt>
                <c:pt idx="2423">
                  <c:v>43600</c:v>
                </c:pt>
                <c:pt idx="2424">
                  <c:v>43601</c:v>
                </c:pt>
                <c:pt idx="2425">
                  <c:v>43602</c:v>
                </c:pt>
                <c:pt idx="2426">
                  <c:v>43605</c:v>
                </c:pt>
                <c:pt idx="2427">
                  <c:v>43606</c:v>
                </c:pt>
                <c:pt idx="2428">
                  <c:v>43607</c:v>
                </c:pt>
                <c:pt idx="2429">
                  <c:v>43608</c:v>
                </c:pt>
                <c:pt idx="2430">
                  <c:v>43609</c:v>
                </c:pt>
                <c:pt idx="2431">
                  <c:v>43612</c:v>
                </c:pt>
                <c:pt idx="2432">
                  <c:v>43613</c:v>
                </c:pt>
                <c:pt idx="2433">
                  <c:v>43614</c:v>
                </c:pt>
                <c:pt idx="2434">
                  <c:v>43615</c:v>
                </c:pt>
                <c:pt idx="2435">
                  <c:v>43616</c:v>
                </c:pt>
                <c:pt idx="2436">
                  <c:v>43619</c:v>
                </c:pt>
                <c:pt idx="2437">
                  <c:v>43620</c:v>
                </c:pt>
                <c:pt idx="2438">
                  <c:v>43621</c:v>
                </c:pt>
                <c:pt idx="2439">
                  <c:v>43622</c:v>
                </c:pt>
                <c:pt idx="2440">
                  <c:v>43623</c:v>
                </c:pt>
                <c:pt idx="2441">
                  <c:v>43626</c:v>
                </c:pt>
                <c:pt idx="2442">
                  <c:v>43627</c:v>
                </c:pt>
                <c:pt idx="2443">
                  <c:v>43628</c:v>
                </c:pt>
                <c:pt idx="2444">
                  <c:v>43629</c:v>
                </c:pt>
                <c:pt idx="2445">
                  <c:v>43630</c:v>
                </c:pt>
                <c:pt idx="2446">
                  <c:v>43633</c:v>
                </c:pt>
                <c:pt idx="2447">
                  <c:v>43634</c:v>
                </c:pt>
                <c:pt idx="2448">
                  <c:v>43635</c:v>
                </c:pt>
                <c:pt idx="2449">
                  <c:v>43636</c:v>
                </c:pt>
                <c:pt idx="2450">
                  <c:v>43637</c:v>
                </c:pt>
                <c:pt idx="2451">
                  <c:v>43640</c:v>
                </c:pt>
                <c:pt idx="2452">
                  <c:v>43641</c:v>
                </c:pt>
                <c:pt idx="2453">
                  <c:v>43642</c:v>
                </c:pt>
                <c:pt idx="2454">
                  <c:v>43643</c:v>
                </c:pt>
                <c:pt idx="2455">
                  <c:v>43644</c:v>
                </c:pt>
                <c:pt idx="2456">
                  <c:v>43647</c:v>
                </c:pt>
                <c:pt idx="2457">
                  <c:v>43648</c:v>
                </c:pt>
                <c:pt idx="2458">
                  <c:v>43649</c:v>
                </c:pt>
                <c:pt idx="2459">
                  <c:v>43650</c:v>
                </c:pt>
                <c:pt idx="2460">
                  <c:v>43651</c:v>
                </c:pt>
                <c:pt idx="2461">
                  <c:v>43654</c:v>
                </c:pt>
                <c:pt idx="2462">
                  <c:v>43655</c:v>
                </c:pt>
                <c:pt idx="2463">
                  <c:v>43656</c:v>
                </c:pt>
                <c:pt idx="2464">
                  <c:v>43657</c:v>
                </c:pt>
                <c:pt idx="2465">
                  <c:v>43658</c:v>
                </c:pt>
                <c:pt idx="2466">
                  <c:v>43661</c:v>
                </c:pt>
                <c:pt idx="2467">
                  <c:v>43662</c:v>
                </c:pt>
                <c:pt idx="2468">
                  <c:v>43663</c:v>
                </c:pt>
                <c:pt idx="2469">
                  <c:v>43664</c:v>
                </c:pt>
                <c:pt idx="2470">
                  <c:v>43665</c:v>
                </c:pt>
                <c:pt idx="2471">
                  <c:v>43668</c:v>
                </c:pt>
                <c:pt idx="2472">
                  <c:v>43669</c:v>
                </c:pt>
                <c:pt idx="2473">
                  <c:v>43670</c:v>
                </c:pt>
                <c:pt idx="2474">
                  <c:v>43671</c:v>
                </c:pt>
                <c:pt idx="2475">
                  <c:v>43672</c:v>
                </c:pt>
                <c:pt idx="2476">
                  <c:v>43675</c:v>
                </c:pt>
                <c:pt idx="2477">
                  <c:v>43676</c:v>
                </c:pt>
                <c:pt idx="2478">
                  <c:v>43677</c:v>
                </c:pt>
                <c:pt idx="2479">
                  <c:v>43678</c:v>
                </c:pt>
                <c:pt idx="2480">
                  <c:v>43679</c:v>
                </c:pt>
                <c:pt idx="2481">
                  <c:v>43682</c:v>
                </c:pt>
                <c:pt idx="2482">
                  <c:v>43683</c:v>
                </c:pt>
                <c:pt idx="2483">
                  <c:v>43684</c:v>
                </c:pt>
                <c:pt idx="2484">
                  <c:v>43685</c:v>
                </c:pt>
                <c:pt idx="2485">
                  <c:v>43686</c:v>
                </c:pt>
                <c:pt idx="2486">
                  <c:v>43689</c:v>
                </c:pt>
                <c:pt idx="2487">
                  <c:v>43690</c:v>
                </c:pt>
                <c:pt idx="2488">
                  <c:v>43691</c:v>
                </c:pt>
                <c:pt idx="2489">
                  <c:v>43692</c:v>
                </c:pt>
                <c:pt idx="2490">
                  <c:v>43693</c:v>
                </c:pt>
                <c:pt idx="2491">
                  <c:v>43696</c:v>
                </c:pt>
                <c:pt idx="2492">
                  <c:v>43697</c:v>
                </c:pt>
                <c:pt idx="2493">
                  <c:v>43698</c:v>
                </c:pt>
                <c:pt idx="2494">
                  <c:v>43699</c:v>
                </c:pt>
                <c:pt idx="2495">
                  <c:v>43700</c:v>
                </c:pt>
                <c:pt idx="2496">
                  <c:v>43703</c:v>
                </c:pt>
                <c:pt idx="2497">
                  <c:v>43704</c:v>
                </c:pt>
                <c:pt idx="2498">
                  <c:v>43705</c:v>
                </c:pt>
                <c:pt idx="2499">
                  <c:v>43706</c:v>
                </c:pt>
                <c:pt idx="2500">
                  <c:v>43707</c:v>
                </c:pt>
                <c:pt idx="2501">
                  <c:v>43710</c:v>
                </c:pt>
                <c:pt idx="2502">
                  <c:v>43711</c:v>
                </c:pt>
                <c:pt idx="2503">
                  <c:v>43712</c:v>
                </c:pt>
                <c:pt idx="2504">
                  <c:v>43713</c:v>
                </c:pt>
                <c:pt idx="2505">
                  <c:v>43714</c:v>
                </c:pt>
                <c:pt idx="2506">
                  <c:v>43717</c:v>
                </c:pt>
                <c:pt idx="2507">
                  <c:v>43718</c:v>
                </c:pt>
                <c:pt idx="2508">
                  <c:v>43719</c:v>
                </c:pt>
                <c:pt idx="2509">
                  <c:v>43720</c:v>
                </c:pt>
                <c:pt idx="2510">
                  <c:v>43721</c:v>
                </c:pt>
                <c:pt idx="2511">
                  <c:v>43724</c:v>
                </c:pt>
                <c:pt idx="2512">
                  <c:v>43725</c:v>
                </c:pt>
                <c:pt idx="2513">
                  <c:v>43726</c:v>
                </c:pt>
                <c:pt idx="2514">
                  <c:v>43727</c:v>
                </c:pt>
                <c:pt idx="2515">
                  <c:v>43728</c:v>
                </c:pt>
                <c:pt idx="2516">
                  <c:v>43731</c:v>
                </c:pt>
                <c:pt idx="2517">
                  <c:v>43732</c:v>
                </c:pt>
                <c:pt idx="2518">
                  <c:v>43733</c:v>
                </c:pt>
                <c:pt idx="2519">
                  <c:v>43734</c:v>
                </c:pt>
                <c:pt idx="2520">
                  <c:v>43735</c:v>
                </c:pt>
                <c:pt idx="2521">
                  <c:v>43738</c:v>
                </c:pt>
                <c:pt idx="2522">
                  <c:v>43739</c:v>
                </c:pt>
                <c:pt idx="2523">
                  <c:v>43740</c:v>
                </c:pt>
                <c:pt idx="2524">
                  <c:v>43741</c:v>
                </c:pt>
                <c:pt idx="2525">
                  <c:v>43742</c:v>
                </c:pt>
                <c:pt idx="2526">
                  <c:v>43745</c:v>
                </c:pt>
                <c:pt idx="2527">
                  <c:v>43746</c:v>
                </c:pt>
                <c:pt idx="2528">
                  <c:v>43747</c:v>
                </c:pt>
                <c:pt idx="2529">
                  <c:v>43748</c:v>
                </c:pt>
                <c:pt idx="2530">
                  <c:v>43749</c:v>
                </c:pt>
                <c:pt idx="2531">
                  <c:v>43752</c:v>
                </c:pt>
                <c:pt idx="2532">
                  <c:v>43753</c:v>
                </c:pt>
                <c:pt idx="2533">
                  <c:v>43754</c:v>
                </c:pt>
                <c:pt idx="2534">
                  <c:v>43755</c:v>
                </c:pt>
                <c:pt idx="2535">
                  <c:v>43756</c:v>
                </c:pt>
                <c:pt idx="2536">
                  <c:v>43759</c:v>
                </c:pt>
                <c:pt idx="2537">
                  <c:v>43760</c:v>
                </c:pt>
                <c:pt idx="2538">
                  <c:v>43761</c:v>
                </c:pt>
                <c:pt idx="2539">
                  <c:v>43762</c:v>
                </c:pt>
                <c:pt idx="2540">
                  <c:v>43763</c:v>
                </c:pt>
                <c:pt idx="2541">
                  <c:v>43766</c:v>
                </c:pt>
                <c:pt idx="2542">
                  <c:v>43767</c:v>
                </c:pt>
                <c:pt idx="2543">
                  <c:v>43768</c:v>
                </c:pt>
                <c:pt idx="2544">
                  <c:v>43769</c:v>
                </c:pt>
                <c:pt idx="2545">
                  <c:v>43770</c:v>
                </c:pt>
                <c:pt idx="2546">
                  <c:v>43773</c:v>
                </c:pt>
                <c:pt idx="2547">
                  <c:v>43774</c:v>
                </c:pt>
                <c:pt idx="2548">
                  <c:v>43775</c:v>
                </c:pt>
                <c:pt idx="2549">
                  <c:v>43776</c:v>
                </c:pt>
                <c:pt idx="2550">
                  <c:v>43777</c:v>
                </c:pt>
                <c:pt idx="2551">
                  <c:v>43780</c:v>
                </c:pt>
                <c:pt idx="2552">
                  <c:v>43781</c:v>
                </c:pt>
                <c:pt idx="2553">
                  <c:v>43782</c:v>
                </c:pt>
                <c:pt idx="2554">
                  <c:v>43783</c:v>
                </c:pt>
                <c:pt idx="2555">
                  <c:v>43784</c:v>
                </c:pt>
                <c:pt idx="2556">
                  <c:v>43787</c:v>
                </c:pt>
                <c:pt idx="2557">
                  <c:v>43788</c:v>
                </c:pt>
                <c:pt idx="2558">
                  <c:v>43789</c:v>
                </c:pt>
                <c:pt idx="2559">
                  <c:v>43790</c:v>
                </c:pt>
                <c:pt idx="2560">
                  <c:v>43791</c:v>
                </c:pt>
                <c:pt idx="2561">
                  <c:v>43794</c:v>
                </c:pt>
                <c:pt idx="2562">
                  <c:v>43795</c:v>
                </c:pt>
                <c:pt idx="2563">
                  <c:v>43796</c:v>
                </c:pt>
                <c:pt idx="2564">
                  <c:v>43797</c:v>
                </c:pt>
                <c:pt idx="2565">
                  <c:v>43798</c:v>
                </c:pt>
                <c:pt idx="2566">
                  <c:v>43801</c:v>
                </c:pt>
                <c:pt idx="2567">
                  <c:v>43802</c:v>
                </c:pt>
                <c:pt idx="2568">
                  <c:v>43803</c:v>
                </c:pt>
                <c:pt idx="2569">
                  <c:v>43804</c:v>
                </c:pt>
                <c:pt idx="2570">
                  <c:v>43805</c:v>
                </c:pt>
                <c:pt idx="2571">
                  <c:v>43808</c:v>
                </c:pt>
                <c:pt idx="2572">
                  <c:v>43809</c:v>
                </c:pt>
                <c:pt idx="2573">
                  <c:v>43810</c:v>
                </c:pt>
                <c:pt idx="2574">
                  <c:v>43811</c:v>
                </c:pt>
                <c:pt idx="2575">
                  <c:v>43812</c:v>
                </c:pt>
                <c:pt idx="2576">
                  <c:v>43815</c:v>
                </c:pt>
                <c:pt idx="2577">
                  <c:v>43816</c:v>
                </c:pt>
                <c:pt idx="2578">
                  <c:v>43817</c:v>
                </c:pt>
                <c:pt idx="2579">
                  <c:v>43818</c:v>
                </c:pt>
                <c:pt idx="2580">
                  <c:v>43819</c:v>
                </c:pt>
                <c:pt idx="2581">
                  <c:v>43822</c:v>
                </c:pt>
                <c:pt idx="2582">
                  <c:v>43823</c:v>
                </c:pt>
                <c:pt idx="2583">
                  <c:v>43824</c:v>
                </c:pt>
                <c:pt idx="2584">
                  <c:v>43825</c:v>
                </c:pt>
                <c:pt idx="2585">
                  <c:v>43826</c:v>
                </c:pt>
                <c:pt idx="2586">
                  <c:v>43829</c:v>
                </c:pt>
                <c:pt idx="2587">
                  <c:v>43830</c:v>
                </c:pt>
                <c:pt idx="2588">
                  <c:v>43831</c:v>
                </c:pt>
                <c:pt idx="2589">
                  <c:v>43832</c:v>
                </c:pt>
                <c:pt idx="2590">
                  <c:v>43833</c:v>
                </c:pt>
                <c:pt idx="2591">
                  <c:v>43836</c:v>
                </c:pt>
                <c:pt idx="2592">
                  <c:v>43837</c:v>
                </c:pt>
                <c:pt idx="2593">
                  <c:v>43838</c:v>
                </c:pt>
                <c:pt idx="2594">
                  <c:v>43839</c:v>
                </c:pt>
                <c:pt idx="2595">
                  <c:v>43840</c:v>
                </c:pt>
                <c:pt idx="2596">
                  <c:v>43843</c:v>
                </c:pt>
                <c:pt idx="2597">
                  <c:v>43844</c:v>
                </c:pt>
                <c:pt idx="2598">
                  <c:v>43845</c:v>
                </c:pt>
                <c:pt idx="2599">
                  <c:v>43846</c:v>
                </c:pt>
                <c:pt idx="2600">
                  <c:v>43847</c:v>
                </c:pt>
                <c:pt idx="2601">
                  <c:v>43850</c:v>
                </c:pt>
                <c:pt idx="2602">
                  <c:v>43851</c:v>
                </c:pt>
                <c:pt idx="2603">
                  <c:v>43852</c:v>
                </c:pt>
                <c:pt idx="2604">
                  <c:v>43853</c:v>
                </c:pt>
                <c:pt idx="2605">
                  <c:v>43854</c:v>
                </c:pt>
                <c:pt idx="2606">
                  <c:v>43857</c:v>
                </c:pt>
                <c:pt idx="2607">
                  <c:v>43858</c:v>
                </c:pt>
                <c:pt idx="2608">
                  <c:v>43859</c:v>
                </c:pt>
                <c:pt idx="2609">
                  <c:v>43860</c:v>
                </c:pt>
                <c:pt idx="2610">
                  <c:v>43861</c:v>
                </c:pt>
                <c:pt idx="2611">
                  <c:v>43864</c:v>
                </c:pt>
                <c:pt idx="2612">
                  <c:v>43865</c:v>
                </c:pt>
                <c:pt idx="2613">
                  <c:v>43866</c:v>
                </c:pt>
                <c:pt idx="2614">
                  <c:v>43867</c:v>
                </c:pt>
                <c:pt idx="2615">
                  <c:v>43868</c:v>
                </c:pt>
                <c:pt idx="2616">
                  <c:v>43871</c:v>
                </c:pt>
                <c:pt idx="2617">
                  <c:v>43872</c:v>
                </c:pt>
                <c:pt idx="2618">
                  <c:v>43873</c:v>
                </c:pt>
                <c:pt idx="2619">
                  <c:v>43874</c:v>
                </c:pt>
                <c:pt idx="2620">
                  <c:v>43875</c:v>
                </c:pt>
                <c:pt idx="2621">
                  <c:v>43878</c:v>
                </c:pt>
                <c:pt idx="2622">
                  <c:v>43879</c:v>
                </c:pt>
                <c:pt idx="2623">
                  <c:v>43880</c:v>
                </c:pt>
                <c:pt idx="2624">
                  <c:v>43881</c:v>
                </c:pt>
                <c:pt idx="2625">
                  <c:v>43882</c:v>
                </c:pt>
                <c:pt idx="2626">
                  <c:v>43885</c:v>
                </c:pt>
                <c:pt idx="2627">
                  <c:v>43886</c:v>
                </c:pt>
                <c:pt idx="2628">
                  <c:v>43887</c:v>
                </c:pt>
                <c:pt idx="2629">
                  <c:v>43888</c:v>
                </c:pt>
                <c:pt idx="2630">
                  <c:v>43889</c:v>
                </c:pt>
                <c:pt idx="2631">
                  <c:v>43892</c:v>
                </c:pt>
                <c:pt idx="2632">
                  <c:v>43893</c:v>
                </c:pt>
                <c:pt idx="2633">
                  <c:v>43894</c:v>
                </c:pt>
                <c:pt idx="2634">
                  <c:v>43895</c:v>
                </c:pt>
                <c:pt idx="2635">
                  <c:v>43896</c:v>
                </c:pt>
                <c:pt idx="2636">
                  <c:v>43899</c:v>
                </c:pt>
                <c:pt idx="2637">
                  <c:v>43900</c:v>
                </c:pt>
                <c:pt idx="2638">
                  <c:v>43901</c:v>
                </c:pt>
                <c:pt idx="2639">
                  <c:v>43902</c:v>
                </c:pt>
                <c:pt idx="2640">
                  <c:v>43903</c:v>
                </c:pt>
                <c:pt idx="2641">
                  <c:v>43906</c:v>
                </c:pt>
                <c:pt idx="2642">
                  <c:v>43907</c:v>
                </c:pt>
                <c:pt idx="2643">
                  <c:v>43908</c:v>
                </c:pt>
                <c:pt idx="2644">
                  <c:v>43909</c:v>
                </c:pt>
                <c:pt idx="2645">
                  <c:v>43910</c:v>
                </c:pt>
                <c:pt idx="2646">
                  <c:v>43913</c:v>
                </c:pt>
                <c:pt idx="2647">
                  <c:v>43914</c:v>
                </c:pt>
                <c:pt idx="2648">
                  <c:v>43915</c:v>
                </c:pt>
                <c:pt idx="2649">
                  <c:v>43916</c:v>
                </c:pt>
                <c:pt idx="2650">
                  <c:v>43917</c:v>
                </c:pt>
                <c:pt idx="2651">
                  <c:v>43920</c:v>
                </c:pt>
                <c:pt idx="2652">
                  <c:v>43921</c:v>
                </c:pt>
                <c:pt idx="2653">
                  <c:v>43922</c:v>
                </c:pt>
                <c:pt idx="2654">
                  <c:v>43923</c:v>
                </c:pt>
                <c:pt idx="2655">
                  <c:v>43924</c:v>
                </c:pt>
                <c:pt idx="2656">
                  <c:v>43927</c:v>
                </c:pt>
                <c:pt idx="2657">
                  <c:v>43928</c:v>
                </c:pt>
                <c:pt idx="2658">
                  <c:v>43929</c:v>
                </c:pt>
                <c:pt idx="2659">
                  <c:v>43930</c:v>
                </c:pt>
                <c:pt idx="2660">
                  <c:v>43931</c:v>
                </c:pt>
                <c:pt idx="2661">
                  <c:v>43934</c:v>
                </c:pt>
                <c:pt idx="2662">
                  <c:v>43935</c:v>
                </c:pt>
                <c:pt idx="2663">
                  <c:v>43936</c:v>
                </c:pt>
                <c:pt idx="2664">
                  <c:v>43937</c:v>
                </c:pt>
                <c:pt idx="2665">
                  <c:v>43938</c:v>
                </c:pt>
                <c:pt idx="2666">
                  <c:v>43941</c:v>
                </c:pt>
                <c:pt idx="2667">
                  <c:v>43942</c:v>
                </c:pt>
                <c:pt idx="2668">
                  <c:v>43943</c:v>
                </c:pt>
                <c:pt idx="2669">
                  <c:v>43944</c:v>
                </c:pt>
                <c:pt idx="2670">
                  <c:v>43945</c:v>
                </c:pt>
                <c:pt idx="2671">
                  <c:v>43948</c:v>
                </c:pt>
                <c:pt idx="2672">
                  <c:v>43949</c:v>
                </c:pt>
                <c:pt idx="2673">
                  <c:v>43950</c:v>
                </c:pt>
                <c:pt idx="2674">
                  <c:v>43951</c:v>
                </c:pt>
                <c:pt idx="2675">
                  <c:v>43952</c:v>
                </c:pt>
                <c:pt idx="2676">
                  <c:v>43955</c:v>
                </c:pt>
                <c:pt idx="2677">
                  <c:v>43956</c:v>
                </c:pt>
                <c:pt idx="2678">
                  <c:v>43957</c:v>
                </c:pt>
                <c:pt idx="2679">
                  <c:v>43958</c:v>
                </c:pt>
                <c:pt idx="2680">
                  <c:v>43959</c:v>
                </c:pt>
                <c:pt idx="2681">
                  <c:v>43962</c:v>
                </c:pt>
                <c:pt idx="2682">
                  <c:v>43963</c:v>
                </c:pt>
                <c:pt idx="2683">
                  <c:v>43964</c:v>
                </c:pt>
                <c:pt idx="2684">
                  <c:v>43965</c:v>
                </c:pt>
                <c:pt idx="2685">
                  <c:v>43966</c:v>
                </c:pt>
                <c:pt idx="2686">
                  <c:v>43969</c:v>
                </c:pt>
                <c:pt idx="2687">
                  <c:v>43970</c:v>
                </c:pt>
                <c:pt idx="2688">
                  <c:v>43971</c:v>
                </c:pt>
                <c:pt idx="2689">
                  <c:v>43972</c:v>
                </c:pt>
                <c:pt idx="2690">
                  <c:v>43973</c:v>
                </c:pt>
                <c:pt idx="2691">
                  <c:v>43976</c:v>
                </c:pt>
                <c:pt idx="2692">
                  <c:v>43977</c:v>
                </c:pt>
                <c:pt idx="2693">
                  <c:v>43978</c:v>
                </c:pt>
                <c:pt idx="2694">
                  <c:v>43979</c:v>
                </c:pt>
                <c:pt idx="2695">
                  <c:v>43980</c:v>
                </c:pt>
                <c:pt idx="2696">
                  <c:v>43983</c:v>
                </c:pt>
                <c:pt idx="2697">
                  <c:v>43984</c:v>
                </c:pt>
                <c:pt idx="2698">
                  <c:v>43985</c:v>
                </c:pt>
                <c:pt idx="2699">
                  <c:v>43986</c:v>
                </c:pt>
                <c:pt idx="2700">
                  <c:v>43987</c:v>
                </c:pt>
                <c:pt idx="2701">
                  <c:v>43990</c:v>
                </c:pt>
                <c:pt idx="2702">
                  <c:v>43991</c:v>
                </c:pt>
                <c:pt idx="2703">
                  <c:v>43992</c:v>
                </c:pt>
                <c:pt idx="2704">
                  <c:v>43993</c:v>
                </c:pt>
                <c:pt idx="2705">
                  <c:v>43994</c:v>
                </c:pt>
                <c:pt idx="2706">
                  <c:v>43997</c:v>
                </c:pt>
                <c:pt idx="2707">
                  <c:v>43998</c:v>
                </c:pt>
                <c:pt idx="2708">
                  <c:v>43999</c:v>
                </c:pt>
                <c:pt idx="2709">
                  <c:v>44000</c:v>
                </c:pt>
                <c:pt idx="2710">
                  <c:v>44001</c:v>
                </c:pt>
                <c:pt idx="2711">
                  <c:v>44004</c:v>
                </c:pt>
                <c:pt idx="2712">
                  <c:v>44005</c:v>
                </c:pt>
                <c:pt idx="2713">
                  <c:v>44006</c:v>
                </c:pt>
                <c:pt idx="2714">
                  <c:v>44007</c:v>
                </c:pt>
                <c:pt idx="2715">
                  <c:v>44008</c:v>
                </c:pt>
                <c:pt idx="2716">
                  <c:v>44011</c:v>
                </c:pt>
                <c:pt idx="2717">
                  <c:v>44012</c:v>
                </c:pt>
                <c:pt idx="2718">
                  <c:v>44013</c:v>
                </c:pt>
                <c:pt idx="2719">
                  <c:v>44014</c:v>
                </c:pt>
                <c:pt idx="2720">
                  <c:v>44015</c:v>
                </c:pt>
                <c:pt idx="2721">
                  <c:v>44018</c:v>
                </c:pt>
                <c:pt idx="2722">
                  <c:v>44019</c:v>
                </c:pt>
                <c:pt idx="2723">
                  <c:v>44020</c:v>
                </c:pt>
                <c:pt idx="2724">
                  <c:v>44021</c:v>
                </c:pt>
                <c:pt idx="2725">
                  <c:v>44022</c:v>
                </c:pt>
                <c:pt idx="2726">
                  <c:v>44025</c:v>
                </c:pt>
                <c:pt idx="2727">
                  <c:v>44026</c:v>
                </c:pt>
                <c:pt idx="2728">
                  <c:v>44027</c:v>
                </c:pt>
                <c:pt idx="2729">
                  <c:v>44028</c:v>
                </c:pt>
                <c:pt idx="2730">
                  <c:v>44029</c:v>
                </c:pt>
                <c:pt idx="2731">
                  <c:v>44032</c:v>
                </c:pt>
                <c:pt idx="2732">
                  <c:v>44033</c:v>
                </c:pt>
                <c:pt idx="2733">
                  <c:v>44034</c:v>
                </c:pt>
                <c:pt idx="2734">
                  <c:v>44035</c:v>
                </c:pt>
                <c:pt idx="2735">
                  <c:v>44036</c:v>
                </c:pt>
                <c:pt idx="2736">
                  <c:v>44039</c:v>
                </c:pt>
                <c:pt idx="2737">
                  <c:v>44040</c:v>
                </c:pt>
                <c:pt idx="2738">
                  <c:v>44041</c:v>
                </c:pt>
                <c:pt idx="2739">
                  <c:v>44042</c:v>
                </c:pt>
                <c:pt idx="2740">
                  <c:v>44043</c:v>
                </c:pt>
                <c:pt idx="2741">
                  <c:v>44046</c:v>
                </c:pt>
                <c:pt idx="2742">
                  <c:v>44047</c:v>
                </c:pt>
                <c:pt idx="2743">
                  <c:v>44048</c:v>
                </c:pt>
                <c:pt idx="2744">
                  <c:v>44049</c:v>
                </c:pt>
                <c:pt idx="2745">
                  <c:v>44050</c:v>
                </c:pt>
                <c:pt idx="2746">
                  <c:v>44053</c:v>
                </c:pt>
                <c:pt idx="2747">
                  <c:v>44054</c:v>
                </c:pt>
                <c:pt idx="2748">
                  <c:v>44055</c:v>
                </c:pt>
                <c:pt idx="2749">
                  <c:v>44056</c:v>
                </c:pt>
                <c:pt idx="2750">
                  <c:v>44057</c:v>
                </c:pt>
                <c:pt idx="2751">
                  <c:v>44060</c:v>
                </c:pt>
                <c:pt idx="2752">
                  <c:v>44061</c:v>
                </c:pt>
                <c:pt idx="2753">
                  <c:v>44062</c:v>
                </c:pt>
                <c:pt idx="2754">
                  <c:v>44063</c:v>
                </c:pt>
                <c:pt idx="2755">
                  <c:v>44064</c:v>
                </c:pt>
                <c:pt idx="2756">
                  <c:v>44067</c:v>
                </c:pt>
                <c:pt idx="2757">
                  <c:v>44068</c:v>
                </c:pt>
                <c:pt idx="2758">
                  <c:v>44069</c:v>
                </c:pt>
                <c:pt idx="2759">
                  <c:v>44070</c:v>
                </c:pt>
                <c:pt idx="2760">
                  <c:v>44071</c:v>
                </c:pt>
                <c:pt idx="2761">
                  <c:v>44074</c:v>
                </c:pt>
                <c:pt idx="2762">
                  <c:v>44075</c:v>
                </c:pt>
                <c:pt idx="2763">
                  <c:v>44076</c:v>
                </c:pt>
                <c:pt idx="2764">
                  <c:v>44077</c:v>
                </c:pt>
                <c:pt idx="2765">
                  <c:v>44078</c:v>
                </c:pt>
                <c:pt idx="2766">
                  <c:v>44081</c:v>
                </c:pt>
                <c:pt idx="2767">
                  <c:v>44082</c:v>
                </c:pt>
                <c:pt idx="2768">
                  <c:v>44083</c:v>
                </c:pt>
                <c:pt idx="2769">
                  <c:v>44084</c:v>
                </c:pt>
                <c:pt idx="2770">
                  <c:v>44085</c:v>
                </c:pt>
                <c:pt idx="2771">
                  <c:v>44088</c:v>
                </c:pt>
                <c:pt idx="2772">
                  <c:v>44089</c:v>
                </c:pt>
                <c:pt idx="2773">
                  <c:v>44090</c:v>
                </c:pt>
                <c:pt idx="2774">
                  <c:v>44091</c:v>
                </c:pt>
                <c:pt idx="2775">
                  <c:v>44092</c:v>
                </c:pt>
                <c:pt idx="2776">
                  <c:v>44095</c:v>
                </c:pt>
                <c:pt idx="2777">
                  <c:v>44096</c:v>
                </c:pt>
                <c:pt idx="2778">
                  <c:v>44097</c:v>
                </c:pt>
                <c:pt idx="2779">
                  <c:v>44098</c:v>
                </c:pt>
                <c:pt idx="2780">
                  <c:v>44099</c:v>
                </c:pt>
                <c:pt idx="2781">
                  <c:v>44102</c:v>
                </c:pt>
                <c:pt idx="2782">
                  <c:v>44103</c:v>
                </c:pt>
                <c:pt idx="2783">
                  <c:v>44104</c:v>
                </c:pt>
                <c:pt idx="2784">
                  <c:v>44105</c:v>
                </c:pt>
                <c:pt idx="2785">
                  <c:v>44106</c:v>
                </c:pt>
                <c:pt idx="2786">
                  <c:v>44109</c:v>
                </c:pt>
                <c:pt idx="2787">
                  <c:v>44110</c:v>
                </c:pt>
                <c:pt idx="2788">
                  <c:v>44111</c:v>
                </c:pt>
                <c:pt idx="2789">
                  <c:v>44112</c:v>
                </c:pt>
                <c:pt idx="2790">
                  <c:v>44113</c:v>
                </c:pt>
                <c:pt idx="2791">
                  <c:v>44116</c:v>
                </c:pt>
                <c:pt idx="2792">
                  <c:v>44117</c:v>
                </c:pt>
                <c:pt idx="2793">
                  <c:v>44118</c:v>
                </c:pt>
                <c:pt idx="2794">
                  <c:v>44119</c:v>
                </c:pt>
                <c:pt idx="2795">
                  <c:v>44120</c:v>
                </c:pt>
                <c:pt idx="2796">
                  <c:v>44123</c:v>
                </c:pt>
                <c:pt idx="2797">
                  <c:v>44124</c:v>
                </c:pt>
                <c:pt idx="2798">
                  <c:v>44125</c:v>
                </c:pt>
                <c:pt idx="2799">
                  <c:v>44126</c:v>
                </c:pt>
                <c:pt idx="2800">
                  <c:v>44127</c:v>
                </c:pt>
                <c:pt idx="2801">
                  <c:v>44130</c:v>
                </c:pt>
                <c:pt idx="2802">
                  <c:v>44131</c:v>
                </c:pt>
                <c:pt idx="2803">
                  <c:v>44132</c:v>
                </c:pt>
                <c:pt idx="2804">
                  <c:v>44133</c:v>
                </c:pt>
                <c:pt idx="2805">
                  <c:v>44134</c:v>
                </c:pt>
                <c:pt idx="2806">
                  <c:v>44137</c:v>
                </c:pt>
                <c:pt idx="2807">
                  <c:v>44138</c:v>
                </c:pt>
                <c:pt idx="2808">
                  <c:v>44139</c:v>
                </c:pt>
                <c:pt idx="2809">
                  <c:v>44140</c:v>
                </c:pt>
                <c:pt idx="2810">
                  <c:v>44141</c:v>
                </c:pt>
                <c:pt idx="2811">
                  <c:v>44144</c:v>
                </c:pt>
                <c:pt idx="2812">
                  <c:v>44145</c:v>
                </c:pt>
                <c:pt idx="2813">
                  <c:v>44146</c:v>
                </c:pt>
                <c:pt idx="2814">
                  <c:v>44147</c:v>
                </c:pt>
                <c:pt idx="2815">
                  <c:v>44148</c:v>
                </c:pt>
                <c:pt idx="2816">
                  <c:v>44151</c:v>
                </c:pt>
                <c:pt idx="2817">
                  <c:v>44152</c:v>
                </c:pt>
                <c:pt idx="2818">
                  <c:v>44153</c:v>
                </c:pt>
                <c:pt idx="2819">
                  <c:v>44154</c:v>
                </c:pt>
                <c:pt idx="2820">
                  <c:v>44155</c:v>
                </c:pt>
                <c:pt idx="2821">
                  <c:v>44158</c:v>
                </c:pt>
                <c:pt idx="2822">
                  <c:v>44159</c:v>
                </c:pt>
                <c:pt idx="2823">
                  <c:v>44160</c:v>
                </c:pt>
                <c:pt idx="2824">
                  <c:v>44161</c:v>
                </c:pt>
                <c:pt idx="2825">
                  <c:v>44162</c:v>
                </c:pt>
                <c:pt idx="2826">
                  <c:v>44165</c:v>
                </c:pt>
                <c:pt idx="2827">
                  <c:v>44166</c:v>
                </c:pt>
                <c:pt idx="2828">
                  <c:v>44167</c:v>
                </c:pt>
                <c:pt idx="2829">
                  <c:v>44168</c:v>
                </c:pt>
                <c:pt idx="2830">
                  <c:v>44169</c:v>
                </c:pt>
                <c:pt idx="2831">
                  <c:v>44172</c:v>
                </c:pt>
                <c:pt idx="2832">
                  <c:v>44173</c:v>
                </c:pt>
                <c:pt idx="2833">
                  <c:v>44174</c:v>
                </c:pt>
                <c:pt idx="2834">
                  <c:v>44175</c:v>
                </c:pt>
                <c:pt idx="2835">
                  <c:v>44176</c:v>
                </c:pt>
                <c:pt idx="2836">
                  <c:v>44179</c:v>
                </c:pt>
                <c:pt idx="2837">
                  <c:v>44180</c:v>
                </c:pt>
                <c:pt idx="2838">
                  <c:v>44181</c:v>
                </c:pt>
                <c:pt idx="2839">
                  <c:v>44182</c:v>
                </c:pt>
                <c:pt idx="2840">
                  <c:v>44183</c:v>
                </c:pt>
                <c:pt idx="2841">
                  <c:v>44186</c:v>
                </c:pt>
                <c:pt idx="2842">
                  <c:v>44187</c:v>
                </c:pt>
                <c:pt idx="2843">
                  <c:v>44188</c:v>
                </c:pt>
                <c:pt idx="2844">
                  <c:v>44189</c:v>
                </c:pt>
                <c:pt idx="2845">
                  <c:v>44190</c:v>
                </c:pt>
                <c:pt idx="2846">
                  <c:v>44193</c:v>
                </c:pt>
                <c:pt idx="2847">
                  <c:v>44194</c:v>
                </c:pt>
                <c:pt idx="2848">
                  <c:v>44195</c:v>
                </c:pt>
                <c:pt idx="2849">
                  <c:v>44196</c:v>
                </c:pt>
                <c:pt idx="2850">
                  <c:v>44197</c:v>
                </c:pt>
                <c:pt idx="2851">
                  <c:v>44200</c:v>
                </c:pt>
                <c:pt idx="2852">
                  <c:v>44201</c:v>
                </c:pt>
                <c:pt idx="2853">
                  <c:v>44202</c:v>
                </c:pt>
                <c:pt idx="2854">
                  <c:v>44203</c:v>
                </c:pt>
                <c:pt idx="2855">
                  <c:v>44204</c:v>
                </c:pt>
                <c:pt idx="2856">
                  <c:v>44207</c:v>
                </c:pt>
                <c:pt idx="2857">
                  <c:v>44208</c:v>
                </c:pt>
                <c:pt idx="2858">
                  <c:v>44209</c:v>
                </c:pt>
                <c:pt idx="2859">
                  <c:v>44210</c:v>
                </c:pt>
                <c:pt idx="2860">
                  <c:v>44211</c:v>
                </c:pt>
                <c:pt idx="2861">
                  <c:v>44214</c:v>
                </c:pt>
                <c:pt idx="2862">
                  <c:v>44215</c:v>
                </c:pt>
                <c:pt idx="2863">
                  <c:v>44216</c:v>
                </c:pt>
                <c:pt idx="2864">
                  <c:v>44217</c:v>
                </c:pt>
                <c:pt idx="2865">
                  <c:v>44218</c:v>
                </c:pt>
                <c:pt idx="2866">
                  <c:v>44221</c:v>
                </c:pt>
                <c:pt idx="2867">
                  <c:v>44222</c:v>
                </c:pt>
                <c:pt idx="2868">
                  <c:v>44223</c:v>
                </c:pt>
                <c:pt idx="2869">
                  <c:v>44224</c:v>
                </c:pt>
                <c:pt idx="2870">
                  <c:v>44225</c:v>
                </c:pt>
                <c:pt idx="2871">
                  <c:v>44228</c:v>
                </c:pt>
                <c:pt idx="2872">
                  <c:v>44229</c:v>
                </c:pt>
                <c:pt idx="2873">
                  <c:v>44230</c:v>
                </c:pt>
                <c:pt idx="2874">
                  <c:v>44231</c:v>
                </c:pt>
                <c:pt idx="2875">
                  <c:v>44232</c:v>
                </c:pt>
                <c:pt idx="2876">
                  <c:v>44235</c:v>
                </c:pt>
                <c:pt idx="2877">
                  <c:v>44236</c:v>
                </c:pt>
                <c:pt idx="2878">
                  <c:v>44237</c:v>
                </c:pt>
                <c:pt idx="2879">
                  <c:v>44238</c:v>
                </c:pt>
                <c:pt idx="2880">
                  <c:v>44239</c:v>
                </c:pt>
                <c:pt idx="2881">
                  <c:v>44242</c:v>
                </c:pt>
                <c:pt idx="2882">
                  <c:v>44243</c:v>
                </c:pt>
                <c:pt idx="2883">
                  <c:v>44244</c:v>
                </c:pt>
                <c:pt idx="2884">
                  <c:v>44245</c:v>
                </c:pt>
                <c:pt idx="2885">
                  <c:v>44246</c:v>
                </c:pt>
                <c:pt idx="2886">
                  <c:v>44249</c:v>
                </c:pt>
                <c:pt idx="2887">
                  <c:v>44250</c:v>
                </c:pt>
                <c:pt idx="2888">
                  <c:v>44251</c:v>
                </c:pt>
                <c:pt idx="2889">
                  <c:v>44252</c:v>
                </c:pt>
                <c:pt idx="2890">
                  <c:v>44253</c:v>
                </c:pt>
                <c:pt idx="2891">
                  <c:v>44256</c:v>
                </c:pt>
                <c:pt idx="2892">
                  <c:v>44257</c:v>
                </c:pt>
                <c:pt idx="2893">
                  <c:v>44258</c:v>
                </c:pt>
                <c:pt idx="2894">
                  <c:v>44259</c:v>
                </c:pt>
                <c:pt idx="2895">
                  <c:v>44260</c:v>
                </c:pt>
                <c:pt idx="2896">
                  <c:v>44263</c:v>
                </c:pt>
                <c:pt idx="2897">
                  <c:v>44264</c:v>
                </c:pt>
                <c:pt idx="2898">
                  <c:v>44265</c:v>
                </c:pt>
                <c:pt idx="2899">
                  <c:v>44266</c:v>
                </c:pt>
                <c:pt idx="2900">
                  <c:v>44267</c:v>
                </c:pt>
                <c:pt idx="2901">
                  <c:v>44270</c:v>
                </c:pt>
                <c:pt idx="2902">
                  <c:v>44271</c:v>
                </c:pt>
                <c:pt idx="2903">
                  <c:v>44272</c:v>
                </c:pt>
                <c:pt idx="2904">
                  <c:v>44273</c:v>
                </c:pt>
                <c:pt idx="2905">
                  <c:v>44274</c:v>
                </c:pt>
                <c:pt idx="2906">
                  <c:v>44277</c:v>
                </c:pt>
                <c:pt idx="2907">
                  <c:v>44278</c:v>
                </c:pt>
                <c:pt idx="2908">
                  <c:v>44279</c:v>
                </c:pt>
                <c:pt idx="2909">
                  <c:v>44280</c:v>
                </c:pt>
                <c:pt idx="2910">
                  <c:v>44281</c:v>
                </c:pt>
                <c:pt idx="2911">
                  <c:v>44284</c:v>
                </c:pt>
                <c:pt idx="2912">
                  <c:v>44285</c:v>
                </c:pt>
                <c:pt idx="2913">
                  <c:v>44286</c:v>
                </c:pt>
                <c:pt idx="2914">
                  <c:v>44287</c:v>
                </c:pt>
                <c:pt idx="2915">
                  <c:v>44288</c:v>
                </c:pt>
                <c:pt idx="2916">
                  <c:v>44291</c:v>
                </c:pt>
                <c:pt idx="2917">
                  <c:v>44292</c:v>
                </c:pt>
                <c:pt idx="2918">
                  <c:v>44293</c:v>
                </c:pt>
                <c:pt idx="2919">
                  <c:v>44294</c:v>
                </c:pt>
                <c:pt idx="2920">
                  <c:v>44295</c:v>
                </c:pt>
                <c:pt idx="2921">
                  <c:v>44298</c:v>
                </c:pt>
                <c:pt idx="2922">
                  <c:v>44299</c:v>
                </c:pt>
                <c:pt idx="2923">
                  <c:v>44300</c:v>
                </c:pt>
                <c:pt idx="2924">
                  <c:v>44301</c:v>
                </c:pt>
                <c:pt idx="2925">
                  <c:v>44302</c:v>
                </c:pt>
                <c:pt idx="2926">
                  <c:v>44305</c:v>
                </c:pt>
                <c:pt idx="2927">
                  <c:v>44306</c:v>
                </c:pt>
                <c:pt idx="2928">
                  <c:v>44307</c:v>
                </c:pt>
                <c:pt idx="2929">
                  <c:v>44308</c:v>
                </c:pt>
                <c:pt idx="2930">
                  <c:v>44309</c:v>
                </c:pt>
                <c:pt idx="2931">
                  <c:v>44312</c:v>
                </c:pt>
                <c:pt idx="2932">
                  <c:v>44313</c:v>
                </c:pt>
                <c:pt idx="2933">
                  <c:v>44314</c:v>
                </c:pt>
                <c:pt idx="2934">
                  <c:v>44315</c:v>
                </c:pt>
                <c:pt idx="2935">
                  <c:v>44316</c:v>
                </c:pt>
                <c:pt idx="2936">
                  <c:v>44319</c:v>
                </c:pt>
                <c:pt idx="2937">
                  <c:v>44320</c:v>
                </c:pt>
                <c:pt idx="2938">
                  <c:v>44321</c:v>
                </c:pt>
                <c:pt idx="2939">
                  <c:v>44322</c:v>
                </c:pt>
                <c:pt idx="2940">
                  <c:v>44323</c:v>
                </c:pt>
                <c:pt idx="2941">
                  <c:v>44326</c:v>
                </c:pt>
                <c:pt idx="2942">
                  <c:v>44327</c:v>
                </c:pt>
                <c:pt idx="2943">
                  <c:v>44328</c:v>
                </c:pt>
                <c:pt idx="2944">
                  <c:v>44329</c:v>
                </c:pt>
                <c:pt idx="2945">
                  <c:v>44330</c:v>
                </c:pt>
                <c:pt idx="2946">
                  <c:v>44333</c:v>
                </c:pt>
                <c:pt idx="2947">
                  <c:v>44334</c:v>
                </c:pt>
                <c:pt idx="2948">
                  <c:v>44335</c:v>
                </c:pt>
                <c:pt idx="2949">
                  <c:v>44336</c:v>
                </c:pt>
                <c:pt idx="2950">
                  <c:v>44337</c:v>
                </c:pt>
                <c:pt idx="2951">
                  <c:v>44340</c:v>
                </c:pt>
                <c:pt idx="2952">
                  <c:v>44341</c:v>
                </c:pt>
                <c:pt idx="2953">
                  <c:v>44342</c:v>
                </c:pt>
                <c:pt idx="2954">
                  <c:v>44343</c:v>
                </c:pt>
                <c:pt idx="2955">
                  <c:v>44344</c:v>
                </c:pt>
                <c:pt idx="2956">
                  <c:v>44347</c:v>
                </c:pt>
                <c:pt idx="2957">
                  <c:v>44348</c:v>
                </c:pt>
                <c:pt idx="2958">
                  <c:v>44349</c:v>
                </c:pt>
                <c:pt idx="2959">
                  <c:v>44350</c:v>
                </c:pt>
                <c:pt idx="2960">
                  <c:v>44351</c:v>
                </c:pt>
                <c:pt idx="2961">
                  <c:v>44354</c:v>
                </c:pt>
                <c:pt idx="2962">
                  <c:v>44355</c:v>
                </c:pt>
                <c:pt idx="2963">
                  <c:v>44356</c:v>
                </c:pt>
                <c:pt idx="2964">
                  <c:v>44357</c:v>
                </c:pt>
                <c:pt idx="2965">
                  <c:v>44358</c:v>
                </c:pt>
                <c:pt idx="2966">
                  <c:v>44361</c:v>
                </c:pt>
                <c:pt idx="2967">
                  <c:v>44362</c:v>
                </c:pt>
                <c:pt idx="2968">
                  <c:v>44363</c:v>
                </c:pt>
                <c:pt idx="2969">
                  <c:v>44364</c:v>
                </c:pt>
                <c:pt idx="2970">
                  <c:v>44365</c:v>
                </c:pt>
                <c:pt idx="2971">
                  <c:v>44368</c:v>
                </c:pt>
                <c:pt idx="2972">
                  <c:v>44369</c:v>
                </c:pt>
                <c:pt idx="2973">
                  <c:v>44370</c:v>
                </c:pt>
                <c:pt idx="2974">
                  <c:v>44371</c:v>
                </c:pt>
                <c:pt idx="2975">
                  <c:v>44372</c:v>
                </c:pt>
                <c:pt idx="2976">
                  <c:v>44375</c:v>
                </c:pt>
                <c:pt idx="2977">
                  <c:v>44376</c:v>
                </c:pt>
                <c:pt idx="2978">
                  <c:v>44377</c:v>
                </c:pt>
                <c:pt idx="2979">
                  <c:v>44378</c:v>
                </c:pt>
                <c:pt idx="2980">
                  <c:v>44379</c:v>
                </c:pt>
                <c:pt idx="2981">
                  <c:v>44382</c:v>
                </c:pt>
                <c:pt idx="2982">
                  <c:v>44383</c:v>
                </c:pt>
                <c:pt idx="2983">
                  <c:v>44384</c:v>
                </c:pt>
                <c:pt idx="2984">
                  <c:v>44385</c:v>
                </c:pt>
                <c:pt idx="2985">
                  <c:v>44386</c:v>
                </c:pt>
                <c:pt idx="2986">
                  <c:v>44389</c:v>
                </c:pt>
                <c:pt idx="2987">
                  <c:v>44390</c:v>
                </c:pt>
                <c:pt idx="2988">
                  <c:v>44391</c:v>
                </c:pt>
                <c:pt idx="2989">
                  <c:v>44392</c:v>
                </c:pt>
                <c:pt idx="2990">
                  <c:v>44393</c:v>
                </c:pt>
                <c:pt idx="2991">
                  <c:v>44396</c:v>
                </c:pt>
                <c:pt idx="2992">
                  <c:v>44397</c:v>
                </c:pt>
                <c:pt idx="2993">
                  <c:v>44398</c:v>
                </c:pt>
                <c:pt idx="2994">
                  <c:v>44399</c:v>
                </c:pt>
                <c:pt idx="2995">
                  <c:v>44400</c:v>
                </c:pt>
                <c:pt idx="2996">
                  <c:v>44403</c:v>
                </c:pt>
                <c:pt idx="2997">
                  <c:v>44404</c:v>
                </c:pt>
                <c:pt idx="2998">
                  <c:v>44405</c:v>
                </c:pt>
                <c:pt idx="2999">
                  <c:v>44406</c:v>
                </c:pt>
                <c:pt idx="3000">
                  <c:v>44407</c:v>
                </c:pt>
                <c:pt idx="3001">
                  <c:v>44410</c:v>
                </c:pt>
                <c:pt idx="3002">
                  <c:v>44411</c:v>
                </c:pt>
                <c:pt idx="3003">
                  <c:v>44412</c:v>
                </c:pt>
                <c:pt idx="3004">
                  <c:v>44413</c:v>
                </c:pt>
                <c:pt idx="3005">
                  <c:v>44414</c:v>
                </c:pt>
                <c:pt idx="3006">
                  <c:v>44417</c:v>
                </c:pt>
                <c:pt idx="3007">
                  <c:v>44418</c:v>
                </c:pt>
                <c:pt idx="3008">
                  <c:v>44419</c:v>
                </c:pt>
                <c:pt idx="3009">
                  <c:v>44420</c:v>
                </c:pt>
                <c:pt idx="3010">
                  <c:v>44421</c:v>
                </c:pt>
                <c:pt idx="3011">
                  <c:v>44424</c:v>
                </c:pt>
                <c:pt idx="3012">
                  <c:v>44425</c:v>
                </c:pt>
                <c:pt idx="3013">
                  <c:v>44426</c:v>
                </c:pt>
                <c:pt idx="3014">
                  <c:v>44427</c:v>
                </c:pt>
                <c:pt idx="3015">
                  <c:v>44428</c:v>
                </c:pt>
                <c:pt idx="3016">
                  <c:v>44431</c:v>
                </c:pt>
                <c:pt idx="3017">
                  <c:v>44432</c:v>
                </c:pt>
                <c:pt idx="3018">
                  <c:v>44433</c:v>
                </c:pt>
                <c:pt idx="3019">
                  <c:v>44434</c:v>
                </c:pt>
                <c:pt idx="3020">
                  <c:v>44435</c:v>
                </c:pt>
                <c:pt idx="3021">
                  <c:v>44438</c:v>
                </c:pt>
                <c:pt idx="3022">
                  <c:v>44439</c:v>
                </c:pt>
                <c:pt idx="3023">
                  <c:v>44440</c:v>
                </c:pt>
                <c:pt idx="3024">
                  <c:v>44441</c:v>
                </c:pt>
                <c:pt idx="3025">
                  <c:v>44442</c:v>
                </c:pt>
                <c:pt idx="3026">
                  <c:v>44445</c:v>
                </c:pt>
                <c:pt idx="3027">
                  <c:v>44446</c:v>
                </c:pt>
                <c:pt idx="3028">
                  <c:v>44447</c:v>
                </c:pt>
                <c:pt idx="3029">
                  <c:v>44448</c:v>
                </c:pt>
                <c:pt idx="3030">
                  <c:v>44449</c:v>
                </c:pt>
                <c:pt idx="3031">
                  <c:v>44452</c:v>
                </c:pt>
                <c:pt idx="3032">
                  <c:v>44453</c:v>
                </c:pt>
                <c:pt idx="3033">
                  <c:v>44454</c:v>
                </c:pt>
                <c:pt idx="3034">
                  <c:v>44455</c:v>
                </c:pt>
                <c:pt idx="3035">
                  <c:v>44456</c:v>
                </c:pt>
                <c:pt idx="3036">
                  <c:v>44459</c:v>
                </c:pt>
                <c:pt idx="3037">
                  <c:v>44460</c:v>
                </c:pt>
                <c:pt idx="3038">
                  <c:v>44461</c:v>
                </c:pt>
                <c:pt idx="3039">
                  <c:v>44462</c:v>
                </c:pt>
                <c:pt idx="3040">
                  <c:v>44463</c:v>
                </c:pt>
                <c:pt idx="3041">
                  <c:v>44466</c:v>
                </c:pt>
                <c:pt idx="3042">
                  <c:v>44467</c:v>
                </c:pt>
                <c:pt idx="3043">
                  <c:v>44468</c:v>
                </c:pt>
                <c:pt idx="3044">
                  <c:v>44469</c:v>
                </c:pt>
                <c:pt idx="3045">
                  <c:v>44470</c:v>
                </c:pt>
                <c:pt idx="3046">
                  <c:v>44473</c:v>
                </c:pt>
                <c:pt idx="3047">
                  <c:v>44474</c:v>
                </c:pt>
                <c:pt idx="3048">
                  <c:v>44475</c:v>
                </c:pt>
                <c:pt idx="3049">
                  <c:v>44476</c:v>
                </c:pt>
                <c:pt idx="3050">
                  <c:v>44477</c:v>
                </c:pt>
                <c:pt idx="3051">
                  <c:v>44480</c:v>
                </c:pt>
                <c:pt idx="3052">
                  <c:v>44481</c:v>
                </c:pt>
                <c:pt idx="3053">
                  <c:v>44482</c:v>
                </c:pt>
                <c:pt idx="3054">
                  <c:v>44483</c:v>
                </c:pt>
                <c:pt idx="3055">
                  <c:v>44484</c:v>
                </c:pt>
                <c:pt idx="3056">
                  <c:v>44487</c:v>
                </c:pt>
                <c:pt idx="3057">
                  <c:v>44488</c:v>
                </c:pt>
                <c:pt idx="3058">
                  <c:v>44489</c:v>
                </c:pt>
                <c:pt idx="3059">
                  <c:v>44490</c:v>
                </c:pt>
                <c:pt idx="3060">
                  <c:v>44491</c:v>
                </c:pt>
                <c:pt idx="3061">
                  <c:v>44494</c:v>
                </c:pt>
                <c:pt idx="3062">
                  <c:v>44495</c:v>
                </c:pt>
                <c:pt idx="3063">
                  <c:v>44496</c:v>
                </c:pt>
                <c:pt idx="3064">
                  <c:v>44497</c:v>
                </c:pt>
                <c:pt idx="3065">
                  <c:v>44498</c:v>
                </c:pt>
                <c:pt idx="3066">
                  <c:v>44501</c:v>
                </c:pt>
                <c:pt idx="3067">
                  <c:v>44502</c:v>
                </c:pt>
                <c:pt idx="3068">
                  <c:v>44503</c:v>
                </c:pt>
                <c:pt idx="3069">
                  <c:v>44504</c:v>
                </c:pt>
                <c:pt idx="3070">
                  <c:v>44505</c:v>
                </c:pt>
                <c:pt idx="3071">
                  <c:v>44508</c:v>
                </c:pt>
                <c:pt idx="3072">
                  <c:v>44509</c:v>
                </c:pt>
                <c:pt idx="3073">
                  <c:v>44510</c:v>
                </c:pt>
                <c:pt idx="3074">
                  <c:v>44511</c:v>
                </c:pt>
                <c:pt idx="3075">
                  <c:v>44512</c:v>
                </c:pt>
                <c:pt idx="3076">
                  <c:v>44515</c:v>
                </c:pt>
                <c:pt idx="3077">
                  <c:v>44516</c:v>
                </c:pt>
                <c:pt idx="3078">
                  <c:v>44517</c:v>
                </c:pt>
                <c:pt idx="3079">
                  <c:v>44518</c:v>
                </c:pt>
                <c:pt idx="3080">
                  <c:v>44519</c:v>
                </c:pt>
                <c:pt idx="3081">
                  <c:v>44522</c:v>
                </c:pt>
                <c:pt idx="3082">
                  <c:v>44523</c:v>
                </c:pt>
                <c:pt idx="3083">
                  <c:v>44524</c:v>
                </c:pt>
                <c:pt idx="3084">
                  <c:v>44525</c:v>
                </c:pt>
                <c:pt idx="3085">
                  <c:v>44526</c:v>
                </c:pt>
                <c:pt idx="3086">
                  <c:v>44529</c:v>
                </c:pt>
                <c:pt idx="3087">
                  <c:v>44530</c:v>
                </c:pt>
                <c:pt idx="3088">
                  <c:v>44531</c:v>
                </c:pt>
                <c:pt idx="3089">
                  <c:v>44532</c:v>
                </c:pt>
                <c:pt idx="3090">
                  <c:v>44533</c:v>
                </c:pt>
                <c:pt idx="3091">
                  <c:v>44536</c:v>
                </c:pt>
                <c:pt idx="3092">
                  <c:v>44537</c:v>
                </c:pt>
                <c:pt idx="3093">
                  <c:v>44538</c:v>
                </c:pt>
                <c:pt idx="3094">
                  <c:v>44539</c:v>
                </c:pt>
                <c:pt idx="3095">
                  <c:v>44540</c:v>
                </c:pt>
                <c:pt idx="3096">
                  <c:v>44543</c:v>
                </c:pt>
                <c:pt idx="3097">
                  <c:v>44544</c:v>
                </c:pt>
                <c:pt idx="3098">
                  <c:v>44545</c:v>
                </c:pt>
                <c:pt idx="3099">
                  <c:v>44546</c:v>
                </c:pt>
                <c:pt idx="3100">
                  <c:v>44547</c:v>
                </c:pt>
                <c:pt idx="3101">
                  <c:v>44550</c:v>
                </c:pt>
                <c:pt idx="3102">
                  <c:v>44551</c:v>
                </c:pt>
                <c:pt idx="3103">
                  <c:v>44552</c:v>
                </c:pt>
                <c:pt idx="3104">
                  <c:v>44553</c:v>
                </c:pt>
                <c:pt idx="3105">
                  <c:v>44554</c:v>
                </c:pt>
                <c:pt idx="3106">
                  <c:v>44557</c:v>
                </c:pt>
                <c:pt idx="3107">
                  <c:v>44558</c:v>
                </c:pt>
                <c:pt idx="3108">
                  <c:v>44559</c:v>
                </c:pt>
                <c:pt idx="3109">
                  <c:v>44560</c:v>
                </c:pt>
                <c:pt idx="3110">
                  <c:v>44561</c:v>
                </c:pt>
                <c:pt idx="3111">
                  <c:v>44564</c:v>
                </c:pt>
                <c:pt idx="3112">
                  <c:v>44565</c:v>
                </c:pt>
                <c:pt idx="3113">
                  <c:v>44566</c:v>
                </c:pt>
                <c:pt idx="3114">
                  <c:v>44567</c:v>
                </c:pt>
                <c:pt idx="3115">
                  <c:v>44568</c:v>
                </c:pt>
                <c:pt idx="3116">
                  <c:v>44571</c:v>
                </c:pt>
                <c:pt idx="3117">
                  <c:v>44572</c:v>
                </c:pt>
                <c:pt idx="3118">
                  <c:v>44573</c:v>
                </c:pt>
                <c:pt idx="3119">
                  <c:v>44574</c:v>
                </c:pt>
                <c:pt idx="3120">
                  <c:v>44575</c:v>
                </c:pt>
                <c:pt idx="3121">
                  <c:v>44578</c:v>
                </c:pt>
                <c:pt idx="3122">
                  <c:v>44579</c:v>
                </c:pt>
                <c:pt idx="3123">
                  <c:v>44580</c:v>
                </c:pt>
                <c:pt idx="3124">
                  <c:v>44581</c:v>
                </c:pt>
                <c:pt idx="3125">
                  <c:v>44582</c:v>
                </c:pt>
                <c:pt idx="3126">
                  <c:v>44585</c:v>
                </c:pt>
                <c:pt idx="3127">
                  <c:v>44586</c:v>
                </c:pt>
                <c:pt idx="3128">
                  <c:v>44587</c:v>
                </c:pt>
                <c:pt idx="3129">
                  <c:v>44588</c:v>
                </c:pt>
                <c:pt idx="3130">
                  <c:v>44589</c:v>
                </c:pt>
                <c:pt idx="3131">
                  <c:v>44592</c:v>
                </c:pt>
                <c:pt idx="3132">
                  <c:v>44593</c:v>
                </c:pt>
                <c:pt idx="3133">
                  <c:v>44594</c:v>
                </c:pt>
                <c:pt idx="3134">
                  <c:v>44595</c:v>
                </c:pt>
                <c:pt idx="3135">
                  <c:v>44596</c:v>
                </c:pt>
                <c:pt idx="3136">
                  <c:v>44599</c:v>
                </c:pt>
                <c:pt idx="3137">
                  <c:v>44600</c:v>
                </c:pt>
                <c:pt idx="3138">
                  <c:v>44601</c:v>
                </c:pt>
                <c:pt idx="3139">
                  <c:v>44602</c:v>
                </c:pt>
                <c:pt idx="3140">
                  <c:v>44603</c:v>
                </c:pt>
                <c:pt idx="3141">
                  <c:v>44606</c:v>
                </c:pt>
                <c:pt idx="3142">
                  <c:v>44607</c:v>
                </c:pt>
                <c:pt idx="3143">
                  <c:v>44608</c:v>
                </c:pt>
                <c:pt idx="3144">
                  <c:v>44609</c:v>
                </c:pt>
                <c:pt idx="3145">
                  <c:v>44610</c:v>
                </c:pt>
                <c:pt idx="3146">
                  <c:v>44613</c:v>
                </c:pt>
                <c:pt idx="3147">
                  <c:v>44614</c:v>
                </c:pt>
                <c:pt idx="3148">
                  <c:v>44615</c:v>
                </c:pt>
                <c:pt idx="3149">
                  <c:v>44616</c:v>
                </c:pt>
                <c:pt idx="3150">
                  <c:v>44617</c:v>
                </c:pt>
                <c:pt idx="3151">
                  <c:v>44620</c:v>
                </c:pt>
                <c:pt idx="3152">
                  <c:v>44621</c:v>
                </c:pt>
                <c:pt idx="3153">
                  <c:v>44622</c:v>
                </c:pt>
                <c:pt idx="3154">
                  <c:v>44623</c:v>
                </c:pt>
                <c:pt idx="3155">
                  <c:v>44624</c:v>
                </c:pt>
                <c:pt idx="3156">
                  <c:v>44627</c:v>
                </c:pt>
                <c:pt idx="3157">
                  <c:v>44628</c:v>
                </c:pt>
                <c:pt idx="3158">
                  <c:v>44629</c:v>
                </c:pt>
                <c:pt idx="3159">
                  <c:v>44630</c:v>
                </c:pt>
                <c:pt idx="3160">
                  <c:v>44631</c:v>
                </c:pt>
                <c:pt idx="3161">
                  <c:v>44634</c:v>
                </c:pt>
                <c:pt idx="3162">
                  <c:v>44635</c:v>
                </c:pt>
                <c:pt idx="3163">
                  <c:v>44636</c:v>
                </c:pt>
                <c:pt idx="3164">
                  <c:v>44637</c:v>
                </c:pt>
                <c:pt idx="3165">
                  <c:v>44638</c:v>
                </c:pt>
                <c:pt idx="3166">
                  <c:v>44641</c:v>
                </c:pt>
                <c:pt idx="3167">
                  <c:v>44642</c:v>
                </c:pt>
                <c:pt idx="3168">
                  <c:v>44643</c:v>
                </c:pt>
                <c:pt idx="3169">
                  <c:v>44644</c:v>
                </c:pt>
                <c:pt idx="3170">
                  <c:v>44645</c:v>
                </c:pt>
                <c:pt idx="3171">
                  <c:v>44648</c:v>
                </c:pt>
                <c:pt idx="3172">
                  <c:v>44649</c:v>
                </c:pt>
                <c:pt idx="3173">
                  <c:v>44650</c:v>
                </c:pt>
                <c:pt idx="3174">
                  <c:v>44651</c:v>
                </c:pt>
                <c:pt idx="3175">
                  <c:v>44652</c:v>
                </c:pt>
                <c:pt idx="3176">
                  <c:v>44655</c:v>
                </c:pt>
                <c:pt idx="3177">
                  <c:v>44656</c:v>
                </c:pt>
                <c:pt idx="3178">
                  <c:v>44657</c:v>
                </c:pt>
                <c:pt idx="3179">
                  <c:v>44658</c:v>
                </c:pt>
                <c:pt idx="3180">
                  <c:v>44659</c:v>
                </c:pt>
                <c:pt idx="3181">
                  <c:v>44662</c:v>
                </c:pt>
                <c:pt idx="3182">
                  <c:v>44663</c:v>
                </c:pt>
                <c:pt idx="3183">
                  <c:v>44664</c:v>
                </c:pt>
                <c:pt idx="3184">
                  <c:v>44665</c:v>
                </c:pt>
                <c:pt idx="3185">
                  <c:v>44666</c:v>
                </c:pt>
                <c:pt idx="3186">
                  <c:v>44669</c:v>
                </c:pt>
                <c:pt idx="3187">
                  <c:v>44670</c:v>
                </c:pt>
                <c:pt idx="3188">
                  <c:v>44671</c:v>
                </c:pt>
                <c:pt idx="3189">
                  <c:v>44672</c:v>
                </c:pt>
                <c:pt idx="3190">
                  <c:v>44673</c:v>
                </c:pt>
                <c:pt idx="3191">
                  <c:v>44676</c:v>
                </c:pt>
                <c:pt idx="3192">
                  <c:v>44677</c:v>
                </c:pt>
                <c:pt idx="3193">
                  <c:v>44678</c:v>
                </c:pt>
                <c:pt idx="3194">
                  <c:v>44679</c:v>
                </c:pt>
                <c:pt idx="3195">
                  <c:v>44680</c:v>
                </c:pt>
                <c:pt idx="3196">
                  <c:v>44683</c:v>
                </c:pt>
                <c:pt idx="3197">
                  <c:v>44684</c:v>
                </c:pt>
                <c:pt idx="3198">
                  <c:v>44685</c:v>
                </c:pt>
                <c:pt idx="3199">
                  <c:v>44686</c:v>
                </c:pt>
                <c:pt idx="3200">
                  <c:v>44687</c:v>
                </c:pt>
                <c:pt idx="3201">
                  <c:v>44690</c:v>
                </c:pt>
                <c:pt idx="3202">
                  <c:v>44691</c:v>
                </c:pt>
                <c:pt idx="3203">
                  <c:v>44692</c:v>
                </c:pt>
                <c:pt idx="3204">
                  <c:v>44693</c:v>
                </c:pt>
                <c:pt idx="3205">
                  <c:v>44694</c:v>
                </c:pt>
                <c:pt idx="3206">
                  <c:v>44697</c:v>
                </c:pt>
                <c:pt idx="3207">
                  <c:v>44698</c:v>
                </c:pt>
                <c:pt idx="3208">
                  <c:v>44699</c:v>
                </c:pt>
                <c:pt idx="3209">
                  <c:v>44700</c:v>
                </c:pt>
                <c:pt idx="3210">
                  <c:v>44701</c:v>
                </c:pt>
                <c:pt idx="3211">
                  <c:v>44704</c:v>
                </c:pt>
                <c:pt idx="3212">
                  <c:v>44705</c:v>
                </c:pt>
                <c:pt idx="3213">
                  <c:v>44706</c:v>
                </c:pt>
                <c:pt idx="3214">
                  <c:v>44707</c:v>
                </c:pt>
                <c:pt idx="3215">
                  <c:v>44708</c:v>
                </c:pt>
                <c:pt idx="3216">
                  <c:v>44711</c:v>
                </c:pt>
                <c:pt idx="3217">
                  <c:v>44712</c:v>
                </c:pt>
                <c:pt idx="3218">
                  <c:v>44713</c:v>
                </c:pt>
                <c:pt idx="3219">
                  <c:v>44714</c:v>
                </c:pt>
                <c:pt idx="3220">
                  <c:v>44715</c:v>
                </c:pt>
                <c:pt idx="3221">
                  <c:v>44718</c:v>
                </c:pt>
                <c:pt idx="3222">
                  <c:v>44719</c:v>
                </c:pt>
                <c:pt idx="3223">
                  <c:v>44720</c:v>
                </c:pt>
                <c:pt idx="3224">
                  <c:v>44721</c:v>
                </c:pt>
                <c:pt idx="3225">
                  <c:v>44722</c:v>
                </c:pt>
                <c:pt idx="3226">
                  <c:v>44725</c:v>
                </c:pt>
                <c:pt idx="3227">
                  <c:v>44726</c:v>
                </c:pt>
                <c:pt idx="3228">
                  <c:v>44727</c:v>
                </c:pt>
                <c:pt idx="3229">
                  <c:v>44728</c:v>
                </c:pt>
                <c:pt idx="3230">
                  <c:v>44729</c:v>
                </c:pt>
                <c:pt idx="3231">
                  <c:v>44732</c:v>
                </c:pt>
                <c:pt idx="3232">
                  <c:v>44733</c:v>
                </c:pt>
                <c:pt idx="3233">
                  <c:v>44734</c:v>
                </c:pt>
                <c:pt idx="3234">
                  <c:v>44735</c:v>
                </c:pt>
                <c:pt idx="3235">
                  <c:v>44736</c:v>
                </c:pt>
                <c:pt idx="3236">
                  <c:v>44739</c:v>
                </c:pt>
                <c:pt idx="3237">
                  <c:v>44740</c:v>
                </c:pt>
                <c:pt idx="3238">
                  <c:v>44741</c:v>
                </c:pt>
                <c:pt idx="3239">
                  <c:v>44742</c:v>
                </c:pt>
                <c:pt idx="3240">
                  <c:v>44743</c:v>
                </c:pt>
                <c:pt idx="3241">
                  <c:v>44746</c:v>
                </c:pt>
                <c:pt idx="3242">
                  <c:v>44747</c:v>
                </c:pt>
                <c:pt idx="3243">
                  <c:v>44748</c:v>
                </c:pt>
                <c:pt idx="3244">
                  <c:v>44749</c:v>
                </c:pt>
                <c:pt idx="3245">
                  <c:v>44750</c:v>
                </c:pt>
                <c:pt idx="3246">
                  <c:v>44753</c:v>
                </c:pt>
                <c:pt idx="3247">
                  <c:v>44754</c:v>
                </c:pt>
                <c:pt idx="3248">
                  <c:v>44755</c:v>
                </c:pt>
                <c:pt idx="3249">
                  <c:v>44756</c:v>
                </c:pt>
                <c:pt idx="3250">
                  <c:v>44757</c:v>
                </c:pt>
                <c:pt idx="3251">
                  <c:v>44760</c:v>
                </c:pt>
                <c:pt idx="3252">
                  <c:v>44761</c:v>
                </c:pt>
                <c:pt idx="3253">
                  <c:v>44762</c:v>
                </c:pt>
                <c:pt idx="3254">
                  <c:v>44763</c:v>
                </c:pt>
                <c:pt idx="3255">
                  <c:v>44764</c:v>
                </c:pt>
                <c:pt idx="3256">
                  <c:v>44767</c:v>
                </c:pt>
                <c:pt idx="3257">
                  <c:v>44768</c:v>
                </c:pt>
                <c:pt idx="3258">
                  <c:v>44769</c:v>
                </c:pt>
                <c:pt idx="3259">
                  <c:v>44770</c:v>
                </c:pt>
                <c:pt idx="3260">
                  <c:v>44771</c:v>
                </c:pt>
                <c:pt idx="3261">
                  <c:v>44774</c:v>
                </c:pt>
                <c:pt idx="3262">
                  <c:v>44775</c:v>
                </c:pt>
                <c:pt idx="3263">
                  <c:v>44776</c:v>
                </c:pt>
                <c:pt idx="3264">
                  <c:v>44777</c:v>
                </c:pt>
                <c:pt idx="3265">
                  <c:v>44778</c:v>
                </c:pt>
                <c:pt idx="3266">
                  <c:v>44781</c:v>
                </c:pt>
                <c:pt idx="3267">
                  <c:v>44782</c:v>
                </c:pt>
                <c:pt idx="3268">
                  <c:v>44783</c:v>
                </c:pt>
                <c:pt idx="3269">
                  <c:v>44784</c:v>
                </c:pt>
                <c:pt idx="3270">
                  <c:v>44785</c:v>
                </c:pt>
                <c:pt idx="3271">
                  <c:v>44788</c:v>
                </c:pt>
                <c:pt idx="3272">
                  <c:v>44789</c:v>
                </c:pt>
                <c:pt idx="3273">
                  <c:v>44790</c:v>
                </c:pt>
                <c:pt idx="3274">
                  <c:v>44791</c:v>
                </c:pt>
                <c:pt idx="3275">
                  <c:v>44792</c:v>
                </c:pt>
                <c:pt idx="3276">
                  <c:v>44795</c:v>
                </c:pt>
                <c:pt idx="3277">
                  <c:v>44796</c:v>
                </c:pt>
                <c:pt idx="3278">
                  <c:v>44797</c:v>
                </c:pt>
                <c:pt idx="3279">
                  <c:v>44798</c:v>
                </c:pt>
                <c:pt idx="3280">
                  <c:v>44799</c:v>
                </c:pt>
                <c:pt idx="3281">
                  <c:v>44802</c:v>
                </c:pt>
                <c:pt idx="3282">
                  <c:v>44803</c:v>
                </c:pt>
                <c:pt idx="3283">
                  <c:v>44804</c:v>
                </c:pt>
                <c:pt idx="3284">
                  <c:v>44805</c:v>
                </c:pt>
                <c:pt idx="3285">
                  <c:v>44806</c:v>
                </c:pt>
                <c:pt idx="3286">
                  <c:v>44809</c:v>
                </c:pt>
                <c:pt idx="3287">
                  <c:v>44810</c:v>
                </c:pt>
                <c:pt idx="3288">
                  <c:v>44811</c:v>
                </c:pt>
                <c:pt idx="3289">
                  <c:v>44812</c:v>
                </c:pt>
                <c:pt idx="3290">
                  <c:v>44813</c:v>
                </c:pt>
                <c:pt idx="3291">
                  <c:v>44816</c:v>
                </c:pt>
                <c:pt idx="3292">
                  <c:v>44817</c:v>
                </c:pt>
                <c:pt idx="3293">
                  <c:v>44818</c:v>
                </c:pt>
                <c:pt idx="3294">
                  <c:v>44819</c:v>
                </c:pt>
                <c:pt idx="3295">
                  <c:v>44820</c:v>
                </c:pt>
                <c:pt idx="3296">
                  <c:v>44823</c:v>
                </c:pt>
                <c:pt idx="3297">
                  <c:v>44824</c:v>
                </c:pt>
                <c:pt idx="3298">
                  <c:v>44825</c:v>
                </c:pt>
                <c:pt idx="3299">
                  <c:v>44826</c:v>
                </c:pt>
                <c:pt idx="3300">
                  <c:v>44827</c:v>
                </c:pt>
                <c:pt idx="3301">
                  <c:v>44830</c:v>
                </c:pt>
                <c:pt idx="3302">
                  <c:v>44831</c:v>
                </c:pt>
                <c:pt idx="3303">
                  <c:v>44832</c:v>
                </c:pt>
                <c:pt idx="3304">
                  <c:v>44833</c:v>
                </c:pt>
                <c:pt idx="3305">
                  <c:v>44834</c:v>
                </c:pt>
                <c:pt idx="3306">
                  <c:v>44837</c:v>
                </c:pt>
                <c:pt idx="3307">
                  <c:v>44838</c:v>
                </c:pt>
                <c:pt idx="3308">
                  <c:v>44839</c:v>
                </c:pt>
                <c:pt idx="3309">
                  <c:v>44840</c:v>
                </c:pt>
                <c:pt idx="3310">
                  <c:v>44841</c:v>
                </c:pt>
                <c:pt idx="3311">
                  <c:v>44844</c:v>
                </c:pt>
                <c:pt idx="3312">
                  <c:v>44845</c:v>
                </c:pt>
                <c:pt idx="3313">
                  <c:v>44846</c:v>
                </c:pt>
                <c:pt idx="3314">
                  <c:v>44847</c:v>
                </c:pt>
                <c:pt idx="3315">
                  <c:v>44848</c:v>
                </c:pt>
                <c:pt idx="3316">
                  <c:v>44851</c:v>
                </c:pt>
                <c:pt idx="3317">
                  <c:v>44852</c:v>
                </c:pt>
                <c:pt idx="3318">
                  <c:v>44853</c:v>
                </c:pt>
                <c:pt idx="3319">
                  <c:v>44854</c:v>
                </c:pt>
                <c:pt idx="3320">
                  <c:v>44855</c:v>
                </c:pt>
                <c:pt idx="3321">
                  <c:v>44858</c:v>
                </c:pt>
                <c:pt idx="3322">
                  <c:v>44859</c:v>
                </c:pt>
                <c:pt idx="3323">
                  <c:v>44860</c:v>
                </c:pt>
                <c:pt idx="3324">
                  <c:v>44861</c:v>
                </c:pt>
                <c:pt idx="3325">
                  <c:v>44862</c:v>
                </c:pt>
                <c:pt idx="3326">
                  <c:v>44865</c:v>
                </c:pt>
                <c:pt idx="3327">
                  <c:v>44866</c:v>
                </c:pt>
                <c:pt idx="3328">
                  <c:v>44867</c:v>
                </c:pt>
                <c:pt idx="3329">
                  <c:v>44868</c:v>
                </c:pt>
                <c:pt idx="3330">
                  <c:v>44869</c:v>
                </c:pt>
                <c:pt idx="3331">
                  <c:v>44872</c:v>
                </c:pt>
                <c:pt idx="3332">
                  <c:v>44873</c:v>
                </c:pt>
                <c:pt idx="3333">
                  <c:v>44874</c:v>
                </c:pt>
                <c:pt idx="3334">
                  <c:v>44875</c:v>
                </c:pt>
                <c:pt idx="3335">
                  <c:v>44876</c:v>
                </c:pt>
                <c:pt idx="3336">
                  <c:v>44879</c:v>
                </c:pt>
                <c:pt idx="3337">
                  <c:v>44880</c:v>
                </c:pt>
                <c:pt idx="3338">
                  <c:v>44881</c:v>
                </c:pt>
                <c:pt idx="3339">
                  <c:v>44882</c:v>
                </c:pt>
                <c:pt idx="3340">
                  <c:v>44883</c:v>
                </c:pt>
                <c:pt idx="3341">
                  <c:v>44886</c:v>
                </c:pt>
                <c:pt idx="3342">
                  <c:v>44887</c:v>
                </c:pt>
                <c:pt idx="3343">
                  <c:v>44888</c:v>
                </c:pt>
                <c:pt idx="3344">
                  <c:v>44889</c:v>
                </c:pt>
                <c:pt idx="3345">
                  <c:v>44890</c:v>
                </c:pt>
                <c:pt idx="3346">
                  <c:v>44893</c:v>
                </c:pt>
                <c:pt idx="3347">
                  <c:v>44894</c:v>
                </c:pt>
                <c:pt idx="3348">
                  <c:v>44895</c:v>
                </c:pt>
                <c:pt idx="3349">
                  <c:v>44896</c:v>
                </c:pt>
                <c:pt idx="3350">
                  <c:v>44897</c:v>
                </c:pt>
                <c:pt idx="3351">
                  <c:v>44900</c:v>
                </c:pt>
                <c:pt idx="3352">
                  <c:v>44901</c:v>
                </c:pt>
                <c:pt idx="3353">
                  <c:v>44902</c:v>
                </c:pt>
                <c:pt idx="3354">
                  <c:v>44903</c:v>
                </c:pt>
                <c:pt idx="3355">
                  <c:v>44904</c:v>
                </c:pt>
                <c:pt idx="3356">
                  <c:v>44907</c:v>
                </c:pt>
                <c:pt idx="3357">
                  <c:v>44908</c:v>
                </c:pt>
                <c:pt idx="3358">
                  <c:v>44909</c:v>
                </c:pt>
                <c:pt idx="3359">
                  <c:v>44910</c:v>
                </c:pt>
                <c:pt idx="3360">
                  <c:v>44911</c:v>
                </c:pt>
                <c:pt idx="3361">
                  <c:v>44914</c:v>
                </c:pt>
                <c:pt idx="3362">
                  <c:v>44915</c:v>
                </c:pt>
                <c:pt idx="3363">
                  <c:v>44916</c:v>
                </c:pt>
                <c:pt idx="3364">
                  <c:v>44917</c:v>
                </c:pt>
                <c:pt idx="3365">
                  <c:v>44918</c:v>
                </c:pt>
                <c:pt idx="3366">
                  <c:v>44921</c:v>
                </c:pt>
                <c:pt idx="3367">
                  <c:v>44922</c:v>
                </c:pt>
                <c:pt idx="3368">
                  <c:v>44923</c:v>
                </c:pt>
                <c:pt idx="3369">
                  <c:v>44924</c:v>
                </c:pt>
                <c:pt idx="3370">
                  <c:v>44925</c:v>
                </c:pt>
                <c:pt idx="3371">
                  <c:v>44928</c:v>
                </c:pt>
                <c:pt idx="3372">
                  <c:v>44929</c:v>
                </c:pt>
                <c:pt idx="3373">
                  <c:v>44930</c:v>
                </c:pt>
                <c:pt idx="3374">
                  <c:v>44931</c:v>
                </c:pt>
                <c:pt idx="3375">
                  <c:v>44932</c:v>
                </c:pt>
                <c:pt idx="3376">
                  <c:v>44935</c:v>
                </c:pt>
                <c:pt idx="3377">
                  <c:v>44936</c:v>
                </c:pt>
                <c:pt idx="3378">
                  <c:v>44937</c:v>
                </c:pt>
                <c:pt idx="3379">
                  <c:v>44938</c:v>
                </c:pt>
                <c:pt idx="3380">
                  <c:v>44939</c:v>
                </c:pt>
                <c:pt idx="3381">
                  <c:v>44942</c:v>
                </c:pt>
                <c:pt idx="3382">
                  <c:v>44943</c:v>
                </c:pt>
                <c:pt idx="3383">
                  <c:v>44944</c:v>
                </c:pt>
                <c:pt idx="3384">
                  <c:v>44945</c:v>
                </c:pt>
                <c:pt idx="3385">
                  <c:v>44946</c:v>
                </c:pt>
                <c:pt idx="3386">
                  <c:v>44949</c:v>
                </c:pt>
                <c:pt idx="3387">
                  <c:v>44950</c:v>
                </c:pt>
                <c:pt idx="3388">
                  <c:v>44951</c:v>
                </c:pt>
                <c:pt idx="3389">
                  <c:v>44952</c:v>
                </c:pt>
                <c:pt idx="3390">
                  <c:v>44953</c:v>
                </c:pt>
                <c:pt idx="3391">
                  <c:v>44956</c:v>
                </c:pt>
                <c:pt idx="3392">
                  <c:v>44957</c:v>
                </c:pt>
                <c:pt idx="3393">
                  <c:v>44958</c:v>
                </c:pt>
                <c:pt idx="3394">
                  <c:v>44959</c:v>
                </c:pt>
                <c:pt idx="3395">
                  <c:v>44960</c:v>
                </c:pt>
                <c:pt idx="3396">
                  <c:v>44963</c:v>
                </c:pt>
                <c:pt idx="3397">
                  <c:v>44964</c:v>
                </c:pt>
                <c:pt idx="3398">
                  <c:v>44965</c:v>
                </c:pt>
                <c:pt idx="3399">
                  <c:v>44966</c:v>
                </c:pt>
                <c:pt idx="3400">
                  <c:v>44967</c:v>
                </c:pt>
                <c:pt idx="3401">
                  <c:v>44970</c:v>
                </c:pt>
                <c:pt idx="3402">
                  <c:v>44971</c:v>
                </c:pt>
                <c:pt idx="3403">
                  <c:v>44972</c:v>
                </c:pt>
                <c:pt idx="3404">
                  <c:v>44973</c:v>
                </c:pt>
                <c:pt idx="3405">
                  <c:v>44974</c:v>
                </c:pt>
                <c:pt idx="3406">
                  <c:v>44977</c:v>
                </c:pt>
                <c:pt idx="3407">
                  <c:v>44978</c:v>
                </c:pt>
                <c:pt idx="3408">
                  <c:v>44979</c:v>
                </c:pt>
                <c:pt idx="3409">
                  <c:v>44980</c:v>
                </c:pt>
                <c:pt idx="3410">
                  <c:v>44981</c:v>
                </c:pt>
                <c:pt idx="3411">
                  <c:v>44984</c:v>
                </c:pt>
                <c:pt idx="3412">
                  <c:v>44985</c:v>
                </c:pt>
                <c:pt idx="3413">
                  <c:v>44986</c:v>
                </c:pt>
                <c:pt idx="3414">
                  <c:v>44987</c:v>
                </c:pt>
                <c:pt idx="3415">
                  <c:v>44988</c:v>
                </c:pt>
                <c:pt idx="3416">
                  <c:v>44991</c:v>
                </c:pt>
                <c:pt idx="3417">
                  <c:v>44992</c:v>
                </c:pt>
                <c:pt idx="3418">
                  <c:v>44993</c:v>
                </c:pt>
                <c:pt idx="3419">
                  <c:v>44994</c:v>
                </c:pt>
                <c:pt idx="3420">
                  <c:v>44995</c:v>
                </c:pt>
                <c:pt idx="3421">
                  <c:v>44998</c:v>
                </c:pt>
                <c:pt idx="3422">
                  <c:v>44999</c:v>
                </c:pt>
                <c:pt idx="3423">
                  <c:v>45000</c:v>
                </c:pt>
                <c:pt idx="3424">
                  <c:v>45001</c:v>
                </c:pt>
                <c:pt idx="3425">
                  <c:v>45002</c:v>
                </c:pt>
                <c:pt idx="3426">
                  <c:v>45005</c:v>
                </c:pt>
                <c:pt idx="3427">
                  <c:v>45006</c:v>
                </c:pt>
                <c:pt idx="3428">
                  <c:v>45007</c:v>
                </c:pt>
                <c:pt idx="3429">
                  <c:v>45008</c:v>
                </c:pt>
                <c:pt idx="3430">
                  <c:v>45009</c:v>
                </c:pt>
                <c:pt idx="3431">
                  <c:v>45012</c:v>
                </c:pt>
                <c:pt idx="3432">
                  <c:v>45013</c:v>
                </c:pt>
                <c:pt idx="3433">
                  <c:v>45014</c:v>
                </c:pt>
                <c:pt idx="3434">
                  <c:v>45015</c:v>
                </c:pt>
                <c:pt idx="3435">
                  <c:v>45016</c:v>
                </c:pt>
                <c:pt idx="3436">
                  <c:v>45019</c:v>
                </c:pt>
                <c:pt idx="3437">
                  <c:v>45020</c:v>
                </c:pt>
                <c:pt idx="3438">
                  <c:v>45021</c:v>
                </c:pt>
                <c:pt idx="3439">
                  <c:v>45022</c:v>
                </c:pt>
                <c:pt idx="3440">
                  <c:v>45023</c:v>
                </c:pt>
                <c:pt idx="3441">
                  <c:v>45026</c:v>
                </c:pt>
                <c:pt idx="3442">
                  <c:v>45027</c:v>
                </c:pt>
                <c:pt idx="3443">
                  <c:v>45028</c:v>
                </c:pt>
                <c:pt idx="3444">
                  <c:v>45029</c:v>
                </c:pt>
                <c:pt idx="3445">
                  <c:v>45030</c:v>
                </c:pt>
                <c:pt idx="3446">
                  <c:v>45033</c:v>
                </c:pt>
                <c:pt idx="3447">
                  <c:v>45034</c:v>
                </c:pt>
                <c:pt idx="3448">
                  <c:v>45035</c:v>
                </c:pt>
                <c:pt idx="3449">
                  <c:v>45036</c:v>
                </c:pt>
                <c:pt idx="3450">
                  <c:v>45037</c:v>
                </c:pt>
                <c:pt idx="3451">
                  <c:v>45040</c:v>
                </c:pt>
                <c:pt idx="3452">
                  <c:v>45041</c:v>
                </c:pt>
                <c:pt idx="3453">
                  <c:v>45042</c:v>
                </c:pt>
                <c:pt idx="3454">
                  <c:v>45043</c:v>
                </c:pt>
                <c:pt idx="3455">
                  <c:v>45044</c:v>
                </c:pt>
                <c:pt idx="3456">
                  <c:v>45047</c:v>
                </c:pt>
                <c:pt idx="3457">
                  <c:v>45048</c:v>
                </c:pt>
                <c:pt idx="3458">
                  <c:v>45049</c:v>
                </c:pt>
                <c:pt idx="3459">
                  <c:v>45050</c:v>
                </c:pt>
                <c:pt idx="3460">
                  <c:v>45051</c:v>
                </c:pt>
                <c:pt idx="3461">
                  <c:v>45054</c:v>
                </c:pt>
                <c:pt idx="3462">
                  <c:v>45055</c:v>
                </c:pt>
                <c:pt idx="3463">
                  <c:v>45056</c:v>
                </c:pt>
                <c:pt idx="3464">
                  <c:v>45057</c:v>
                </c:pt>
                <c:pt idx="3465">
                  <c:v>45058</c:v>
                </c:pt>
                <c:pt idx="3466">
                  <c:v>45061</c:v>
                </c:pt>
                <c:pt idx="3467">
                  <c:v>45062</c:v>
                </c:pt>
                <c:pt idx="3468">
                  <c:v>45063</c:v>
                </c:pt>
                <c:pt idx="3469">
                  <c:v>45064</c:v>
                </c:pt>
                <c:pt idx="3470">
                  <c:v>45065</c:v>
                </c:pt>
                <c:pt idx="3471">
                  <c:v>45068</c:v>
                </c:pt>
                <c:pt idx="3472">
                  <c:v>45069</c:v>
                </c:pt>
                <c:pt idx="3473">
                  <c:v>45070</c:v>
                </c:pt>
                <c:pt idx="3474">
                  <c:v>45071</c:v>
                </c:pt>
                <c:pt idx="3475">
                  <c:v>45072</c:v>
                </c:pt>
                <c:pt idx="3476">
                  <c:v>45075</c:v>
                </c:pt>
                <c:pt idx="3477">
                  <c:v>45076</c:v>
                </c:pt>
                <c:pt idx="3478">
                  <c:v>45077</c:v>
                </c:pt>
                <c:pt idx="3479">
                  <c:v>45078</c:v>
                </c:pt>
                <c:pt idx="3480">
                  <c:v>45079</c:v>
                </c:pt>
                <c:pt idx="3481">
                  <c:v>45082</c:v>
                </c:pt>
                <c:pt idx="3482">
                  <c:v>45083</c:v>
                </c:pt>
                <c:pt idx="3483">
                  <c:v>45084</c:v>
                </c:pt>
                <c:pt idx="3484">
                  <c:v>45085</c:v>
                </c:pt>
                <c:pt idx="3485">
                  <c:v>45086</c:v>
                </c:pt>
                <c:pt idx="3486">
                  <c:v>45089</c:v>
                </c:pt>
                <c:pt idx="3487">
                  <c:v>45090</c:v>
                </c:pt>
                <c:pt idx="3488">
                  <c:v>45091</c:v>
                </c:pt>
                <c:pt idx="3489">
                  <c:v>45092</c:v>
                </c:pt>
                <c:pt idx="3490">
                  <c:v>45093</c:v>
                </c:pt>
                <c:pt idx="3491">
                  <c:v>45096</c:v>
                </c:pt>
                <c:pt idx="3492">
                  <c:v>45097</c:v>
                </c:pt>
                <c:pt idx="3493">
                  <c:v>45098</c:v>
                </c:pt>
                <c:pt idx="3494">
                  <c:v>45099</c:v>
                </c:pt>
                <c:pt idx="3495">
                  <c:v>45100</c:v>
                </c:pt>
                <c:pt idx="3496">
                  <c:v>45103</c:v>
                </c:pt>
                <c:pt idx="3497">
                  <c:v>45104</c:v>
                </c:pt>
                <c:pt idx="3498">
                  <c:v>45105</c:v>
                </c:pt>
                <c:pt idx="3499">
                  <c:v>45106</c:v>
                </c:pt>
                <c:pt idx="3500">
                  <c:v>45107</c:v>
                </c:pt>
                <c:pt idx="3501">
                  <c:v>45110</c:v>
                </c:pt>
                <c:pt idx="3502">
                  <c:v>45111</c:v>
                </c:pt>
                <c:pt idx="3503">
                  <c:v>45112</c:v>
                </c:pt>
                <c:pt idx="3504">
                  <c:v>45113</c:v>
                </c:pt>
                <c:pt idx="3505">
                  <c:v>45114</c:v>
                </c:pt>
                <c:pt idx="3506">
                  <c:v>45117</c:v>
                </c:pt>
                <c:pt idx="3507">
                  <c:v>45118</c:v>
                </c:pt>
                <c:pt idx="3508">
                  <c:v>45119</c:v>
                </c:pt>
                <c:pt idx="3509">
                  <c:v>45120</c:v>
                </c:pt>
                <c:pt idx="3510">
                  <c:v>45121</c:v>
                </c:pt>
                <c:pt idx="3511">
                  <c:v>45124</c:v>
                </c:pt>
                <c:pt idx="3512">
                  <c:v>45125</c:v>
                </c:pt>
                <c:pt idx="3513">
                  <c:v>45126</c:v>
                </c:pt>
                <c:pt idx="3514">
                  <c:v>45127</c:v>
                </c:pt>
                <c:pt idx="3515">
                  <c:v>45128</c:v>
                </c:pt>
                <c:pt idx="3516">
                  <c:v>45131</c:v>
                </c:pt>
                <c:pt idx="3517">
                  <c:v>45132</c:v>
                </c:pt>
                <c:pt idx="3518">
                  <c:v>45133</c:v>
                </c:pt>
                <c:pt idx="3519">
                  <c:v>45134</c:v>
                </c:pt>
                <c:pt idx="3520">
                  <c:v>45135</c:v>
                </c:pt>
                <c:pt idx="3521">
                  <c:v>45138</c:v>
                </c:pt>
                <c:pt idx="3522">
                  <c:v>45139</c:v>
                </c:pt>
                <c:pt idx="3523">
                  <c:v>45140</c:v>
                </c:pt>
                <c:pt idx="3524">
                  <c:v>45141</c:v>
                </c:pt>
                <c:pt idx="3525">
                  <c:v>45142</c:v>
                </c:pt>
                <c:pt idx="3526">
                  <c:v>45145</c:v>
                </c:pt>
                <c:pt idx="3527">
                  <c:v>45146</c:v>
                </c:pt>
                <c:pt idx="3528">
                  <c:v>45147</c:v>
                </c:pt>
                <c:pt idx="3529">
                  <c:v>45148</c:v>
                </c:pt>
                <c:pt idx="3530">
                  <c:v>45149</c:v>
                </c:pt>
                <c:pt idx="3531">
                  <c:v>45152</c:v>
                </c:pt>
                <c:pt idx="3532">
                  <c:v>45153</c:v>
                </c:pt>
                <c:pt idx="3533">
                  <c:v>45154</c:v>
                </c:pt>
                <c:pt idx="3534">
                  <c:v>45155</c:v>
                </c:pt>
                <c:pt idx="3535">
                  <c:v>45156</c:v>
                </c:pt>
                <c:pt idx="3536">
                  <c:v>45159</c:v>
                </c:pt>
                <c:pt idx="3537">
                  <c:v>45160</c:v>
                </c:pt>
                <c:pt idx="3538">
                  <c:v>45161</c:v>
                </c:pt>
                <c:pt idx="3539">
                  <c:v>45162</c:v>
                </c:pt>
                <c:pt idx="3540">
                  <c:v>45163</c:v>
                </c:pt>
                <c:pt idx="3541">
                  <c:v>45166</c:v>
                </c:pt>
                <c:pt idx="3542">
                  <c:v>45167</c:v>
                </c:pt>
                <c:pt idx="3543">
                  <c:v>45168</c:v>
                </c:pt>
                <c:pt idx="3544">
                  <c:v>45169</c:v>
                </c:pt>
                <c:pt idx="3545">
                  <c:v>45170</c:v>
                </c:pt>
                <c:pt idx="3546">
                  <c:v>45173</c:v>
                </c:pt>
                <c:pt idx="3547">
                  <c:v>45174</c:v>
                </c:pt>
                <c:pt idx="3548">
                  <c:v>45175</c:v>
                </c:pt>
                <c:pt idx="3549">
                  <c:v>45176</c:v>
                </c:pt>
                <c:pt idx="3550">
                  <c:v>45177</c:v>
                </c:pt>
                <c:pt idx="3551">
                  <c:v>45180</c:v>
                </c:pt>
                <c:pt idx="3552">
                  <c:v>45181</c:v>
                </c:pt>
                <c:pt idx="3553">
                  <c:v>45182</c:v>
                </c:pt>
                <c:pt idx="3554">
                  <c:v>45183</c:v>
                </c:pt>
                <c:pt idx="3555">
                  <c:v>45184</c:v>
                </c:pt>
                <c:pt idx="3556">
                  <c:v>45187</c:v>
                </c:pt>
                <c:pt idx="3557">
                  <c:v>45188</c:v>
                </c:pt>
                <c:pt idx="3558">
                  <c:v>45189</c:v>
                </c:pt>
                <c:pt idx="3559">
                  <c:v>45190</c:v>
                </c:pt>
                <c:pt idx="3560">
                  <c:v>45191</c:v>
                </c:pt>
                <c:pt idx="3561">
                  <c:v>45194</c:v>
                </c:pt>
                <c:pt idx="3562">
                  <c:v>45195</c:v>
                </c:pt>
                <c:pt idx="3563">
                  <c:v>45196</c:v>
                </c:pt>
                <c:pt idx="3564">
                  <c:v>45197</c:v>
                </c:pt>
                <c:pt idx="3565">
                  <c:v>45198</c:v>
                </c:pt>
                <c:pt idx="3566">
                  <c:v>45201</c:v>
                </c:pt>
                <c:pt idx="3567">
                  <c:v>45202</c:v>
                </c:pt>
                <c:pt idx="3568">
                  <c:v>45203</c:v>
                </c:pt>
                <c:pt idx="3569">
                  <c:v>45204</c:v>
                </c:pt>
                <c:pt idx="3570">
                  <c:v>45205</c:v>
                </c:pt>
                <c:pt idx="3571">
                  <c:v>45208</c:v>
                </c:pt>
                <c:pt idx="3572">
                  <c:v>45209</c:v>
                </c:pt>
                <c:pt idx="3573">
                  <c:v>45210</c:v>
                </c:pt>
                <c:pt idx="3574">
                  <c:v>45211</c:v>
                </c:pt>
                <c:pt idx="3575">
                  <c:v>45212</c:v>
                </c:pt>
                <c:pt idx="3576">
                  <c:v>45215</c:v>
                </c:pt>
                <c:pt idx="3577">
                  <c:v>45216</c:v>
                </c:pt>
                <c:pt idx="3578">
                  <c:v>45217</c:v>
                </c:pt>
                <c:pt idx="3579">
                  <c:v>45218</c:v>
                </c:pt>
                <c:pt idx="3580">
                  <c:v>45219</c:v>
                </c:pt>
                <c:pt idx="3581">
                  <c:v>45222</c:v>
                </c:pt>
                <c:pt idx="3582">
                  <c:v>45223</c:v>
                </c:pt>
                <c:pt idx="3583">
                  <c:v>45224</c:v>
                </c:pt>
                <c:pt idx="3584">
                  <c:v>45225</c:v>
                </c:pt>
                <c:pt idx="3585">
                  <c:v>45226</c:v>
                </c:pt>
                <c:pt idx="3586">
                  <c:v>45229</c:v>
                </c:pt>
                <c:pt idx="3587">
                  <c:v>45230</c:v>
                </c:pt>
                <c:pt idx="3588">
                  <c:v>45231</c:v>
                </c:pt>
                <c:pt idx="3589">
                  <c:v>45232</c:v>
                </c:pt>
                <c:pt idx="3590">
                  <c:v>45233</c:v>
                </c:pt>
                <c:pt idx="3591">
                  <c:v>45236</c:v>
                </c:pt>
                <c:pt idx="3592">
                  <c:v>45237</c:v>
                </c:pt>
                <c:pt idx="3593">
                  <c:v>45238</c:v>
                </c:pt>
                <c:pt idx="3594">
                  <c:v>45239</c:v>
                </c:pt>
                <c:pt idx="3595">
                  <c:v>45240</c:v>
                </c:pt>
                <c:pt idx="3596">
                  <c:v>45243</c:v>
                </c:pt>
                <c:pt idx="3597">
                  <c:v>45244</c:v>
                </c:pt>
                <c:pt idx="3598">
                  <c:v>45245</c:v>
                </c:pt>
                <c:pt idx="3599">
                  <c:v>45246</c:v>
                </c:pt>
                <c:pt idx="3600">
                  <c:v>45247</c:v>
                </c:pt>
                <c:pt idx="3601">
                  <c:v>45250</c:v>
                </c:pt>
                <c:pt idx="3602">
                  <c:v>45251</c:v>
                </c:pt>
                <c:pt idx="3603">
                  <c:v>45252</c:v>
                </c:pt>
                <c:pt idx="3604">
                  <c:v>45253</c:v>
                </c:pt>
                <c:pt idx="3605">
                  <c:v>45254</c:v>
                </c:pt>
                <c:pt idx="3606">
                  <c:v>45257</c:v>
                </c:pt>
                <c:pt idx="3607">
                  <c:v>45258</c:v>
                </c:pt>
                <c:pt idx="3608">
                  <c:v>45259</c:v>
                </c:pt>
                <c:pt idx="3609">
                  <c:v>45260</c:v>
                </c:pt>
                <c:pt idx="3610">
                  <c:v>45261</c:v>
                </c:pt>
                <c:pt idx="3611">
                  <c:v>45264</c:v>
                </c:pt>
                <c:pt idx="3612">
                  <c:v>45265</c:v>
                </c:pt>
                <c:pt idx="3613">
                  <c:v>45266</c:v>
                </c:pt>
                <c:pt idx="3614">
                  <c:v>45267</c:v>
                </c:pt>
                <c:pt idx="3615">
                  <c:v>45268</c:v>
                </c:pt>
                <c:pt idx="3616">
                  <c:v>45271</c:v>
                </c:pt>
                <c:pt idx="3617">
                  <c:v>45272</c:v>
                </c:pt>
                <c:pt idx="3618">
                  <c:v>45273</c:v>
                </c:pt>
                <c:pt idx="3619">
                  <c:v>45274</c:v>
                </c:pt>
                <c:pt idx="3620">
                  <c:v>45275</c:v>
                </c:pt>
                <c:pt idx="3621">
                  <c:v>45278</c:v>
                </c:pt>
                <c:pt idx="3622">
                  <c:v>45279</c:v>
                </c:pt>
                <c:pt idx="3623">
                  <c:v>45280</c:v>
                </c:pt>
                <c:pt idx="3624">
                  <c:v>45281</c:v>
                </c:pt>
                <c:pt idx="3625">
                  <c:v>45282</c:v>
                </c:pt>
                <c:pt idx="3626">
                  <c:v>45285</c:v>
                </c:pt>
                <c:pt idx="3627">
                  <c:v>45286</c:v>
                </c:pt>
                <c:pt idx="3628">
                  <c:v>45287</c:v>
                </c:pt>
                <c:pt idx="3629">
                  <c:v>45288</c:v>
                </c:pt>
                <c:pt idx="3630">
                  <c:v>45289</c:v>
                </c:pt>
                <c:pt idx="3631">
                  <c:v>45292</c:v>
                </c:pt>
                <c:pt idx="3632">
                  <c:v>45293</c:v>
                </c:pt>
                <c:pt idx="3633">
                  <c:v>45294</c:v>
                </c:pt>
                <c:pt idx="3634">
                  <c:v>45295</c:v>
                </c:pt>
                <c:pt idx="3635">
                  <c:v>45296</c:v>
                </c:pt>
                <c:pt idx="3636">
                  <c:v>45299</c:v>
                </c:pt>
                <c:pt idx="3637">
                  <c:v>45300</c:v>
                </c:pt>
                <c:pt idx="3638">
                  <c:v>45301</c:v>
                </c:pt>
                <c:pt idx="3639">
                  <c:v>45302</c:v>
                </c:pt>
                <c:pt idx="3640">
                  <c:v>45303</c:v>
                </c:pt>
                <c:pt idx="3641">
                  <c:v>45306</c:v>
                </c:pt>
                <c:pt idx="3642">
                  <c:v>45307</c:v>
                </c:pt>
                <c:pt idx="3643">
                  <c:v>45308</c:v>
                </c:pt>
                <c:pt idx="3644">
                  <c:v>45309</c:v>
                </c:pt>
                <c:pt idx="3645">
                  <c:v>45310</c:v>
                </c:pt>
                <c:pt idx="3646">
                  <c:v>45313</c:v>
                </c:pt>
                <c:pt idx="3647">
                  <c:v>45314</c:v>
                </c:pt>
                <c:pt idx="3648">
                  <c:v>45315</c:v>
                </c:pt>
                <c:pt idx="3649">
                  <c:v>45316</c:v>
                </c:pt>
                <c:pt idx="3650">
                  <c:v>45317</c:v>
                </c:pt>
                <c:pt idx="3651">
                  <c:v>45320</c:v>
                </c:pt>
                <c:pt idx="3652">
                  <c:v>45321</c:v>
                </c:pt>
                <c:pt idx="3653">
                  <c:v>45322</c:v>
                </c:pt>
                <c:pt idx="3654">
                  <c:v>45323</c:v>
                </c:pt>
                <c:pt idx="3655">
                  <c:v>45324</c:v>
                </c:pt>
                <c:pt idx="3656">
                  <c:v>45327</c:v>
                </c:pt>
                <c:pt idx="3657">
                  <c:v>45328</c:v>
                </c:pt>
                <c:pt idx="3658">
                  <c:v>45329</c:v>
                </c:pt>
                <c:pt idx="3659">
                  <c:v>45330</c:v>
                </c:pt>
                <c:pt idx="3660">
                  <c:v>45331</c:v>
                </c:pt>
                <c:pt idx="3661">
                  <c:v>45334</c:v>
                </c:pt>
                <c:pt idx="3662">
                  <c:v>45335</c:v>
                </c:pt>
                <c:pt idx="3663">
                  <c:v>45336</c:v>
                </c:pt>
                <c:pt idx="3664">
                  <c:v>45337</c:v>
                </c:pt>
                <c:pt idx="3665">
                  <c:v>45338</c:v>
                </c:pt>
                <c:pt idx="3666">
                  <c:v>45341</c:v>
                </c:pt>
                <c:pt idx="3667">
                  <c:v>45342</c:v>
                </c:pt>
                <c:pt idx="3668">
                  <c:v>45343</c:v>
                </c:pt>
                <c:pt idx="3669">
                  <c:v>45344</c:v>
                </c:pt>
                <c:pt idx="3670">
                  <c:v>45345</c:v>
                </c:pt>
                <c:pt idx="3671">
                  <c:v>45348</c:v>
                </c:pt>
                <c:pt idx="3672">
                  <c:v>45349</c:v>
                </c:pt>
                <c:pt idx="3673">
                  <c:v>45350</c:v>
                </c:pt>
                <c:pt idx="3674">
                  <c:v>45351</c:v>
                </c:pt>
                <c:pt idx="3675">
                  <c:v>45352</c:v>
                </c:pt>
                <c:pt idx="3676">
                  <c:v>45355</c:v>
                </c:pt>
                <c:pt idx="3677">
                  <c:v>45356</c:v>
                </c:pt>
                <c:pt idx="3678">
                  <c:v>45357</c:v>
                </c:pt>
                <c:pt idx="3679">
                  <c:v>45358</c:v>
                </c:pt>
                <c:pt idx="3680">
                  <c:v>45359</c:v>
                </c:pt>
                <c:pt idx="3681">
                  <c:v>45362</c:v>
                </c:pt>
                <c:pt idx="3682">
                  <c:v>45363</c:v>
                </c:pt>
                <c:pt idx="3683">
                  <c:v>45364</c:v>
                </c:pt>
                <c:pt idx="3684">
                  <c:v>45365</c:v>
                </c:pt>
                <c:pt idx="3685">
                  <c:v>45366</c:v>
                </c:pt>
                <c:pt idx="3686">
                  <c:v>45369</c:v>
                </c:pt>
                <c:pt idx="3687">
                  <c:v>45370</c:v>
                </c:pt>
                <c:pt idx="3688">
                  <c:v>45371</c:v>
                </c:pt>
                <c:pt idx="3689">
                  <c:v>45372</c:v>
                </c:pt>
                <c:pt idx="3690">
                  <c:v>45373</c:v>
                </c:pt>
                <c:pt idx="3691">
                  <c:v>45376</c:v>
                </c:pt>
                <c:pt idx="3692">
                  <c:v>45377</c:v>
                </c:pt>
                <c:pt idx="3693">
                  <c:v>45378</c:v>
                </c:pt>
                <c:pt idx="3694">
                  <c:v>45379</c:v>
                </c:pt>
                <c:pt idx="3695">
                  <c:v>45380</c:v>
                </c:pt>
                <c:pt idx="3696">
                  <c:v>45383</c:v>
                </c:pt>
                <c:pt idx="3697">
                  <c:v>45384</c:v>
                </c:pt>
                <c:pt idx="3698">
                  <c:v>45385</c:v>
                </c:pt>
                <c:pt idx="3699">
                  <c:v>45386</c:v>
                </c:pt>
                <c:pt idx="3700">
                  <c:v>45387</c:v>
                </c:pt>
                <c:pt idx="3701">
                  <c:v>45390</c:v>
                </c:pt>
                <c:pt idx="3702">
                  <c:v>45391</c:v>
                </c:pt>
                <c:pt idx="3703">
                  <c:v>45392</c:v>
                </c:pt>
                <c:pt idx="3704">
                  <c:v>45393</c:v>
                </c:pt>
                <c:pt idx="3705">
                  <c:v>45394</c:v>
                </c:pt>
                <c:pt idx="3706">
                  <c:v>45397</c:v>
                </c:pt>
                <c:pt idx="3707">
                  <c:v>45398</c:v>
                </c:pt>
                <c:pt idx="3708">
                  <c:v>45399</c:v>
                </c:pt>
                <c:pt idx="3709">
                  <c:v>45400</c:v>
                </c:pt>
                <c:pt idx="3710">
                  <c:v>45401</c:v>
                </c:pt>
                <c:pt idx="3711">
                  <c:v>45404</c:v>
                </c:pt>
                <c:pt idx="3712">
                  <c:v>45405</c:v>
                </c:pt>
                <c:pt idx="3713">
                  <c:v>45406</c:v>
                </c:pt>
                <c:pt idx="3714">
                  <c:v>45407</c:v>
                </c:pt>
                <c:pt idx="3715">
                  <c:v>45408</c:v>
                </c:pt>
                <c:pt idx="3716">
                  <c:v>45411</c:v>
                </c:pt>
                <c:pt idx="3717">
                  <c:v>45412</c:v>
                </c:pt>
                <c:pt idx="3718">
                  <c:v>45413</c:v>
                </c:pt>
                <c:pt idx="3719">
                  <c:v>45414</c:v>
                </c:pt>
                <c:pt idx="3720">
                  <c:v>45415</c:v>
                </c:pt>
                <c:pt idx="3721">
                  <c:v>45418</c:v>
                </c:pt>
                <c:pt idx="3722">
                  <c:v>45419</c:v>
                </c:pt>
                <c:pt idx="3723">
                  <c:v>45420</c:v>
                </c:pt>
                <c:pt idx="3724">
                  <c:v>45421</c:v>
                </c:pt>
                <c:pt idx="3725">
                  <c:v>45422</c:v>
                </c:pt>
                <c:pt idx="3726">
                  <c:v>45425</c:v>
                </c:pt>
                <c:pt idx="3727">
                  <c:v>45426</c:v>
                </c:pt>
                <c:pt idx="3728">
                  <c:v>45427</c:v>
                </c:pt>
                <c:pt idx="3729">
                  <c:v>45428</c:v>
                </c:pt>
                <c:pt idx="3730">
                  <c:v>45429</c:v>
                </c:pt>
                <c:pt idx="3731">
                  <c:v>45432</c:v>
                </c:pt>
                <c:pt idx="3732">
                  <c:v>45433</c:v>
                </c:pt>
                <c:pt idx="3733">
                  <c:v>45434</c:v>
                </c:pt>
                <c:pt idx="3734">
                  <c:v>45435</c:v>
                </c:pt>
                <c:pt idx="3735">
                  <c:v>45436</c:v>
                </c:pt>
                <c:pt idx="3736">
                  <c:v>45439</c:v>
                </c:pt>
                <c:pt idx="3737">
                  <c:v>45440</c:v>
                </c:pt>
                <c:pt idx="3738">
                  <c:v>45441</c:v>
                </c:pt>
                <c:pt idx="3739">
                  <c:v>45442</c:v>
                </c:pt>
                <c:pt idx="3740">
                  <c:v>45443</c:v>
                </c:pt>
                <c:pt idx="3741">
                  <c:v>45446</c:v>
                </c:pt>
                <c:pt idx="3742">
                  <c:v>45447</c:v>
                </c:pt>
                <c:pt idx="3743">
                  <c:v>45448</c:v>
                </c:pt>
                <c:pt idx="3744">
                  <c:v>45449</c:v>
                </c:pt>
                <c:pt idx="3745">
                  <c:v>45450</c:v>
                </c:pt>
                <c:pt idx="3746">
                  <c:v>45453</c:v>
                </c:pt>
                <c:pt idx="3747">
                  <c:v>45454</c:v>
                </c:pt>
                <c:pt idx="3748">
                  <c:v>45455</c:v>
                </c:pt>
                <c:pt idx="3749">
                  <c:v>45456</c:v>
                </c:pt>
                <c:pt idx="3750">
                  <c:v>45457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45467</c:v>
                </c:pt>
                <c:pt idx="3757">
                  <c:v>45468</c:v>
                </c:pt>
                <c:pt idx="3758">
                  <c:v>45469</c:v>
                </c:pt>
                <c:pt idx="3759">
                  <c:v>45470</c:v>
                </c:pt>
                <c:pt idx="3760">
                  <c:v>45471</c:v>
                </c:pt>
                <c:pt idx="3761">
                  <c:v>45474</c:v>
                </c:pt>
                <c:pt idx="3762">
                  <c:v>45475</c:v>
                </c:pt>
                <c:pt idx="3763">
                  <c:v>45476</c:v>
                </c:pt>
                <c:pt idx="3764">
                  <c:v>45477</c:v>
                </c:pt>
                <c:pt idx="3765">
                  <c:v>45478</c:v>
                </c:pt>
                <c:pt idx="3766">
                  <c:v>45481</c:v>
                </c:pt>
                <c:pt idx="3767">
                  <c:v>45482</c:v>
                </c:pt>
                <c:pt idx="3768">
                  <c:v>45483</c:v>
                </c:pt>
                <c:pt idx="3769">
                  <c:v>45484</c:v>
                </c:pt>
                <c:pt idx="3770">
                  <c:v>45485</c:v>
                </c:pt>
                <c:pt idx="3771">
                  <c:v>45488</c:v>
                </c:pt>
                <c:pt idx="3772">
                  <c:v>45489</c:v>
                </c:pt>
                <c:pt idx="3773">
                  <c:v>45490</c:v>
                </c:pt>
                <c:pt idx="3774">
                  <c:v>45491</c:v>
                </c:pt>
                <c:pt idx="3775">
                  <c:v>45492</c:v>
                </c:pt>
                <c:pt idx="3776">
                  <c:v>45495</c:v>
                </c:pt>
                <c:pt idx="3777">
                  <c:v>45496</c:v>
                </c:pt>
                <c:pt idx="3778">
                  <c:v>45497</c:v>
                </c:pt>
                <c:pt idx="3779">
                  <c:v>45498</c:v>
                </c:pt>
                <c:pt idx="3780">
                  <c:v>45499</c:v>
                </c:pt>
                <c:pt idx="3781">
                  <c:v>45502</c:v>
                </c:pt>
                <c:pt idx="3782">
                  <c:v>45503</c:v>
                </c:pt>
                <c:pt idx="3783">
                  <c:v>45504</c:v>
                </c:pt>
                <c:pt idx="3784">
                  <c:v>45505</c:v>
                </c:pt>
                <c:pt idx="3785">
                  <c:v>45506</c:v>
                </c:pt>
                <c:pt idx="3786">
                  <c:v>45509</c:v>
                </c:pt>
                <c:pt idx="3787">
                  <c:v>45510</c:v>
                </c:pt>
                <c:pt idx="3788">
                  <c:v>45511</c:v>
                </c:pt>
                <c:pt idx="3789">
                  <c:v>45512</c:v>
                </c:pt>
                <c:pt idx="3790">
                  <c:v>45513</c:v>
                </c:pt>
                <c:pt idx="3791">
                  <c:v>45516</c:v>
                </c:pt>
                <c:pt idx="3792">
                  <c:v>45517</c:v>
                </c:pt>
                <c:pt idx="3793">
                  <c:v>45518</c:v>
                </c:pt>
                <c:pt idx="3794">
                  <c:v>45519</c:v>
                </c:pt>
                <c:pt idx="3795">
                  <c:v>45520</c:v>
                </c:pt>
                <c:pt idx="3796">
                  <c:v>45523</c:v>
                </c:pt>
                <c:pt idx="3797">
                  <c:v>45524</c:v>
                </c:pt>
                <c:pt idx="3798">
                  <c:v>45525</c:v>
                </c:pt>
                <c:pt idx="3799">
                  <c:v>45526</c:v>
                </c:pt>
                <c:pt idx="3800">
                  <c:v>45527</c:v>
                </c:pt>
                <c:pt idx="3801">
                  <c:v>45530</c:v>
                </c:pt>
                <c:pt idx="3802">
                  <c:v>45531</c:v>
                </c:pt>
                <c:pt idx="3803">
                  <c:v>45532</c:v>
                </c:pt>
                <c:pt idx="3804">
                  <c:v>45533</c:v>
                </c:pt>
                <c:pt idx="3805">
                  <c:v>45534</c:v>
                </c:pt>
                <c:pt idx="3806">
                  <c:v>45537</c:v>
                </c:pt>
                <c:pt idx="3807">
                  <c:v>45538</c:v>
                </c:pt>
                <c:pt idx="3808">
                  <c:v>45539</c:v>
                </c:pt>
                <c:pt idx="3809">
                  <c:v>45540</c:v>
                </c:pt>
                <c:pt idx="3810">
                  <c:v>45541</c:v>
                </c:pt>
                <c:pt idx="3811">
                  <c:v>45544</c:v>
                </c:pt>
                <c:pt idx="3812">
                  <c:v>45545</c:v>
                </c:pt>
                <c:pt idx="3813">
                  <c:v>45546</c:v>
                </c:pt>
                <c:pt idx="3814">
                  <c:v>45547</c:v>
                </c:pt>
                <c:pt idx="3815">
                  <c:v>45548</c:v>
                </c:pt>
                <c:pt idx="3816">
                  <c:v>45551</c:v>
                </c:pt>
                <c:pt idx="3817">
                  <c:v>45552</c:v>
                </c:pt>
                <c:pt idx="3818">
                  <c:v>45553</c:v>
                </c:pt>
                <c:pt idx="3819">
                  <c:v>45554</c:v>
                </c:pt>
                <c:pt idx="3820">
                  <c:v>45555</c:v>
                </c:pt>
                <c:pt idx="3821">
                  <c:v>45558</c:v>
                </c:pt>
                <c:pt idx="3822">
                  <c:v>45559</c:v>
                </c:pt>
                <c:pt idx="3823">
                  <c:v>45560</c:v>
                </c:pt>
                <c:pt idx="3824">
                  <c:v>45561</c:v>
                </c:pt>
                <c:pt idx="3825">
                  <c:v>45562</c:v>
                </c:pt>
                <c:pt idx="3826">
                  <c:v>45565</c:v>
                </c:pt>
                <c:pt idx="3827">
                  <c:v>45566</c:v>
                </c:pt>
                <c:pt idx="3828">
                  <c:v>45567</c:v>
                </c:pt>
                <c:pt idx="3829">
                  <c:v>45568</c:v>
                </c:pt>
                <c:pt idx="3830">
                  <c:v>45569</c:v>
                </c:pt>
                <c:pt idx="3831">
                  <c:v>45572</c:v>
                </c:pt>
                <c:pt idx="3832">
                  <c:v>45573</c:v>
                </c:pt>
                <c:pt idx="3833">
                  <c:v>45574</c:v>
                </c:pt>
                <c:pt idx="3834">
                  <c:v>45575</c:v>
                </c:pt>
                <c:pt idx="3835">
                  <c:v>45576</c:v>
                </c:pt>
                <c:pt idx="3836">
                  <c:v>45579</c:v>
                </c:pt>
                <c:pt idx="3837">
                  <c:v>45580</c:v>
                </c:pt>
                <c:pt idx="3838">
                  <c:v>45581</c:v>
                </c:pt>
                <c:pt idx="3839">
                  <c:v>45582</c:v>
                </c:pt>
                <c:pt idx="3840">
                  <c:v>45583</c:v>
                </c:pt>
                <c:pt idx="3841">
                  <c:v>45586</c:v>
                </c:pt>
                <c:pt idx="3842">
                  <c:v>45587</c:v>
                </c:pt>
                <c:pt idx="3843">
                  <c:v>45588</c:v>
                </c:pt>
                <c:pt idx="3844">
                  <c:v>45589</c:v>
                </c:pt>
                <c:pt idx="3845">
                  <c:v>45590</c:v>
                </c:pt>
                <c:pt idx="3846">
                  <c:v>45593</c:v>
                </c:pt>
                <c:pt idx="3847">
                  <c:v>45594</c:v>
                </c:pt>
                <c:pt idx="3848">
                  <c:v>45595</c:v>
                </c:pt>
                <c:pt idx="3849">
                  <c:v>45596</c:v>
                </c:pt>
                <c:pt idx="3850">
                  <c:v>45597</c:v>
                </c:pt>
                <c:pt idx="3851">
                  <c:v>45600</c:v>
                </c:pt>
                <c:pt idx="3852">
                  <c:v>45601</c:v>
                </c:pt>
                <c:pt idx="3853">
                  <c:v>45602</c:v>
                </c:pt>
                <c:pt idx="3854">
                  <c:v>45603</c:v>
                </c:pt>
                <c:pt idx="3855">
                  <c:v>45604</c:v>
                </c:pt>
                <c:pt idx="3856">
                  <c:v>45607</c:v>
                </c:pt>
                <c:pt idx="3857">
                  <c:v>45608</c:v>
                </c:pt>
                <c:pt idx="3858">
                  <c:v>45609</c:v>
                </c:pt>
                <c:pt idx="3859">
                  <c:v>45610</c:v>
                </c:pt>
                <c:pt idx="3860">
                  <c:v>45611</c:v>
                </c:pt>
                <c:pt idx="3861">
                  <c:v>45614</c:v>
                </c:pt>
                <c:pt idx="3862">
                  <c:v>45615</c:v>
                </c:pt>
                <c:pt idx="3863">
                  <c:v>45616</c:v>
                </c:pt>
                <c:pt idx="3864">
                  <c:v>45617</c:v>
                </c:pt>
                <c:pt idx="3865">
                  <c:v>45618</c:v>
                </c:pt>
                <c:pt idx="3866">
                  <c:v>45621</c:v>
                </c:pt>
                <c:pt idx="3867">
                  <c:v>45622</c:v>
                </c:pt>
                <c:pt idx="3868">
                  <c:v>45623</c:v>
                </c:pt>
                <c:pt idx="3869">
                  <c:v>45624</c:v>
                </c:pt>
                <c:pt idx="3870">
                  <c:v>45625</c:v>
                </c:pt>
                <c:pt idx="3871">
                  <c:v>45628</c:v>
                </c:pt>
                <c:pt idx="3872">
                  <c:v>45629</c:v>
                </c:pt>
                <c:pt idx="3873">
                  <c:v>45630</c:v>
                </c:pt>
                <c:pt idx="3874">
                  <c:v>45631</c:v>
                </c:pt>
                <c:pt idx="3875">
                  <c:v>45632</c:v>
                </c:pt>
                <c:pt idx="3876">
                  <c:v>45635</c:v>
                </c:pt>
                <c:pt idx="3877">
                  <c:v>45636</c:v>
                </c:pt>
                <c:pt idx="3878">
                  <c:v>45637</c:v>
                </c:pt>
                <c:pt idx="3879">
                  <c:v>45638</c:v>
                </c:pt>
                <c:pt idx="3880">
                  <c:v>45639</c:v>
                </c:pt>
                <c:pt idx="3881">
                  <c:v>45642</c:v>
                </c:pt>
                <c:pt idx="3882">
                  <c:v>45643</c:v>
                </c:pt>
                <c:pt idx="3883">
                  <c:v>45644</c:v>
                </c:pt>
                <c:pt idx="3884">
                  <c:v>45645</c:v>
                </c:pt>
                <c:pt idx="3885">
                  <c:v>45646</c:v>
                </c:pt>
                <c:pt idx="3886">
                  <c:v>45649</c:v>
                </c:pt>
                <c:pt idx="3887">
                  <c:v>45650</c:v>
                </c:pt>
                <c:pt idx="3888">
                  <c:v>45651</c:v>
                </c:pt>
                <c:pt idx="3889">
                  <c:v>45652</c:v>
                </c:pt>
                <c:pt idx="3890">
                  <c:v>45653</c:v>
                </c:pt>
                <c:pt idx="3891">
                  <c:v>45656</c:v>
                </c:pt>
                <c:pt idx="3892">
                  <c:v>45657</c:v>
                </c:pt>
              </c:numCache>
            </c:numRef>
          </c:cat>
          <c:val>
            <c:numRef>
              <c:f>'V. 10Y Daily'!$D$30:$D$3922</c:f>
              <c:numCache>
                <c:formatCode>0.00%</c:formatCode>
                <c:ptCount val="3893"/>
                <c:pt idx="0">
                  <c:v>3.85E-2</c:v>
                </c:pt>
                <c:pt idx="1">
                  <c:v>3.7699999999999997E-2</c:v>
                </c:pt>
                <c:pt idx="2">
                  <c:v>3.85E-2</c:v>
                </c:pt>
                <c:pt idx="3">
                  <c:v>3.85E-2</c:v>
                </c:pt>
                <c:pt idx="4">
                  <c:v>3.8300000000000001E-2</c:v>
                </c:pt>
                <c:pt idx="5">
                  <c:v>3.85E-2</c:v>
                </c:pt>
                <c:pt idx="6">
                  <c:v>3.7400000000000003E-2</c:v>
                </c:pt>
                <c:pt idx="7">
                  <c:v>3.7999999999999999E-2</c:v>
                </c:pt>
                <c:pt idx="8">
                  <c:v>3.7599999999999995E-2</c:v>
                </c:pt>
                <c:pt idx="9">
                  <c:v>3.7000000000000005E-2</c:v>
                </c:pt>
                <c:pt idx="10">
                  <c:v>3.73E-2</c:v>
                </c:pt>
                <c:pt idx="11">
                  <c:v>3.6799999999999999E-2</c:v>
                </c:pt>
                <c:pt idx="12">
                  <c:v>3.6200000000000003E-2</c:v>
                </c:pt>
                <c:pt idx="13">
                  <c:v>3.6200000000000003E-2</c:v>
                </c:pt>
                <c:pt idx="14">
                  <c:v>3.6600000000000001E-2</c:v>
                </c:pt>
                <c:pt idx="15">
                  <c:v>3.6499999999999998E-2</c:v>
                </c:pt>
                <c:pt idx="16">
                  <c:v>3.6600000000000001E-2</c:v>
                </c:pt>
                <c:pt idx="17">
                  <c:v>3.6799999999999999E-2</c:v>
                </c:pt>
                <c:pt idx="18">
                  <c:v>3.6299999999999999E-2</c:v>
                </c:pt>
                <c:pt idx="19">
                  <c:v>3.6799999999999999E-2</c:v>
                </c:pt>
                <c:pt idx="20">
                  <c:v>3.6699999999999997E-2</c:v>
                </c:pt>
                <c:pt idx="21">
                  <c:v>3.73E-2</c:v>
                </c:pt>
                <c:pt idx="22">
                  <c:v>3.6200000000000003E-2</c:v>
                </c:pt>
                <c:pt idx="23">
                  <c:v>3.5900000000000001E-2</c:v>
                </c:pt>
                <c:pt idx="24">
                  <c:v>3.6200000000000003E-2</c:v>
                </c:pt>
                <c:pt idx="25">
                  <c:v>3.6699999999999997E-2</c:v>
                </c:pt>
                <c:pt idx="26">
                  <c:v>3.7200000000000004E-2</c:v>
                </c:pt>
                <c:pt idx="27">
                  <c:v>3.73E-2</c:v>
                </c:pt>
                <c:pt idx="28">
                  <c:v>3.6900000000000002E-2</c:v>
                </c:pt>
                <c:pt idx="29">
                  <c:v>3.6600000000000001E-2</c:v>
                </c:pt>
                <c:pt idx="30">
                  <c:v>3.7400000000000003E-2</c:v>
                </c:pt>
                <c:pt idx="31">
                  <c:v>3.7900000000000003E-2</c:v>
                </c:pt>
                <c:pt idx="32">
                  <c:v>3.78E-2</c:v>
                </c:pt>
                <c:pt idx="33">
                  <c:v>3.7999999999999999E-2</c:v>
                </c:pt>
                <c:pt idx="34">
                  <c:v>3.6900000000000002E-2</c:v>
                </c:pt>
                <c:pt idx="35">
                  <c:v>3.7000000000000005E-2</c:v>
                </c:pt>
                <c:pt idx="36">
                  <c:v>3.6400000000000002E-2</c:v>
                </c:pt>
                <c:pt idx="37">
                  <c:v>3.61E-2</c:v>
                </c:pt>
                <c:pt idx="38">
                  <c:v>3.61E-2</c:v>
                </c:pt>
                <c:pt idx="39">
                  <c:v>3.6200000000000003E-2</c:v>
                </c:pt>
                <c:pt idx="40">
                  <c:v>3.6299999999999999E-2</c:v>
                </c:pt>
                <c:pt idx="41">
                  <c:v>3.61E-2</c:v>
                </c:pt>
                <c:pt idx="42">
                  <c:v>3.6900000000000002E-2</c:v>
                </c:pt>
                <c:pt idx="43">
                  <c:v>3.7200000000000004E-2</c:v>
                </c:pt>
                <c:pt idx="44">
                  <c:v>3.7100000000000001E-2</c:v>
                </c:pt>
                <c:pt idx="45">
                  <c:v>3.73E-2</c:v>
                </c:pt>
                <c:pt idx="46">
                  <c:v>3.73E-2</c:v>
                </c:pt>
                <c:pt idx="47">
                  <c:v>3.7100000000000001E-2</c:v>
                </c:pt>
                <c:pt idx="48">
                  <c:v>3.7100000000000001E-2</c:v>
                </c:pt>
                <c:pt idx="49">
                  <c:v>3.6600000000000001E-2</c:v>
                </c:pt>
                <c:pt idx="50">
                  <c:v>3.6499999999999998E-2</c:v>
                </c:pt>
                <c:pt idx="51">
                  <c:v>3.6799999999999999E-2</c:v>
                </c:pt>
                <c:pt idx="52">
                  <c:v>3.7000000000000005E-2</c:v>
                </c:pt>
                <c:pt idx="53">
                  <c:v>3.6699999999999997E-2</c:v>
                </c:pt>
                <c:pt idx="54">
                  <c:v>3.6900000000000002E-2</c:v>
                </c:pt>
                <c:pt idx="55">
                  <c:v>3.8399999999999997E-2</c:v>
                </c:pt>
                <c:pt idx="56">
                  <c:v>3.9100000000000003E-2</c:v>
                </c:pt>
                <c:pt idx="57">
                  <c:v>3.8599999999999995E-2</c:v>
                </c:pt>
                <c:pt idx="58">
                  <c:v>3.8800000000000001E-2</c:v>
                </c:pt>
                <c:pt idx="59">
                  <c:v>3.8800000000000001E-2</c:v>
                </c:pt>
                <c:pt idx="60">
                  <c:v>3.8399999999999997E-2</c:v>
                </c:pt>
                <c:pt idx="61">
                  <c:v>3.8900000000000004E-2</c:v>
                </c:pt>
                <c:pt idx="62">
                  <c:v>3.9599999999999996E-2</c:v>
                </c:pt>
                <c:pt idx="63">
                  <c:v>4.0099999999999997E-2</c:v>
                </c:pt>
                <c:pt idx="64">
                  <c:v>3.9800000000000002E-2</c:v>
                </c:pt>
                <c:pt idx="65">
                  <c:v>3.8900000000000004E-2</c:v>
                </c:pt>
                <c:pt idx="66">
                  <c:v>3.9100000000000003E-2</c:v>
                </c:pt>
                <c:pt idx="67">
                  <c:v>3.9E-2</c:v>
                </c:pt>
                <c:pt idx="68">
                  <c:v>3.8699999999999998E-2</c:v>
                </c:pt>
                <c:pt idx="69">
                  <c:v>3.8399999999999997E-2</c:v>
                </c:pt>
                <c:pt idx="70">
                  <c:v>3.8800000000000001E-2</c:v>
                </c:pt>
                <c:pt idx="71">
                  <c:v>3.8599999999999995E-2</c:v>
                </c:pt>
                <c:pt idx="72">
                  <c:v>3.7900000000000003E-2</c:v>
                </c:pt>
                <c:pt idx="73">
                  <c:v>3.8300000000000001E-2</c:v>
                </c:pt>
                <c:pt idx="74">
                  <c:v>3.8199999999999998E-2</c:v>
                </c:pt>
                <c:pt idx="75">
                  <c:v>3.7699999999999997E-2</c:v>
                </c:pt>
                <c:pt idx="76">
                  <c:v>3.7999999999999999E-2</c:v>
                </c:pt>
                <c:pt idx="77">
                  <c:v>3.8399999999999997E-2</c:v>
                </c:pt>
                <c:pt idx="78">
                  <c:v>3.8300000000000001E-2</c:v>
                </c:pt>
                <c:pt idx="79">
                  <c:v>3.7100000000000001E-2</c:v>
                </c:pt>
                <c:pt idx="80">
                  <c:v>3.7999999999999999E-2</c:v>
                </c:pt>
                <c:pt idx="81">
                  <c:v>3.7599999999999995E-2</c:v>
                </c:pt>
                <c:pt idx="82">
                  <c:v>3.6900000000000002E-2</c:v>
                </c:pt>
                <c:pt idx="83">
                  <c:v>3.7200000000000004E-2</c:v>
                </c:pt>
                <c:pt idx="84">
                  <c:v>3.6299999999999999E-2</c:v>
                </c:pt>
                <c:pt idx="85">
                  <c:v>3.5799999999999998E-2</c:v>
                </c:pt>
                <c:pt idx="86">
                  <c:v>3.4099999999999998E-2</c:v>
                </c:pt>
                <c:pt idx="87">
                  <c:v>3.4500000000000003E-2</c:v>
                </c:pt>
                <c:pt idx="88">
                  <c:v>3.5699999999999996E-2</c:v>
                </c:pt>
                <c:pt idx="89">
                  <c:v>3.56E-2</c:v>
                </c:pt>
                <c:pt idx="90">
                  <c:v>3.56E-2</c:v>
                </c:pt>
                <c:pt idx="91">
                  <c:v>3.5499999999999997E-2</c:v>
                </c:pt>
                <c:pt idx="92">
                  <c:v>3.44E-2</c:v>
                </c:pt>
                <c:pt idx="93">
                  <c:v>3.4700000000000002E-2</c:v>
                </c:pt>
                <c:pt idx="94">
                  <c:v>3.3799999999999997E-2</c:v>
                </c:pt>
                <c:pt idx="95">
                  <c:v>3.3599999999999998E-2</c:v>
                </c:pt>
                <c:pt idx="96">
                  <c:v>3.2500000000000001E-2</c:v>
                </c:pt>
                <c:pt idx="97">
                  <c:v>3.2000000000000001E-2</c:v>
                </c:pt>
                <c:pt idx="98">
                  <c:v>3.2300000000000002E-2</c:v>
                </c:pt>
                <c:pt idx="99">
                  <c:v>3.1800000000000002E-2</c:v>
                </c:pt>
                <c:pt idx="100">
                  <c:v>3.2099999999999997E-2</c:v>
                </c:pt>
                <c:pt idx="101">
                  <c:v>3.3399999999999999E-2</c:v>
                </c:pt>
                <c:pt idx="102">
                  <c:v>3.3099999999999997E-2</c:v>
                </c:pt>
                <c:pt idx="103">
                  <c:v>3.2899999999999999E-2</c:v>
                </c:pt>
                <c:pt idx="104">
                  <c:v>3.3500000000000002E-2</c:v>
                </c:pt>
                <c:pt idx="105">
                  <c:v>3.39E-2</c:v>
                </c:pt>
                <c:pt idx="106">
                  <c:v>3.2000000000000001E-2</c:v>
                </c:pt>
                <c:pt idx="107">
                  <c:v>3.1699999999999999E-2</c:v>
                </c:pt>
                <c:pt idx="108">
                  <c:v>3.1800000000000002E-2</c:v>
                </c:pt>
                <c:pt idx="109">
                  <c:v>3.2000000000000001E-2</c:v>
                </c:pt>
                <c:pt idx="110">
                  <c:v>3.3300000000000003E-2</c:v>
                </c:pt>
                <c:pt idx="111">
                  <c:v>3.2400000000000005E-2</c:v>
                </c:pt>
                <c:pt idx="112">
                  <c:v>3.2799999999999996E-2</c:v>
                </c:pt>
                <c:pt idx="113">
                  <c:v>3.32E-2</c:v>
                </c:pt>
                <c:pt idx="114">
                  <c:v>3.27E-2</c:v>
                </c:pt>
                <c:pt idx="115">
                  <c:v>3.2099999999999997E-2</c:v>
                </c:pt>
                <c:pt idx="116">
                  <c:v>3.2400000000000005E-2</c:v>
                </c:pt>
                <c:pt idx="117">
                  <c:v>3.2599999999999997E-2</c:v>
                </c:pt>
                <c:pt idx="118">
                  <c:v>3.1800000000000002E-2</c:v>
                </c:pt>
                <c:pt idx="119">
                  <c:v>3.1300000000000001E-2</c:v>
                </c:pt>
                <c:pt idx="120">
                  <c:v>3.1400000000000004E-2</c:v>
                </c:pt>
                <c:pt idx="121">
                  <c:v>3.1200000000000002E-2</c:v>
                </c:pt>
                <c:pt idx="122">
                  <c:v>3.0499999999999999E-2</c:v>
                </c:pt>
                <c:pt idx="123">
                  <c:v>2.9700000000000001E-2</c:v>
                </c:pt>
                <c:pt idx="124">
                  <c:v>2.9700000000000001E-2</c:v>
                </c:pt>
                <c:pt idx="125">
                  <c:v>2.9600000000000001E-2</c:v>
                </c:pt>
                <c:pt idx="126">
                  <c:v>0.03</c:v>
                </c:pt>
                <c:pt idx="127">
                  <c:v>2.9500000000000002E-2</c:v>
                </c:pt>
                <c:pt idx="128">
                  <c:v>0.03</c:v>
                </c:pt>
                <c:pt idx="129">
                  <c:v>3.04E-2</c:v>
                </c:pt>
                <c:pt idx="130">
                  <c:v>3.0699999999999998E-2</c:v>
                </c:pt>
                <c:pt idx="131">
                  <c:v>3.0800000000000001E-2</c:v>
                </c:pt>
                <c:pt idx="132">
                  <c:v>3.15E-2</c:v>
                </c:pt>
                <c:pt idx="133">
                  <c:v>3.0699999999999998E-2</c:v>
                </c:pt>
                <c:pt idx="134">
                  <c:v>0.03</c:v>
                </c:pt>
                <c:pt idx="135">
                  <c:v>2.9600000000000001E-2</c:v>
                </c:pt>
                <c:pt idx="136">
                  <c:v>2.9900000000000003E-2</c:v>
                </c:pt>
                <c:pt idx="137">
                  <c:v>2.98E-2</c:v>
                </c:pt>
                <c:pt idx="138">
                  <c:v>2.8999999999999998E-2</c:v>
                </c:pt>
                <c:pt idx="139">
                  <c:v>2.9600000000000001E-2</c:v>
                </c:pt>
                <c:pt idx="140">
                  <c:v>3.0200000000000001E-2</c:v>
                </c:pt>
                <c:pt idx="141">
                  <c:v>3.0299999999999997E-2</c:v>
                </c:pt>
                <c:pt idx="142">
                  <c:v>3.0800000000000001E-2</c:v>
                </c:pt>
                <c:pt idx="143">
                  <c:v>3.0299999999999997E-2</c:v>
                </c:pt>
                <c:pt idx="144">
                  <c:v>3.0299999999999997E-2</c:v>
                </c:pt>
                <c:pt idx="145">
                  <c:v>2.9399999999999999E-2</c:v>
                </c:pt>
                <c:pt idx="146">
                  <c:v>2.9900000000000003E-2</c:v>
                </c:pt>
                <c:pt idx="147">
                  <c:v>2.9399999999999999E-2</c:v>
                </c:pt>
                <c:pt idx="148">
                  <c:v>2.98E-2</c:v>
                </c:pt>
                <c:pt idx="149">
                  <c:v>2.9399999999999999E-2</c:v>
                </c:pt>
                <c:pt idx="150">
                  <c:v>2.86E-2</c:v>
                </c:pt>
                <c:pt idx="151">
                  <c:v>2.86E-2</c:v>
                </c:pt>
                <c:pt idx="152">
                  <c:v>2.7900000000000001E-2</c:v>
                </c:pt>
                <c:pt idx="153">
                  <c:v>2.7200000000000002E-2</c:v>
                </c:pt>
                <c:pt idx="154">
                  <c:v>2.7400000000000001E-2</c:v>
                </c:pt>
                <c:pt idx="155">
                  <c:v>2.6800000000000001E-2</c:v>
                </c:pt>
                <c:pt idx="156">
                  <c:v>2.58E-2</c:v>
                </c:pt>
                <c:pt idx="157">
                  <c:v>2.64E-2</c:v>
                </c:pt>
                <c:pt idx="158">
                  <c:v>2.64E-2</c:v>
                </c:pt>
                <c:pt idx="159">
                  <c:v>2.58E-2</c:v>
                </c:pt>
                <c:pt idx="160">
                  <c:v>2.6200000000000001E-2</c:v>
                </c:pt>
                <c:pt idx="161">
                  <c:v>2.6000000000000002E-2</c:v>
                </c:pt>
                <c:pt idx="162">
                  <c:v>2.5000000000000001E-2</c:v>
                </c:pt>
                <c:pt idx="163">
                  <c:v>2.5399999999999999E-2</c:v>
                </c:pt>
                <c:pt idx="164">
                  <c:v>2.5000000000000001E-2</c:v>
                </c:pt>
                <c:pt idx="165">
                  <c:v>2.6600000000000002E-2</c:v>
                </c:pt>
                <c:pt idx="166">
                  <c:v>2.5399999999999999E-2</c:v>
                </c:pt>
                <c:pt idx="167">
                  <c:v>2.4700000000000003E-2</c:v>
                </c:pt>
                <c:pt idx="168">
                  <c:v>2.58E-2</c:v>
                </c:pt>
                <c:pt idx="169">
                  <c:v>2.63E-2</c:v>
                </c:pt>
                <c:pt idx="170">
                  <c:v>2.7200000000000002E-2</c:v>
                </c:pt>
                <c:pt idx="171">
                  <c:v>2.6099999999999998E-2</c:v>
                </c:pt>
                <c:pt idx="172">
                  <c:v>2.6600000000000002E-2</c:v>
                </c:pt>
                <c:pt idx="173">
                  <c:v>2.7699999999999999E-2</c:v>
                </c:pt>
                <c:pt idx="174">
                  <c:v>2.81E-2</c:v>
                </c:pt>
                <c:pt idx="175">
                  <c:v>2.7400000000000001E-2</c:v>
                </c:pt>
                <c:pt idx="176">
                  <c:v>2.6800000000000001E-2</c:v>
                </c:pt>
                <c:pt idx="177">
                  <c:v>2.7400000000000001E-2</c:v>
                </c:pt>
                <c:pt idx="178">
                  <c:v>2.7699999999999999E-2</c:v>
                </c:pt>
                <c:pt idx="179">
                  <c:v>2.75E-2</c:v>
                </c:pt>
                <c:pt idx="180">
                  <c:v>2.7200000000000002E-2</c:v>
                </c:pt>
                <c:pt idx="181">
                  <c:v>2.6099999999999998E-2</c:v>
                </c:pt>
                <c:pt idx="182">
                  <c:v>2.5600000000000001E-2</c:v>
                </c:pt>
                <c:pt idx="183">
                  <c:v>2.5600000000000001E-2</c:v>
                </c:pt>
                <c:pt idx="184">
                  <c:v>2.6200000000000001E-2</c:v>
                </c:pt>
                <c:pt idx="185">
                  <c:v>2.5399999999999999E-2</c:v>
                </c:pt>
                <c:pt idx="186">
                  <c:v>2.4799999999999999E-2</c:v>
                </c:pt>
                <c:pt idx="187">
                  <c:v>2.52E-2</c:v>
                </c:pt>
                <c:pt idx="188">
                  <c:v>2.53E-2</c:v>
                </c:pt>
                <c:pt idx="189">
                  <c:v>2.5399999999999999E-2</c:v>
                </c:pt>
                <c:pt idx="190">
                  <c:v>2.5000000000000001E-2</c:v>
                </c:pt>
                <c:pt idx="191">
                  <c:v>2.5000000000000001E-2</c:v>
                </c:pt>
                <c:pt idx="192">
                  <c:v>2.41E-2</c:v>
                </c:pt>
                <c:pt idx="193">
                  <c:v>2.41E-2</c:v>
                </c:pt>
                <c:pt idx="194">
                  <c:v>2.41E-2</c:v>
                </c:pt>
                <c:pt idx="195">
                  <c:v>2.4399999999999998E-2</c:v>
                </c:pt>
                <c:pt idx="196">
                  <c:v>2.46E-2</c:v>
                </c:pt>
                <c:pt idx="197">
                  <c:v>2.52E-2</c:v>
                </c:pt>
                <c:pt idx="198">
                  <c:v>2.5899999999999999E-2</c:v>
                </c:pt>
                <c:pt idx="199">
                  <c:v>2.52E-2</c:v>
                </c:pt>
                <c:pt idx="200">
                  <c:v>2.5000000000000001E-2</c:v>
                </c:pt>
                <c:pt idx="201">
                  <c:v>2.5099999999999997E-2</c:v>
                </c:pt>
                <c:pt idx="202">
                  <c:v>2.5699999999999997E-2</c:v>
                </c:pt>
                <c:pt idx="203">
                  <c:v>2.5899999999999999E-2</c:v>
                </c:pt>
                <c:pt idx="204">
                  <c:v>2.5899999999999999E-2</c:v>
                </c:pt>
                <c:pt idx="205">
                  <c:v>2.6699999999999998E-2</c:v>
                </c:pt>
                <c:pt idx="206">
                  <c:v>2.75E-2</c:v>
                </c:pt>
                <c:pt idx="207">
                  <c:v>2.69E-2</c:v>
                </c:pt>
                <c:pt idx="208">
                  <c:v>2.63E-2</c:v>
                </c:pt>
                <c:pt idx="209">
                  <c:v>2.6600000000000002E-2</c:v>
                </c:pt>
                <c:pt idx="210">
                  <c:v>2.63E-2</c:v>
                </c:pt>
                <c:pt idx="211">
                  <c:v>2.6699999999999998E-2</c:v>
                </c:pt>
                <c:pt idx="212">
                  <c:v>2.53E-2</c:v>
                </c:pt>
                <c:pt idx="213">
                  <c:v>2.58E-2</c:v>
                </c:pt>
                <c:pt idx="214">
                  <c:v>2.6000000000000002E-2</c:v>
                </c:pt>
                <c:pt idx="215">
                  <c:v>2.7200000000000002E-2</c:v>
                </c:pt>
                <c:pt idx="216">
                  <c:v>2.6499999999999999E-2</c:v>
                </c:pt>
                <c:pt idx="217">
                  <c:v>2.76E-2</c:v>
                </c:pt>
                <c:pt idx="218">
                  <c:v>2.92E-2</c:v>
                </c:pt>
                <c:pt idx="219">
                  <c:v>2.8500000000000001E-2</c:v>
                </c:pt>
                <c:pt idx="220">
                  <c:v>2.8900000000000002E-2</c:v>
                </c:pt>
                <c:pt idx="221">
                  <c:v>2.8999999999999998E-2</c:v>
                </c:pt>
                <c:pt idx="222">
                  <c:v>2.8799999999999999E-2</c:v>
                </c:pt>
                <c:pt idx="223">
                  <c:v>2.7999999999999997E-2</c:v>
                </c:pt>
                <c:pt idx="224">
                  <c:v>2.7699999999999999E-2</c:v>
                </c:pt>
                <c:pt idx="225">
                  <c:v>2.9300000000000003E-2</c:v>
                </c:pt>
                <c:pt idx="226">
                  <c:v>2.87E-2</c:v>
                </c:pt>
                <c:pt idx="227">
                  <c:v>2.8399999999999998E-2</c:v>
                </c:pt>
                <c:pt idx="228">
                  <c:v>2.81E-2</c:v>
                </c:pt>
                <c:pt idx="229">
                  <c:v>2.9700000000000001E-2</c:v>
                </c:pt>
                <c:pt idx="230">
                  <c:v>3.0099999999999998E-2</c:v>
                </c:pt>
                <c:pt idx="231">
                  <c:v>3.0299999999999997E-2</c:v>
                </c:pt>
                <c:pt idx="232">
                  <c:v>2.9500000000000002E-2</c:v>
                </c:pt>
                <c:pt idx="233">
                  <c:v>3.15E-2</c:v>
                </c:pt>
                <c:pt idx="234">
                  <c:v>3.2599999999999997E-2</c:v>
                </c:pt>
                <c:pt idx="235">
                  <c:v>3.2300000000000002E-2</c:v>
                </c:pt>
                <c:pt idx="236">
                  <c:v>3.32E-2</c:v>
                </c:pt>
                <c:pt idx="237">
                  <c:v>3.2899999999999999E-2</c:v>
                </c:pt>
                <c:pt idx="238">
                  <c:v>3.49E-2</c:v>
                </c:pt>
                <c:pt idx="239">
                  <c:v>3.5299999999999998E-2</c:v>
                </c:pt>
                <c:pt idx="240">
                  <c:v>3.4700000000000002E-2</c:v>
                </c:pt>
                <c:pt idx="241">
                  <c:v>3.3300000000000003E-2</c:v>
                </c:pt>
                <c:pt idx="242">
                  <c:v>3.3599999999999998E-2</c:v>
                </c:pt>
                <c:pt idx="243">
                  <c:v>3.3500000000000002E-2</c:v>
                </c:pt>
                <c:pt idx="244">
                  <c:v>3.3599999999999998E-2</c:v>
                </c:pt>
                <c:pt idx="245">
                  <c:v>3.4099999999999998E-2</c:v>
                </c:pt>
                <c:pt idx="246">
                  <c:v>3.3599999999999998E-2</c:v>
                </c:pt>
                <c:pt idx="247">
                  <c:v>3.5000000000000003E-2</c:v>
                </c:pt>
                <c:pt idx="248">
                  <c:v>3.3500000000000002E-2</c:v>
                </c:pt>
                <c:pt idx="249">
                  <c:v>3.3799999999999997E-2</c:v>
                </c:pt>
                <c:pt idx="250">
                  <c:v>3.3000000000000002E-2</c:v>
                </c:pt>
                <c:pt idx="251">
                  <c:v>3.3599999999999998E-2</c:v>
                </c:pt>
                <c:pt idx="252">
                  <c:v>3.3599999999999998E-2</c:v>
                </c:pt>
                <c:pt idx="253">
                  <c:v>3.5000000000000003E-2</c:v>
                </c:pt>
                <c:pt idx="254">
                  <c:v>3.44E-2</c:v>
                </c:pt>
                <c:pt idx="255">
                  <c:v>3.3399999999999999E-2</c:v>
                </c:pt>
                <c:pt idx="256">
                  <c:v>3.32E-2</c:v>
                </c:pt>
                <c:pt idx="257">
                  <c:v>3.3700000000000001E-2</c:v>
                </c:pt>
                <c:pt idx="258">
                  <c:v>3.4000000000000002E-2</c:v>
                </c:pt>
                <c:pt idx="259">
                  <c:v>3.3399999999999999E-2</c:v>
                </c:pt>
                <c:pt idx="260">
                  <c:v>3.3500000000000002E-2</c:v>
                </c:pt>
                <c:pt idx="261">
                  <c:v>3.39E-2</c:v>
                </c:pt>
                <c:pt idx="262">
                  <c:v>3.3700000000000001E-2</c:v>
                </c:pt>
                <c:pt idx="263">
                  <c:v>3.4700000000000002E-2</c:v>
                </c:pt>
                <c:pt idx="264">
                  <c:v>3.44E-2</c:v>
                </c:pt>
                <c:pt idx="265">
                  <c:v>3.4300000000000004E-2</c:v>
                </c:pt>
                <c:pt idx="266">
                  <c:v>3.3500000000000002E-2</c:v>
                </c:pt>
                <c:pt idx="267">
                  <c:v>3.4500000000000003E-2</c:v>
                </c:pt>
                <c:pt idx="268">
                  <c:v>3.4200000000000001E-2</c:v>
                </c:pt>
                <c:pt idx="269">
                  <c:v>3.3599999999999998E-2</c:v>
                </c:pt>
                <c:pt idx="270">
                  <c:v>3.4200000000000001E-2</c:v>
                </c:pt>
                <c:pt idx="271">
                  <c:v>3.4799999999999998E-2</c:v>
                </c:pt>
                <c:pt idx="272">
                  <c:v>3.5200000000000002E-2</c:v>
                </c:pt>
                <c:pt idx="273">
                  <c:v>3.5799999999999998E-2</c:v>
                </c:pt>
                <c:pt idx="274">
                  <c:v>3.6799999999999999E-2</c:v>
                </c:pt>
                <c:pt idx="275">
                  <c:v>3.6799999999999999E-2</c:v>
                </c:pt>
                <c:pt idx="276">
                  <c:v>3.7499999999999999E-2</c:v>
                </c:pt>
                <c:pt idx="277">
                  <c:v>3.6499999999999998E-2</c:v>
                </c:pt>
                <c:pt idx="278">
                  <c:v>3.7000000000000005E-2</c:v>
                </c:pt>
                <c:pt idx="279">
                  <c:v>3.6400000000000002E-2</c:v>
                </c:pt>
                <c:pt idx="280">
                  <c:v>3.6200000000000003E-2</c:v>
                </c:pt>
                <c:pt idx="281">
                  <c:v>3.61E-2</c:v>
                </c:pt>
                <c:pt idx="282">
                  <c:v>3.6200000000000003E-2</c:v>
                </c:pt>
                <c:pt idx="283">
                  <c:v>3.5799999999999998E-2</c:v>
                </c:pt>
                <c:pt idx="284">
                  <c:v>3.5900000000000001E-2</c:v>
                </c:pt>
                <c:pt idx="285">
                  <c:v>3.4599999999999999E-2</c:v>
                </c:pt>
                <c:pt idx="286">
                  <c:v>3.49E-2</c:v>
                </c:pt>
                <c:pt idx="287">
                  <c:v>3.4599999999999999E-2</c:v>
                </c:pt>
                <c:pt idx="288">
                  <c:v>3.4200000000000001E-2</c:v>
                </c:pt>
                <c:pt idx="289">
                  <c:v>3.4200000000000001E-2</c:v>
                </c:pt>
                <c:pt idx="290">
                  <c:v>3.4099999999999998E-2</c:v>
                </c:pt>
                <c:pt idx="291">
                  <c:v>3.4599999999999999E-2</c:v>
                </c:pt>
                <c:pt idx="292">
                  <c:v>3.5799999999999998E-2</c:v>
                </c:pt>
                <c:pt idx="293">
                  <c:v>3.49E-2</c:v>
                </c:pt>
                <c:pt idx="294">
                  <c:v>3.5099999999999999E-2</c:v>
                </c:pt>
                <c:pt idx="295">
                  <c:v>3.56E-2</c:v>
                </c:pt>
                <c:pt idx="296">
                  <c:v>3.4799999999999998E-2</c:v>
                </c:pt>
                <c:pt idx="297">
                  <c:v>3.3700000000000001E-2</c:v>
                </c:pt>
                <c:pt idx="298">
                  <c:v>3.4000000000000002E-2</c:v>
                </c:pt>
                <c:pt idx="299">
                  <c:v>3.3599999999999998E-2</c:v>
                </c:pt>
                <c:pt idx="300">
                  <c:v>3.3300000000000003E-2</c:v>
                </c:pt>
                <c:pt idx="301">
                  <c:v>3.2199999999999999E-2</c:v>
                </c:pt>
                <c:pt idx="302">
                  <c:v>3.2500000000000001E-2</c:v>
                </c:pt>
                <c:pt idx="303">
                  <c:v>3.2799999999999996E-2</c:v>
                </c:pt>
                <c:pt idx="304">
                  <c:v>3.3399999999999999E-2</c:v>
                </c:pt>
                <c:pt idx="305">
                  <c:v>3.3399999999999999E-2</c:v>
                </c:pt>
                <c:pt idx="306">
                  <c:v>3.3599999999999998E-2</c:v>
                </c:pt>
                <c:pt idx="307">
                  <c:v>3.4200000000000001E-2</c:v>
                </c:pt>
                <c:pt idx="308">
                  <c:v>3.4599999999999999E-2</c:v>
                </c:pt>
                <c:pt idx="309">
                  <c:v>3.4700000000000002E-2</c:v>
                </c:pt>
                <c:pt idx="310">
                  <c:v>3.5000000000000003E-2</c:v>
                </c:pt>
                <c:pt idx="311">
                  <c:v>3.4700000000000002E-2</c:v>
                </c:pt>
                <c:pt idx="312">
                  <c:v>3.4700000000000002E-2</c:v>
                </c:pt>
                <c:pt idx="313">
                  <c:v>3.4599999999999999E-2</c:v>
                </c:pt>
                <c:pt idx="314">
                  <c:v>3.4500000000000003E-2</c:v>
                </c:pt>
                <c:pt idx="315">
                  <c:v>3.5000000000000003E-2</c:v>
                </c:pt>
                <c:pt idx="316">
                  <c:v>3.56E-2</c:v>
                </c:pt>
                <c:pt idx="317">
                  <c:v>3.5799999999999998E-2</c:v>
                </c:pt>
                <c:pt idx="318">
                  <c:v>3.5900000000000001E-2</c:v>
                </c:pt>
                <c:pt idx="319">
                  <c:v>3.5900000000000001E-2</c:v>
                </c:pt>
                <c:pt idx="320">
                  <c:v>3.5200000000000002E-2</c:v>
                </c:pt>
                <c:pt idx="321">
                  <c:v>3.49E-2</c:v>
                </c:pt>
                <c:pt idx="322">
                  <c:v>3.5099999999999999E-2</c:v>
                </c:pt>
                <c:pt idx="323">
                  <c:v>3.4300000000000004E-2</c:v>
                </c:pt>
                <c:pt idx="324">
                  <c:v>3.4000000000000002E-2</c:v>
                </c:pt>
                <c:pt idx="325">
                  <c:v>3.39E-2</c:v>
                </c:pt>
                <c:pt idx="326">
                  <c:v>3.4300000000000004E-2</c:v>
                </c:pt>
                <c:pt idx="327">
                  <c:v>3.4200000000000001E-2</c:v>
                </c:pt>
                <c:pt idx="328">
                  <c:v>3.39E-2</c:v>
                </c:pt>
                <c:pt idx="329">
                  <c:v>3.3399999999999999E-2</c:v>
                </c:pt>
                <c:pt idx="330">
                  <c:v>3.39E-2</c:v>
                </c:pt>
                <c:pt idx="331">
                  <c:v>3.3399999999999999E-2</c:v>
                </c:pt>
                <c:pt idx="332">
                  <c:v>3.32E-2</c:v>
                </c:pt>
                <c:pt idx="333">
                  <c:v>3.3099999999999997E-2</c:v>
                </c:pt>
                <c:pt idx="334">
                  <c:v>3.2799999999999996E-2</c:v>
                </c:pt>
                <c:pt idx="335">
                  <c:v>3.2500000000000001E-2</c:v>
                </c:pt>
                <c:pt idx="336">
                  <c:v>3.1800000000000002E-2</c:v>
                </c:pt>
                <c:pt idx="337">
                  <c:v>3.1899999999999998E-2</c:v>
                </c:pt>
                <c:pt idx="338">
                  <c:v>3.1699999999999999E-2</c:v>
                </c:pt>
                <c:pt idx="339">
                  <c:v>3.2300000000000002E-2</c:v>
                </c:pt>
                <c:pt idx="340">
                  <c:v>3.1899999999999998E-2</c:v>
                </c:pt>
                <c:pt idx="341">
                  <c:v>3.2199999999999999E-2</c:v>
                </c:pt>
                <c:pt idx="342">
                  <c:v>3.1800000000000002E-2</c:v>
                </c:pt>
                <c:pt idx="343">
                  <c:v>3.15E-2</c:v>
                </c:pt>
                <c:pt idx="344">
                  <c:v>3.1200000000000002E-2</c:v>
                </c:pt>
                <c:pt idx="345">
                  <c:v>3.1800000000000002E-2</c:v>
                </c:pt>
                <c:pt idx="346">
                  <c:v>3.1699999999999999E-2</c:v>
                </c:pt>
                <c:pt idx="347">
                  <c:v>3.15E-2</c:v>
                </c:pt>
                <c:pt idx="348">
                  <c:v>3.1300000000000001E-2</c:v>
                </c:pt>
                <c:pt idx="349">
                  <c:v>3.1200000000000002E-2</c:v>
                </c:pt>
                <c:pt idx="350">
                  <c:v>3.1300000000000001E-2</c:v>
                </c:pt>
                <c:pt idx="351">
                  <c:v>3.0699999999999998E-2</c:v>
                </c:pt>
                <c:pt idx="352">
                  <c:v>3.0699999999999998E-2</c:v>
                </c:pt>
                <c:pt idx="353">
                  <c:v>3.0499999999999999E-2</c:v>
                </c:pt>
                <c:pt idx="354">
                  <c:v>2.9600000000000001E-2</c:v>
                </c:pt>
                <c:pt idx="355">
                  <c:v>3.04E-2</c:v>
                </c:pt>
                <c:pt idx="356">
                  <c:v>2.9900000000000003E-2</c:v>
                </c:pt>
                <c:pt idx="357">
                  <c:v>3.0099999999999998E-2</c:v>
                </c:pt>
                <c:pt idx="358">
                  <c:v>3.0099999999999998E-2</c:v>
                </c:pt>
                <c:pt idx="359">
                  <c:v>2.98E-2</c:v>
                </c:pt>
                <c:pt idx="360">
                  <c:v>3.0099999999999998E-2</c:v>
                </c:pt>
                <c:pt idx="361">
                  <c:v>2.9900000000000003E-2</c:v>
                </c:pt>
                <c:pt idx="362">
                  <c:v>0.03</c:v>
                </c:pt>
                <c:pt idx="363">
                  <c:v>3.1099999999999999E-2</c:v>
                </c:pt>
                <c:pt idx="364">
                  <c:v>2.98E-2</c:v>
                </c:pt>
                <c:pt idx="365">
                  <c:v>2.9300000000000003E-2</c:v>
                </c:pt>
                <c:pt idx="366">
                  <c:v>2.9399999999999999E-2</c:v>
                </c:pt>
                <c:pt idx="367">
                  <c:v>2.9700000000000001E-2</c:v>
                </c:pt>
                <c:pt idx="368">
                  <c:v>2.9900000000000003E-2</c:v>
                </c:pt>
                <c:pt idx="369">
                  <c:v>3.0099999999999998E-2</c:v>
                </c:pt>
                <c:pt idx="370">
                  <c:v>2.9300000000000003E-2</c:v>
                </c:pt>
                <c:pt idx="371">
                  <c:v>2.8799999999999999E-2</c:v>
                </c:pt>
                <c:pt idx="372">
                  <c:v>2.9500000000000002E-2</c:v>
                </c:pt>
                <c:pt idx="373">
                  <c:v>3.0499999999999999E-2</c:v>
                </c:pt>
                <c:pt idx="374">
                  <c:v>3.1400000000000004E-2</c:v>
                </c:pt>
                <c:pt idx="375">
                  <c:v>3.1800000000000002E-2</c:v>
                </c:pt>
                <c:pt idx="376">
                  <c:v>3.2199999999999999E-2</c:v>
                </c:pt>
                <c:pt idx="377">
                  <c:v>3.1600000000000003E-2</c:v>
                </c:pt>
                <c:pt idx="378">
                  <c:v>3.1200000000000002E-2</c:v>
                </c:pt>
                <c:pt idx="379">
                  <c:v>3.1699999999999999E-2</c:v>
                </c:pt>
                <c:pt idx="380">
                  <c:v>3.0299999999999997E-2</c:v>
                </c:pt>
                <c:pt idx="381">
                  <c:v>2.9399999999999999E-2</c:v>
                </c:pt>
                <c:pt idx="382">
                  <c:v>2.92E-2</c:v>
                </c:pt>
                <c:pt idx="383">
                  <c:v>2.92E-2</c:v>
                </c:pt>
                <c:pt idx="384">
                  <c:v>2.98E-2</c:v>
                </c:pt>
                <c:pt idx="385">
                  <c:v>2.9399999999999999E-2</c:v>
                </c:pt>
                <c:pt idx="386">
                  <c:v>2.9399999999999999E-2</c:v>
                </c:pt>
                <c:pt idx="387">
                  <c:v>2.9100000000000001E-2</c:v>
                </c:pt>
                <c:pt idx="388">
                  <c:v>2.9600000000000001E-2</c:v>
                </c:pt>
                <c:pt idx="389">
                  <c:v>3.0299999999999997E-2</c:v>
                </c:pt>
                <c:pt idx="390">
                  <c:v>2.9900000000000003E-2</c:v>
                </c:pt>
                <c:pt idx="391">
                  <c:v>3.0299999999999997E-2</c:v>
                </c:pt>
                <c:pt idx="392">
                  <c:v>2.9900000000000003E-2</c:v>
                </c:pt>
                <c:pt idx="393">
                  <c:v>3.0099999999999998E-2</c:v>
                </c:pt>
                <c:pt idx="394">
                  <c:v>2.98E-2</c:v>
                </c:pt>
                <c:pt idx="395">
                  <c:v>2.8199999999999999E-2</c:v>
                </c:pt>
                <c:pt idx="396">
                  <c:v>2.7699999999999999E-2</c:v>
                </c:pt>
                <c:pt idx="397">
                  <c:v>2.6600000000000002E-2</c:v>
                </c:pt>
                <c:pt idx="398">
                  <c:v>2.64E-2</c:v>
                </c:pt>
                <c:pt idx="399">
                  <c:v>2.4700000000000003E-2</c:v>
                </c:pt>
                <c:pt idx="400">
                  <c:v>2.58E-2</c:v>
                </c:pt>
                <c:pt idx="401">
                  <c:v>2.4E-2</c:v>
                </c:pt>
                <c:pt idx="402">
                  <c:v>2.2000000000000002E-2</c:v>
                </c:pt>
                <c:pt idx="403">
                  <c:v>2.1700000000000001E-2</c:v>
                </c:pt>
                <c:pt idx="404">
                  <c:v>2.3399999999999997E-2</c:v>
                </c:pt>
                <c:pt idx="405">
                  <c:v>2.2400000000000003E-2</c:v>
                </c:pt>
                <c:pt idx="406">
                  <c:v>2.29E-2</c:v>
                </c:pt>
                <c:pt idx="407">
                  <c:v>2.23E-2</c:v>
                </c:pt>
                <c:pt idx="408">
                  <c:v>2.1700000000000001E-2</c:v>
                </c:pt>
                <c:pt idx="409">
                  <c:v>2.0799999999999999E-2</c:v>
                </c:pt>
                <c:pt idx="410">
                  <c:v>2.07E-2</c:v>
                </c:pt>
                <c:pt idx="411">
                  <c:v>2.1000000000000001E-2</c:v>
                </c:pt>
                <c:pt idx="412">
                  <c:v>2.1499999999999998E-2</c:v>
                </c:pt>
                <c:pt idx="413">
                  <c:v>2.29E-2</c:v>
                </c:pt>
                <c:pt idx="414">
                  <c:v>2.23E-2</c:v>
                </c:pt>
                <c:pt idx="415">
                  <c:v>2.1899999999999999E-2</c:v>
                </c:pt>
                <c:pt idx="416">
                  <c:v>2.2799999999999997E-2</c:v>
                </c:pt>
                <c:pt idx="417">
                  <c:v>2.1899999999999999E-2</c:v>
                </c:pt>
                <c:pt idx="418">
                  <c:v>2.23E-2</c:v>
                </c:pt>
                <c:pt idx="419">
                  <c:v>2.1499999999999998E-2</c:v>
                </c:pt>
                <c:pt idx="420">
                  <c:v>2.0199999999999999E-2</c:v>
                </c:pt>
                <c:pt idx="421">
                  <c:v>1.9799999999999998E-2</c:v>
                </c:pt>
                <c:pt idx="422">
                  <c:v>2.0499999999999997E-2</c:v>
                </c:pt>
                <c:pt idx="423">
                  <c:v>0.02</c:v>
                </c:pt>
                <c:pt idx="424">
                  <c:v>1.9299999999999998E-2</c:v>
                </c:pt>
                <c:pt idx="425">
                  <c:v>1.9400000000000001E-2</c:v>
                </c:pt>
                <c:pt idx="426">
                  <c:v>0.02</c:v>
                </c:pt>
                <c:pt idx="427">
                  <c:v>2.0299999999999999E-2</c:v>
                </c:pt>
                <c:pt idx="428">
                  <c:v>2.0899999999999998E-2</c:v>
                </c:pt>
                <c:pt idx="429">
                  <c:v>2.0799999999999999E-2</c:v>
                </c:pt>
                <c:pt idx="430">
                  <c:v>1.9699999999999999E-2</c:v>
                </c:pt>
                <c:pt idx="431">
                  <c:v>1.95E-2</c:v>
                </c:pt>
                <c:pt idx="432">
                  <c:v>1.8799999999999997E-2</c:v>
                </c:pt>
                <c:pt idx="433">
                  <c:v>1.72E-2</c:v>
                </c:pt>
                <c:pt idx="434">
                  <c:v>1.84E-2</c:v>
                </c:pt>
                <c:pt idx="435">
                  <c:v>1.9099999999999999E-2</c:v>
                </c:pt>
                <c:pt idx="436">
                  <c:v>0.02</c:v>
                </c:pt>
                <c:pt idx="437">
                  <c:v>2.0299999999999999E-2</c:v>
                </c:pt>
                <c:pt idx="438">
                  <c:v>1.9900000000000001E-2</c:v>
                </c:pt>
                <c:pt idx="439">
                  <c:v>1.9199999999999998E-2</c:v>
                </c:pt>
                <c:pt idx="440">
                  <c:v>1.8000000000000002E-2</c:v>
                </c:pt>
                <c:pt idx="441">
                  <c:v>1.8100000000000002E-2</c:v>
                </c:pt>
                <c:pt idx="442">
                  <c:v>1.9199999999999998E-2</c:v>
                </c:pt>
                <c:pt idx="443">
                  <c:v>2.0099999999999996E-2</c:v>
                </c:pt>
                <c:pt idx="444">
                  <c:v>2.1000000000000001E-2</c:v>
                </c:pt>
                <c:pt idx="445">
                  <c:v>2.18E-2</c:v>
                </c:pt>
                <c:pt idx="446">
                  <c:v>2.2400000000000003E-2</c:v>
                </c:pt>
                <c:pt idx="447">
                  <c:v>2.1899999999999999E-2</c:v>
                </c:pt>
                <c:pt idx="448">
                  <c:v>2.2599999999999999E-2</c:v>
                </c:pt>
                <c:pt idx="449">
                  <c:v>2.18E-2</c:v>
                </c:pt>
                <c:pt idx="450">
                  <c:v>2.1899999999999999E-2</c:v>
                </c:pt>
                <c:pt idx="451">
                  <c:v>2.18E-2</c:v>
                </c:pt>
                <c:pt idx="452">
                  <c:v>2.2000000000000002E-2</c:v>
                </c:pt>
                <c:pt idx="453">
                  <c:v>2.23E-2</c:v>
                </c:pt>
                <c:pt idx="454">
                  <c:v>2.2499999999999999E-2</c:v>
                </c:pt>
                <c:pt idx="455">
                  <c:v>2.1400000000000002E-2</c:v>
                </c:pt>
                <c:pt idx="456">
                  <c:v>2.23E-2</c:v>
                </c:pt>
                <c:pt idx="457">
                  <c:v>2.4199999999999999E-2</c:v>
                </c:pt>
                <c:pt idx="458">
                  <c:v>2.3399999999999997E-2</c:v>
                </c:pt>
                <c:pt idx="459">
                  <c:v>2.1700000000000001E-2</c:v>
                </c:pt>
                <c:pt idx="460">
                  <c:v>2.0099999999999996E-2</c:v>
                </c:pt>
                <c:pt idx="461">
                  <c:v>2.0299999999999999E-2</c:v>
                </c:pt>
                <c:pt idx="462">
                  <c:v>2.0899999999999998E-2</c:v>
                </c:pt>
                <c:pt idx="463">
                  <c:v>2.06E-2</c:v>
                </c:pt>
                <c:pt idx="464">
                  <c:v>2.0400000000000001E-2</c:v>
                </c:pt>
                <c:pt idx="465">
                  <c:v>2.1000000000000001E-2</c:v>
                </c:pt>
                <c:pt idx="466">
                  <c:v>0.02</c:v>
                </c:pt>
                <c:pt idx="467">
                  <c:v>2.0400000000000001E-2</c:v>
                </c:pt>
                <c:pt idx="468">
                  <c:v>2.0400000000000001E-2</c:v>
                </c:pt>
                <c:pt idx="469">
                  <c:v>2.06E-2</c:v>
                </c:pt>
                <c:pt idx="470">
                  <c:v>2.0099999999999996E-2</c:v>
                </c:pt>
                <c:pt idx="471">
                  <c:v>1.9599999999999999E-2</c:v>
                </c:pt>
                <c:pt idx="472">
                  <c:v>2.0099999999999996E-2</c:v>
                </c:pt>
                <c:pt idx="473">
                  <c:v>1.9699999999999999E-2</c:v>
                </c:pt>
                <c:pt idx="474">
                  <c:v>1.9400000000000001E-2</c:v>
                </c:pt>
                <c:pt idx="475">
                  <c:v>1.89E-2</c:v>
                </c:pt>
                <c:pt idx="476">
                  <c:v>1.9699999999999999E-2</c:v>
                </c:pt>
                <c:pt idx="477">
                  <c:v>1.9699999999999999E-2</c:v>
                </c:pt>
                <c:pt idx="478">
                  <c:v>0.02</c:v>
                </c:pt>
                <c:pt idx="479">
                  <c:v>2.0799999999999999E-2</c:v>
                </c:pt>
                <c:pt idx="480">
                  <c:v>2.1099999999999997E-2</c:v>
                </c:pt>
                <c:pt idx="481">
                  <c:v>2.0499999999999997E-2</c:v>
                </c:pt>
                <c:pt idx="482">
                  <c:v>2.0400000000000001E-2</c:v>
                </c:pt>
                <c:pt idx="483">
                  <c:v>2.0799999999999999E-2</c:v>
                </c:pt>
                <c:pt idx="484">
                  <c:v>2.0199999999999999E-2</c:v>
                </c:pt>
                <c:pt idx="485">
                  <c:v>1.9900000000000001E-2</c:v>
                </c:pt>
                <c:pt idx="486">
                  <c:v>2.07E-2</c:v>
                </c:pt>
                <c:pt idx="487">
                  <c:v>2.0299999999999999E-2</c:v>
                </c:pt>
                <c:pt idx="488">
                  <c:v>1.9599999999999999E-2</c:v>
                </c:pt>
                <c:pt idx="489">
                  <c:v>1.9199999999999998E-2</c:v>
                </c:pt>
                <c:pt idx="490">
                  <c:v>1.9199999999999998E-2</c:v>
                </c:pt>
                <c:pt idx="491">
                  <c:v>1.8600000000000002E-2</c:v>
                </c:pt>
                <c:pt idx="492">
                  <c:v>1.8200000000000001E-2</c:v>
                </c:pt>
                <c:pt idx="493">
                  <c:v>1.9400000000000001E-2</c:v>
                </c:pt>
                <c:pt idx="494">
                  <c:v>1.9799999999999998E-2</c:v>
                </c:pt>
                <c:pt idx="495">
                  <c:v>1.9699999999999999E-2</c:v>
                </c:pt>
                <c:pt idx="496">
                  <c:v>2.0299999999999999E-2</c:v>
                </c:pt>
                <c:pt idx="497">
                  <c:v>2.0199999999999999E-2</c:v>
                </c:pt>
                <c:pt idx="498">
                  <c:v>1.9299999999999998E-2</c:v>
                </c:pt>
                <c:pt idx="499">
                  <c:v>1.9099999999999999E-2</c:v>
                </c:pt>
                <c:pt idx="500">
                  <c:v>1.89E-2</c:v>
                </c:pt>
                <c:pt idx="501">
                  <c:v>1.89E-2</c:v>
                </c:pt>
                <c:pt idx="502">
                  <c:v>1.9699999999999999E-2</c:v>
                </c:pt>
                <c:pt idx="503">
                  <c:v>0.02</c:v>
                </c:pt>
                <c:pt idx="504">
                  <c:v>2.0199999999999999E-2</c:v>
                </c:pt>
                <c:pt idx="505">
                  <c:v>1.9799999999999998E-2</c:v>
                </c:pt>
                <c:pt idx="506">
                  <c:v>1.9799999999999998E-2</c:v>
                </c:pt>
                <c:pt idx="507">
                  <c:v>0.02</c:v>
                </c:pt>
                <c:pt idx="508">
                  <c:v>1.9299999999999998E-2</c:v>
                </c:pt>
                <c:pt idx="509">
                  <c:v>1.9400000000000001E-2</c:v>
                </c:pt>
                <c:pt idx="510">
                  <c:v>1.89E-2</c:v>
                </c:pt>
                <c:pt idx="511">
                  <c:v>1.89E-2</c:v>
                </c:pt>
                <c:pt idx="512">
                  <c:v>1.8700000000000001E-2</c:v>
                </c:pt>
                <c:pt idx="513">
                  <c:v>1.9199999999999998E-2</c:v>
                </c:pt>
                <c:pt idx="514">
                  <c:v>2.0099999999999996E-2</c:v>
                </c:pt>
                <c:pt idx="515">
                  <c:v>2.0499999999999997E-2</c:v>
                </c:pt>
                <c:pt idx="516">
                  <c:v>2.0899999999999998E-2</c:v>
                </c:pt>
                <c:pt idx="517">
                  <c:v>2.0799999999999999E-2</c:v>
                </c:pt>
                <c:pt idx="518">
                  <c:v>2.0099999999999996E-2</c:v>
                </c:pt>
                <c:pt idx="519">
                  <c:v>1.9599999999999999E-2</c:v>
                </c:pt>
                <c:pt idx="520">
                  <c:v>1.9299999999999998E-2</c:v>
                </c:pt>
                <c:pt idx="521">
                  <c:v>1.8700000000000001E-2</c:v>
                </c:pt>
                <c:pt idx="522">
                  <c:v>1.83E-2</c:v>
                </c:pt>
                <c:pt idx="523">
                  <c:v>1.8700000000000001E-2</c:v>
                </c:pt>
                <c:pt idx="524">
                  <c:v>1.8600000000000002E-2</c:v>
                </c:pt>
                <c:pt idx="525">
                  <c:v>1.9699999999999999E-2</c:v>
                </c:pt>
                <c:pt idx="526">
                  <c:v>1.9299999999999998E-2</c:v>
                </c:pt>
                <c:pt idx="527">
                  <c:v>0.02</c:v>
                </c:pt>
                <c:pt idx="528">
                  <c:v>2.0099999999999996E-2</c:v>
                </c:pt>
                <c:pt idx="529">
                  <c:v>2.0400000000000001E-2</c:v>
                </c:pt>
                <c:pt idx="530">
                  <c:v>1.9599999999999999E-2</c:v>
                </c:pt>
                <c:pt idx="531">
                  <c:v>1.9900000000000001E-2</c:v>
                </c:pt>
                <c:pt idx="532">
                  <c:v>1.9199999999999998E-2</c:v>
                </c:pt>
                <c:pt idx="533">
                  <c:v>1.9299999999999998E-2</c:v>
                </c:pt>
                <c:pt idx="534">
                  <c:v>1.9900000000000001E-2</c:v>
                </c:pt>
                <c:pt idx="535">
                  <c:v>2.0099999999999996E-2</c:v>
                </c:pt>
                <c:pt idx="536">
                  <c:v>2.0099999999999996E-2</c:v>
                </c:pt>
                <c:pt idx="537">
                  <c:v>2.0499999999999997E-2</c:v>
                </c:pt>
                <c:pt idx="538">
                  <c:v>2.0099999999999996E-2</c:v>
                </c:pt>
                <c:pt idx="539">
                  <c:v>1.9900000000000001E-2</c:v>
                </c:pt>
                <c:pt idx="540">
                  <c:v>1.9799999999999998E-2</c:v>
                </c:pt>
                <c:pt idx="541">
                  <c:v>1.9199999999999998E-2</c:v>
                </c:pt>
                <c:pt idx="542">
                  <c:v>1.9400000000000001E-2</c:v>
                </c:pt>
                <c:pt idx="543">
                  <c:v>1.9799999999999998E-2</c:v>
                </c:pt>
                <c:pt idx="544">
                  <c:v>2.0299999999999999E-2</c:v>
                </c:pt>
                <c:pt idx="545">
                  <c:v>1.9900000000000001E-2</c:v>
                </c:pt>
                <c:pt idx="546">
                  <c:v>0.02</c:v>
                </c:pt>
                <c:pt idx="547">
                  <c:v>1.9599999999999999E-2</c:v>
                </c:pt>
                <c:pt idx="548">
                  <c:v>1.9799999999999998E-2</c:v>
                </c:pt>
                <c:pt idx="549">
                  <c:v>2.0299999999999999E-2</c:v>
                </c:pt>
                <c:pt idx="550">
                  <c:v>2.0400000000000001E-2</c:v>
                </c:pt>
                <c:pt idx="551">
                  <c:v>2.0400000000000001E-2</c:v>
                </c:pt>
                <c:pt idx="552">
                  <c:v>2.1400000000000002E-2</c:v>
                </c:pt>
                <c:pt idx="553">
                  <c:v>2.29E-2</c:v>
                </c:pt>
                <c:pt idx="554">
                  <c:v>2.29E-2</c:v>
                </c:pt>
                <c:pt idx="555">
                  <c:v>2.3099999999999999E-2</c:v>
                </c:pt>
                <c:pt idx="556">
                  <c:v>2.3900000000000001E-2</c:v>
                </c:pt>
                <c:pt idx="557">
                  <c:v>2.3799999999999998E-2</c:v>
                </c:pt>
                <c:pt idx="558">
                  <c:v>2.3099999999999999E-2</c:v>
                </c:pt>
                <c:pt idx="559">
                  <c:v>2.29E-2</c:v>
                </c:pt>
                <c:pt idx="560">
                  <c:v>2.2499999999999999E-2</c:v>
                </c:pt>
                <c:pt idx="561">
                  <c:v>2.2599999999999999E-2</c:v>
                </c:pt>
                <c:pt idx="562">
                  <c:v>2.2000000000000002E-2</c:v>
                </c:pt>
                <c:pt idx="563">
                  <c:v>2.2099999999999998E-2</c:v>
                </c:pt>
                <c:pt idx="564">
                  <c:v>2.18E-2</c:v>
                </c:pt>
                <c:pt idx="565">
                  <c:v>2.23E-2</c:v>
                </c:pt>
                <c:pt idx="566">
                  <c:v>2.2200000000000001E-2</c:v>
                </c:pt>
                <c:pt idx="567">
                  <c:v>2.3E-2</c:v>
                </c:pt>
                <c:pt idx="568">
                  <c:v>2.2499999999999999E-2</c:v>
                </c:pt>
                <c:pt idx="569">
                  <c:v>2.1899999999999999E-2</c:v>
                </c:pt>
                <c:pt idx="570">
                  <c:v>2.07E-2</c:v>
                </c:pt>
                <c:pt idx="571">
                  <c:v>2.06E-2</c:v>
                </c:pt>
                <c:pt idx="572">
                  <c:v>2.0099999999999996E-2</c:v>
                </c:pt>
                <c:pt idx="573">
                  <c:v>2.0499999999999997E-2</c:v>
                </c:pt>
                <c:pt idx="574">
                  <c:v>2.0799999999999999E-2</c:v>
                </c:pt>
                <c:pt idx="575">
                  <c:v>2.0199999999999999E-2</c:v>
                </c:pt>
                <c:pt idx="576">
                  <c:v>0.02</c:v>
                </c:pt>
                <c:pt idx="577">
                  <c:v>2.0299999999999999E-2</c:v>
                </c:pt>
                <c:pt idx="578">
                  <c:v>0.02</c:v>
                </c:pt>
                <c:pt idx="579">
                  <c:v>1.9799999999999998E-2</c:v>
                </c:pt>
                <c:pt idx="580">
                  <c:v>1.9900000000000001E-2</c:v>
                </c:pt>
                <c:pt idx="581">
                  <c:v>1.9599999999999999E-2</c:v>
                </c:pt>
                <c:pt idx="582">
                  <c:v>0.02</c:v>
                </c:pt>
                <c:pt idx="583">
                  <c:v>2.0099999999999996E-2</c:v>
                </c:pt>
                <c:pt idx="584">
                  <c:v>1.9799999999999998E-2</c:v>
                </c:pt>
                <c:pt idx="585">
                  <c:v>1.9599999999999999E-2</c:v>
                </c:pt>
                <c:pt idx="586">
                  <c:v>1.95E-2</c:v>
                </c:pt>
                <c:pt idx="587">
                  <c:v>1.9799999999999998E-2</c:v>
                </c:pt>
                <c:pt idx="588">
                  <c:v>1.9599999999999999E-2</c:v>
                </c:pt>
                <c:pt idx="589">
                  <c:v>1.9599999999999999E-2</c:v>
                </c:pt>
                <c:pt idx="590">
                  <c:v>1.9099999999999999E-2</c:v>
                </c:pt>
                <c:pt idx="591">
                  <c:v>1.9199999999999998E-2</c:v>
                </c:pt>
                <c:pt idx="592">
                  <c:v>1.8799999999999997E-2</c:v>
                </c:pt>
                <c:pt idx="593">
                  <c:v>1.8700000000000001E-2</c:v>
                </c:pt>
                <c:pt idx="594">
                  <c:v>1.89E-2</c:v>
                </c:pt>
                <c:pt idx="595">
                  <c:v>1.84E-2</c:v>
                </c:pt>
                <c:pt idx="596">
                  <c:v>1.78E-2</c:v>
                </c:pt>
                <c:pt idx="597">
                  <c:v>1.7600000000000001E-2</c:v>
                </c:pt>
                <c:pt idx="598">
                  <c:v>1.7600000000000001E-2</c:v>
                </c:pt>
                <c:pt idx="599">
                  <c:v>1.7000000000000001E-2</c:v>
                </c:pt>
                <c:pt idx="600">
                  <c:v>1.7100000000000001E-2</c:v>
                </c:pt>
                <c:pt idx="601">
                  <c:v>1.7500000000000002E-2</c:v>
                </c:pt>
                <c:pt idx="602">
                  <c:v>1.7899999999999999E-2</c:v>
                </c:pt>
                <c:pt idx="603">
                  <c:v>1.7299999999999999E-2</c:v>
                </c:pt>
                <c:pt idx="604">
                  <c:v>1.77E-2</c:v>
                </c:pt>
                <c:pt idx="605">
                  <c:v>1.7500000000000002E-2</c:v>
                </c:pt>
                <c:pt idx="606">
                  <c:v>1.7500000000000002E-2</c:v>
                </c:pt>
                <c:pt idx="607">
                  <c:v>1.7399999999999999E-2</c:v>
                </c:pt>
                <c:pt idx="608">
                  <c:v>1.6299999999999999E-2</c:v>
                </c:pt>
                <c:pt idx="609">
                  <c:v>1.5900000000000001E-2</c:v>
                </c:pt>
                <c:pt idx="610">
                  <c:v>1.47E-2</c:v>
                </c:pt>
                <c:pt idx="611">
                  <c:v>1.5300000000000001E-2</c:v>
                </c:pt>
                <c:pt idx="612">
                  <c:v>1.5700000000000002E-2</c:v>
                </c:pt>
                <c:pt idx="613">
                  <c:v>1.66E-2</c:v>
                </c:pt>
                <c:pt idx="614">
                  <c:v>1.66E-2</c:v>
                </c:pt>
                <c:pt idx="615">
                  <c:v>1.6500000000000001E-2</c:v>
                </c:pt>
                <c:pt idx="616">
                  <c:v>1.6E-2</c:v>
                </c:pt>
                <c:pt idx="617">
                  <c:v>1.67E-2</c:v>
                </c:pt>
                <c:pt idx="618">
                  <c:v>1.61E-2</c:v>
                </c:pt>
                <c:pt idx="619">
                  <c:v>1.6399999999999998E-2</c:v>
                </c:pt>
                <c:pt idx="620">
                  <c:v>1.6E-2</c:v>
                </c:pt>
                <c:pt idx="621">
                  <c:v>1.5900000000000001E-2</c:v>
                </c:pt>
                <c:pt idx="622">
                  <c:v>1.6399999999999998E-2</c:v>
                </c:pt>
                <c:pt idx="623">
                  <c:v>1.6500000000000001E-2</c:v>
                </c:pt>
                <c:pt idx="624">
                  <c:v>1.6299999999999999E-2</c:v>
                </c:pt>
                <c:pt idx="625">
                  <c:v>1.6899999999999998E-2</c:v>
                </c:pt>
                <c:pt idx="626">
                  <c:v>1.6299999999999999E-2</c:v>
                </c:pt>
                <c:pt idx="627">
                  <c:v>1.66E-2</c:v>
                </c:pt>
                <c:pt idx="628">
                  <c:v>1.6500000000000001E-2</c:v>
                </c:pt>
                <c:pt idx="629">
                  <c:v>1.6E-2</c:v>
                </c:pt>
                <c:pt idx="630">
                  <c:v>1.67E-2</c:v>
                </c:pt>
                <c:pt idx="631">
                  <c:v>1.61E-2</c:v>
                </c:pt>
                <c:pt idx="632">
                  <c:v>1.6500000000000001E-2</c:v>
                </c:pt>
                <c:pt idx="633">
                  <c:v>1.6500000000000001E-2</c:v>
                </c:pt>
                <c:pt idx="634">
                  <c:v>1.6200000000000003E-2</c:v>
                </c:pt>
                <c:pt idx="635">
                  <c:v>1.5700000000000002E-2</c:v>
                </c:pt>
                <c:pt idx="636">
                  <c:v>1.5300000000000001E-2</c:v>
                </c:pt>
                <c:pt idx="637">
                  <c:v>1.5300000000000001E-2</c:v>
                </c:pt>
                <c:pt idx="638">
                  <c:v>1.54E-2</c:v>
                </c:pt>
                <c:pt idx="639">
                  <c:v>1.4999999999999999E-2</c:v>
                </c:pt>
                <c:pt idx="640">
                  <c:v>1.52E-2</c:v>
                </c:pt>
                <c:pt idx="641">
                  <c:v>1.4999999999999999E-2</c:v>
                </c:pt>
                <c:pt idx="642">
                  <c:v>1.5300000000000001E-2</c:v>
                </c:pt>
                <c:pt idx="643">
                  <c:v>1.52E-2</c:v>
                </c:pt>
                <c:pt idx="644">
                  <c:v>1.54E-2</c:v>
                </c:pt>
                <c:pt idx="645">
                  <c:v>1.49E-2</c:v>
                </c:pt>
                <c:pt idx="646">
                  <c:v>1.47E-2</c:v>
                </c:pt>
                <c:pt idx="647">
                  <c:v>1.44E-2</c:v>
                </c:pt>
                <c:pt idx="648">
                  <c:v>1.43E-2</c:v>
                </c:pt>
                <c:pt idx="649">
                  <c:v>1.4499999999999999E-2</c:v>
                </c:pt>
                <c:pt idx="650">
                  <c:v>1.5800000000000002E-2</c:v>
                </c:pt>
                <c:pt idx="651">
                  <c:v>1.5300000000000001E-2</c:v>
                </c:pt>
                <c:pt idx="652">
                  <c:v>1.5100000000000001E-2</c:v>
                </c:pt>
                <c:pt idx="653">
                  <c:v>1.5600000000000001E-2</c:v>
                </c:pt>
                <c:pt idx="654">
                  <c:v>1.5100000000000001E-2</c:v>
                </c:pt>
                <c:pt idx="655">
                  <c:v>1.6E-2</c:v>
                </c:pt>
                <c:pt idx="656">
                  <c:v>1.5900000000000001E-2</c:v>
                </c:pt>
                <c:pt idx="657">
                  <c:v>1.66E-2</c:v>
                </c:pt>
                <c:pt idx="658">
                  <c:v>1.6799999999999999E-2</c:v>
                </c:pt>
                <c:pt idx="659">
                  <c:v>1.6899999999999998E-2</c:v>
                </c:pt>
                <c:pt idx="660">
                  <c:v>1.6500000000000001E-2</c:v>
                </c:pt>
                <c:pt idx="661">
                  <c:v>1.6500000000000001E-2</c:v>
                </c:pt>
                <c:pt idx="662">
                  <c:v>1.7299999999999999E-2</c:v>
                </c:pt>
                <c:pt idx="663">
                  <c:v>1.8000000000000002E-2</c:v>
                </c:pt>
                <c:pt idx="664">
                  <c:v>1.83E-2</c:v>
                </c:pt>
                <c:pt idx="665">
                  <c:v>1.8100000000000002E-2</c:v>
                </c:pt>
                <c:pt idx="666">
                  <c:v>1.8200000000000001E-2</c:v>
                </c:pt>
                <c:pt idx="667">
                  <c:v>1.8000000000000002E-2</c:v>
                </c:pt>
                <c:pt idx="668">
                  <c:v>1.7100000000000001E-2</c:v>
                </c:pt>
                <c:pt idx="669">
                  <c:v>1.6799999999999999E-2</c:v>
                </c:pt>
                <c:pt idx="670">
                  <c:v>1.6799999999999999E-2</c:v>
                </c:pt>
                <c:pt idx="671">
                  <c:v>1.6500000000000001E-2</c:v>
                </c:pt>
                <c:pt idx="672">
                  <c:v>1.6399999999999998E-2</c:v>
                </c:pt>
                <c:pt idx="673">
                  <c:v>1.66E-2</c:v>
                </c:pt>
                <c:pt idx="674">
                  <c:v>1.6299999999999999E-2</c:v>
                </c:pt>
                <c:pt idx="675">
                  <c:v>1.5700000000000002E-2</c:v>
                </c:pt>
                <c:pt idx="676">
                  <c:v>1.5700000000000002E-2</c:v>
                </c:pt>
                <c:pt idx="677">
                  <c:v>1.5900000000000001E-2</c:v>
                </c:pt>
                <c:pt idx="678">
                  <c:v>1.6E-2</c:v>
                </c:pt>
                <c:pt idx="679">
                  <c:v>1.6799999999999999E-2</c:v>
                </c:pt>
                <c:pt idx="680">
                  <c:v>1.67E-2</c:v>
                </c:pt>
                <c:pt idx="681">
                  <c:v>1.6799999999999999E-2</c:v>
                </c:pt>
                <c:pt idx="682">
                  <c:v>1.7000000000000001E-2</c:v>
                </c:pt>
                <c:pt idx="683">
                  <c:v>1.77E-2</c:v>
                </c:pt>
                <c:pt idx="684">
                  <c:v>1.7500000000000002E-2</c:v>
                </c:pt>
                <c:pt idx="685">
                  <c:v>1.8799999999999997E-2</c:v>
                </c:pt>
                <c:pt idx="686">
                  <c:v>1.8500000000000003E-2</c:v>
                </c:pt>
                <c:pt idx="687">
                  <c:v>1.8200000000000001E-2</c:v>
                </c:pt>
                <c:pt idx="688">
                  <c:v>1.7899999999999999E-2</c:v>
                </c:pt>
                <c:pt idx="689">
                  <c:v>1.8000000000000002E-2</c:v>
                </c:pt>
                <c:pt idx="690">
                  <c:v>1.77E-2</c:v>
                </c:pt>
                <c:pt idx="691">
                  <c:v>1.7399999999999999E-2</c:v>
                </c:pt>
                <c:pt idx="692">
                  <c:v>1.7000000000000001E-2</c:v>
                </c:pt>
                <c:pt idx="693">
                  <c:v>1.6399999999999998E-2</c:v>
                </c:pt>
                <c:pt idx="694">
                  <c:v>1.66E-2</c:v>
                </c:pt>
                <c:pt idx="695">
                  <c:v>1.6500000000000001E-2</c:v>
                </c:pt>
                <c:pt idx="696">
                  <c:v>1.6399999999999998E-2</c:v>
                </c:pt>
                <c:pt idx="697">
                  <c:v>1.6399999999999998E-2</c:v>
                </c:pt>
                <c:pt idx="698">
                  <c:v>1.6399999999999998E-2</c:v>
                </c:pt>
                <c:pt idx="699">
                  <c:v>1.7000000000000001E-2</c:v>
                </c:pt>
                <c:pt idx="700">
                  <c:v>1.7500000000000002E-2</c:v>
                </c:pt>
                <c:pt idx="701">
                  <c:v>1.7500000000000002E-2</c:v>
                </c:pt>
                <c:pt idx="702">
                  <c:v>1.7399999999999999E-2</c:v>
                </c:pt>
                <c:pt idx="703">
                  <c:v>1.72E-2</c:v>
                </c:pt>
                <c:pt idx="704">
                  <c:v>1.7000000000000001E-2</c:v>
                </c:pt>
                <c:pt idx="705">
                  <c:v>1.6899999999999998E-2</c:v>
                </c:pt>
                <c:pt idx="706">
                  <c:v>1.7000000000000001E-2</c:v>
                </c:pt>
                <c:pt idx="707">
                  <c:v>1.7500000000000002E-2</c:v>
                </c:pt>
                <c:pt idx="708">
                  <c:v>1.83E-2</c:v>
                </c:pt>
                <c:pt idx="709">
                  <c:v>1.8600000000000002E-2</c:v>
                </c:pt>
                <c:pt idx="710">
                  <c:v>1.7899999999999999E-2</c:v>
                </c:pt>
                <c:pt idx="711">
                  <c:v>1.83E-2</c:v>
                </c:pt>
                <c:pt idx="712">
                  <c:v>1.7899999999999999E-2</c:v>
                </c:pt>
                <c:pt idx="713">
                  <c:v>1.8000000000000002E-2</c:v>
                </c:pt>
                <c:pt idx="714">
                  <c:v>1.8600000000000002E-2</c:v>
                </c:pt>
                <c:pt idx="715">
                  <c:v>1.78E-2</c:v>
                </c:pt>
                <c:pt idx="716">
                  <c:v>1.7399999999999999E-2</c:v>
                </c:pt>
                <c:pt idx="717">
                  <c:v>1.7399999999999999E-2</c:v>
                </c:pt>
                <c:pt idx="718">
                  <c:v>1.72E-2</c:v>
                </c:pt>
                <c:pt idx="719">
                  <c:v>1.7500000000000002E-2</c:v>
                </c:pt>
                <c:pt idx="720">
                  <c:v>1.7500000000000002E-2</c:v>
                </c:pt>
                <c:pt idx="721">
                  <c:v>1.72E-2</c:v>
                </c:pt>
                <c:pt idx="722">
                  <c:v>1.78E-2</c:v>
                </c:pt>
                <c:pt idx="723">
                  <c:v>1.6799999999999999E-2</c:v>
                </c:pt>
                <c:pt idx="724">
                  <c:v>1.6200000000000003E-2</c:v>
                </c:pt>
                <c:pt idx="725">
                  <c:v>1.61E-2</c:v>
                </c:pt>
                <c:pt idx="726">
                  <c:v>1.61E-2</c:v>
                </c:pt>
                <c:pt idx="727">
                  <c:v>1.5900000000000001E-2</c:v>
                </c:pt>
                <c:pt idx="728">
                  <c:v>1.5900000000000001E-2</c:v>
                </c:pt>
                <c:pt idx="729">
                  <c:v>1.5800000000000002E-2</c:v>
                </c:pt>
                <c:pt idx="730">
                  <c:v>1.5800000000000002E-2</c:v>
                </c:pt>
                <c:pt idx="731">
                  <c:v>1.61E-2</c:v>
                </c:pt>
                <c:pt idx="732">
                  <c:v>1.66E-2</c:v>
                </c:pt>
                <c:pt idx="733">
                  <c:v>1.6899999999999998E-2</c:v>
                </c:pt>
                <c:pt idx="734">
                  <c:v>1.6899999999999998E-2</c:v>
                </c:pt>
                <c:pt idx="735">
                  <c:v>1.7000000000000001E-2</c:v>
                </c:pt>
                <c:pt idx="736">
                  <c:v>1.66E-2</c:v>
                </c:pt>
                <c:pt idx="737">
                  <c:v>1.6399999999999998E-2</c:v>
                </c:pt>
                <c:pt idx="738">
                  <c:v>1.6299999999999999E-2</c:v>
                </c:pt>
                <c:pt idx="739">
                  <c:v>1.6200000000000003E-2</c:v>
                </c:pt>
                <c:pt idx="740">
                  <c:v>1.6200000000000003E-2</c:v>
                </c:pt>
                <c:pt idx="741">
                  <c:v>1.6299999999999999E-2</c:v>
                </c:pt>
                <c:pt idx="742">
                  <c:v>1.6200000000000003E-2</c:v>
                </c:pt>
                <c:pt idx="743">
                  <c:v>1.6E-2</c:v>
                </c:pt>
                <c:pt idx="744">
                  <c:v>1.5900000000000001E-2</c:v>
                </c:pt>
                <c:pt idx="745">
                  <c:v>1.6399999999999998E-2</c:v>
                </c:pt>
                <c:pt idx="746">
                  <c:v>1.6299999999999999E-2</c:v>
                </c:pt>
                <c:pt idx="747">
                  <c:v>1.66E-2</c:v>
                </c:pt>
                <c:pt idx="748">
                  <c:v>1.72E-2</c:v>
                </c:pt>
                <c:pt idx="749">
                  <c:v>1.7399999999999999E-2</c:v>
                </c:pt>
                <c:pt idx="750">
                  <c:v>1.72E-2</c:v>
                </c:pt>
                <c:pt idx="751">
                  <c:v>1.78E-2</c:v>
                </c:pt>
                <c:pt idx="752">
                  <c:v>1.84E-2</c:v>
                </c:pt>
                <c:pt idx="753">
                  <c:v>1.8200000000000001E-2</c:v>
                </c:pt>
                <c:pt idx="754">
                  <c:v>1.8100000000000002E-2</c:v>
                </c:pt>
                <c:pt idx="755">
                  <c:v>1.77E-2</c:v>
                </c:pt>
                <c:pt idx="756">
                  <c:v>1.7899999999999999E-2</c:v>
                </c:pt>
                <c:pt idx="757">
                  <c:v>1.7899999999999999E-2</c:v>
                </c:pt>
                <c:pt idx="758">
                  <c:v>1.77E-2</c:v>
                </c:pt>
                <c:pt idx="759">
                  <c:v>1.7399999999999999E-2</c:v>
                </c:pt>
                <c:pt idx="760">
                  <c:v>1.7299999999999999E-2</c:v>
                </c:pt>
                <c:pt idx="761">
                  <c:v>1.78E-2</c:v>
                </c:pt>
                <c:pt idx="762">
                  <c:v>1.78E-2</c:v>
                </c:pt>
                <c:pt idx="763">
                  <c:v>1.8600000000000002E-2</c:v>
                </c:pt>
                <c:pt idx="764">
                  <c:v>1.9199999999999998E-2</c:v>
                </c:pt>
                <c:pt idx="765">
                  <c:v>1.9299999999999998E-2</c:v>
                </c:pt>
                <c:pt idx="766">
                  <c:v>1.9199999999999998E-2</c:v>
                </c:pt>
                <c:pt idx="767">
                  <c:v>1.89E-2</c:v>
                </c:pt>
                <c:pt idx="768">
                  <c:v>1.8799999999999997E-2</c:v>
                </c:pt>
                <c:pt idx="769">
                  <c:v>1.9099999999999999E-2</c:v>
                </c:pt>
                <c:pt idx="770">
                  <c:v>1.89E-2</c:v>
                </c:pt>
                <c:pt idx="771">
                  <c:v>1.89E-2</c:v>
                </c:pt>
                <c:pt idx="772">
                  <c:v>1.8600000000000002E-2</c:v>
                </c:pt>
                <c:pt idx="773">
                  <c:v>1.84E-2</c:v>
                </c:pt>
                <c:pt idx="774">
                  <c:v>1.89E-2</c:v>
                </c:pt>
                <c:pt idx="775">
                  <c:v>1.8700000000000001E-2</c:v>
                </c:pt>
                <c:pt idx="776">
                  <c:v>1.8700000000000001E-2</c:v>
                </c:pt>
                <c:pt idx="777">
                  <c:v>1.8600000000000002E-2</c:v>
                </c:pt>
                <c:pt idx="778">
                  <c:v>1.8600000000000002E-2</c:v>
                </c:pt>
                <c:pt idx="779">
                  <c:v>1.8799999999999997E-2</c:v>
                </c:pt>
                <c:pt idx="780">
                  <c:v>1.9799999999999998E-2</c:v>
                </c:pt>
                <c:pt idx="781">
                  <c:v>0.02</c:v>
                </c:pt>
                <c:pt idx="782">
                  <c:v>2.0299999999999999E-2</c:v>
                </c:pt>
                <c:pt idx="783">
                  <c:v>2.0299999999999999E-2</c:v>
                </c:pt>
                <c:pt idx="784">
                  <c:v>2.0199999999999999E-2</c:v>
                </c:pt>
                <c:pt idx="785">
                  <c:v>2.0400000000000001E-2</c:v>
                </c:pt>
                <c:pt idx="786">
                  <c:v>0.02</c:v>
                </c:pt>
                <c:pt idx="787">
                  <c:v>2.0400000000000001E-2</c:v>
                </c:pt>
                <c:pt idx="788">
                  <c:v>0.02</c:v>
                </c:pt>
                <c:pt idx="789">
                  <c:v>1.9900000000000001E-2</c:v>
                </c:pt>
                <c:pt idx="790">
                  <c:v>1.9900000000000001E-2</c:v>
                </c:pt>
                <c:pt idx="791">
                  <c:v>1.9900000000000001E-2</c:v>
                </c:pt>
                <c:pt idx="792">
                  <c:v>2.0199999999999999E-2</c:v>
                </c:pt>
                <c:pt idx="793">
                  <c:v>2.0499999999999997E-2</c:v>
                </c:pt>
                <c:pt idx="794">
                  <c:v>0.02</c:v>
                </c:pt>
                <c:pt idx="795">
                  <c:v>2.0099999999999996E-2</c:v>
                </c:pt>
                <c:pt idx="796">
                  <c:v>2.0099999999999996E-2</c:v>
                </c:pt>
                <c:pt idx="797">
                  <c:v>2.0299999999999999E-2</c:v>
                </c:pt>
                <c:pt idx="798">
                  <c:v>2.0199999999999999E-2</c:v>
                </c:pt>
                <c:pt idx="799">
                  <c:v>1.9900000000000001E-2</c:v>
                </c:pt>
                <c:pt idx="800">
                  <c:v>1.9699999999999999E-2</c:v>
                </c:pt>
                <c:pt idx="801">
                  <c:v>1.8799999999999997E-2</c:v>
                </c:pt>
                <c:pt idx="802">
                  <c:v>1.8799999999999997E-2</c:v>
                </c:pt>
                <c:pt idx="803">
                  <c:v>1.9099999999999999E-2</c:v>
                </c:pt>
                <c:pt idx="804">
                  <c:v>1.89E-2</c:v>
                </c:pt>
                <c:pt idx="805">
                  <c:v>1.8600000000000002E-2</c:v>
                </c:pt>
                <c:pt idx="806">
                  <c:v>1.8799999999999997E-2</c:v>
                </c:pt>
                <c:pt idx="807">
                  <c:v>1.9E-2</c:v>
                </c:pt>
                <c:pt idx="808">
                  <c:v>1.95E-2</c:v>
                </c:pt>
                <c:pt idx="809">
                  <c:v>0.02</c:v>
                </c:pt>
                <c:pt idx="810">
                  <c:v>2.06E-2</c:v>
                </c:pt>
                <c:pt idx="811">
                  <c:v>2.07E-2</c:v>
                </c:pt>
                <c:pt idx="812">
                  <c:v>2.0299999999999999E-2</c:v>
                </c:pt>
                <c:pt idx="813">
                  <c:v>2.0400000000000001E-2</c:v>
                </c:pt>
                <c:pt idx="814">
                  <c:v>2.0400000000000001E-2</c:v>
                </c:pt>
                <c:pt idx="815">
                  <c:v>2.0099999999999996E-2</c:v>
                </c:pt>
                <c:pt idx="816">
                  <c:v>1.9599999999999999E-2</c:v>
                </c:pt>
                <c:pt idx="817">
                  <c:v>1.9199999999999998E-2</c:v>
                </c:pt>
                <c:pt idx="818">
                  <c:v>1.9599999999999999E-2</c:v>
                </c:pt>
                <c:pt idx="819">
                  <c:v>1.95E-2</c:v>
                </c:pt>
                <c:pt idx="820">
                  <c:v>1.9299999999999998E-2</c:v>
                </c:pt>
                <c:pt idx="821">
                  <c:v>1.9299999999999998E-2</c:v>
                </c:pt>
                <c:pt idx="822">
                  <c:v>1.9199999999999998E-2</c:v>
                </c:pt>
                <c:pt idx="823">
                  <c:v>1.8700000000000001E-2</c:v>
                </c:pt>
                <c:pt idx="824">
                  <c:v>1.8700000000000001E-2</c:v>
                </c:pt>
                <c:pt idx="825">
                  <c:v>1.8700000000000001E-2</c:v>
                </c:pt>
                <c:pt idx="826">
                  <c:v>1.8600000000000002E-2</c:v>
                </c:pt>
                <c:pt idx="827">
                  <c:v>1.8799999999999997E-2</c:v>
                </c:pt>
                <c:pt idx="828">
                  <c:v>1.83E-2</c:v>
                </c:pt>
                <c:pt idx="829">
                  <c:v>1.78E-2</c:v>
                </c:pt>
                <c:pt idx="830">
                  <c:v>1.72E-2</c:v>
                </c:pt>
                <c:pt idx="831">
                  <c:v>1.7600000000000001E-2</c:v>
                </c:pt>
                <c:pt idx="832">
                  <c:v>1.78E-2</c:v>
                </c:pt>
                <c:pt idx="833">
                  <c:v>1.84E-2</c:v>
                </c:pt>
                <c:pt idx="834">
                  <c:v>1.8200000000000001E-2</c:v>
                </c:pt>
                <c:pt idx="835">
                  <c:v>1.7500000000000002E-2</c:v>
                </c:pt>
                <c:pt idx="836">
                  <c:v>1.72E-2</c:v>
                </c:pt>
                <c:pt idx="837">
                  <c:v>1.7500000000000002E-2</c:v>
                </c:pt>
                <c:pt idx="838">
                  <c:v>1.7299999999999999E-2</c:v>
                </c:pt>
                <c:pt idx="839">
                  <c:v>1.72E-2</c:v>
                </c:pt>
                <c:pt idx="840">
                  <c:v>1.7299999999999999E-2</c:v>
                </c:pt>
                <c:pt idx="841">
                  <c:v>1.72E-2</c:v>
                </c:pt>
                <c:pt idx="842">
                  <c:v>1.7399999999999999E-2</c:v>
                </c:pt>
                <c:pt idx="843">
                  <c:v>1.7299999999999999E-2</c:v>
                </c:pt>
                <c:pt idx="844">
                  <c:v>1.7399999999999999E-2</c:v>
                </c:pt>
                <c:pt idx="845">
                  <c:v>1.7000000000000001E-2</c:v>
                </c:pt>
                <c:pt idx="846">
                  <c:v>1.7000000000000001E-2</c:v>
                </c:pt>
                <c:pt idx="847">
                  <c:v>1.7000000000000001E-2</c:v>
                </c:pt>
                <c:pt idx="848">
                  <c:v>1.66E-2</c:v>
                </c:pt>
                <c:pt idx="849">
                  <c:v>1.66E-2</c:v>
                </c:pt>
                <c:pt idx="850">
                  <c:v>1.78E-2</c:v>
                </c:pt>
                <c:pt idx="851">
                  <c:v>1.8000000000000002E-2</c:v>
                </c:pt>
                <c:pt idx="852">
                  <c:v>1.8200000000000001E-2</c:v>
                </c:pt>
                <c:pt idx="853">
                  <c:v>1.8100000000000002E-2</c:v>
                </c:pt>
                <c:pt idx="854">
                  <c:v>1.8100000000000002E-2</c:v>
                </c:pt>
                <c:pt idx="855">
                  <c:v>1.9E-2</c:v>
                </c:pt>
                <c:pt idx="856">
                  <c:v>1.9199999999999998E-2</c:v>
                </c:pt>
                <c:pt idx="857">
                  <c:v>1.9599999999999999E-2</c:v>
                </c:pt>
                <c:pt idx="858">
                  <c:v>1.9400000000000001E-2</c:v>
                </c:pt>
                <c:pt idx="859">
                  <c:v>1.8700000000000001E-2</c:v>
                </c:pt>
                <c:pt idx="860">
                  <c:v>1.95E-2</c:v>
                </c:pt>
                <c:pt idx="861">
                  <c:v>1.9699999999999999E-2</c:v>
                </c:pt>
                <c:pt idx="862">
                  <c:v>1.9400000000000001E-2</c:v>
                </c:pt>
                <c:pt idx="863">
                  <c:v>2.0299999999999999E-2</c:v>
                </c:pt>
                <c:pt idx="864">
                  <c:v>2.0199999999999999E-2</c:v>
                </c:pt>
                <c:pt idx="865">
                  <c:v>2.0099999999999996E-2</c:v>
                </c:pt>
                <c:pt idx="866">
                  <c:v>2.0099999999999996E-2</c:v>
                </c:pt>
                <c:pt idx="867">
                  <c:v>2.1499999999999998E-2</c:v>
                </c:pt>
                <c:pt idx="868">
                  <c:v>2.1299999999999999E-2</c:v>
                </c:pt>
                <c:pt idx="869">
                  <c:v>2.1299999999999999E-2</c:v>
                </c:pt>
                <c:pt idx="870">
                  <c:v>2.1600000000000001E-2</c:v>
                </c:pt>
                <c:pt idx="871">
                  <c:v>2.1299999999999999E-2</c:v>
                </c:pt>
                <c:pt idx="872">
                  <c:v>2.1400000000000002E-2</c:v>
                </c:pt>
                <c:pt idx="873">
                  <c:v>2.1000000000000001E-2</c:v>
                </c:pt>
                <c:pt idx="874">
                  <c:v>2.0799999999999999E-2</c:v>
                </c:pt>
                <c:pt idx="875">
                  <c:v>2.1700000000000001E-2</c:v>
                </c:pt>
                <c:pt idx="876">
                  <c:v>2.2200000000000001E-2</c:v>
                </c:pt>
                <c:pt idx="877">
                  <c:v>2.2000000000000002E-2</c:v>
                </c:pt>
                <c:pt idx="878">
                  <c:v>2.2499999999999999E-2</c:v>
                </c:pt>
                <c:pt idx="879">
                  <c:v>2.1899999999999999E-2</c:v>
                </c:pt>
                <c:pt idx="880">
                  <c:v>2.1400000000000002E-2</c:v>
                </c:pt>
                <c:pt idx="881">
                  <c:v>2.1899999999999999E-2</c:v>
                </c:pt>
                <c:pt idx="882">
                  <c:v>2.2000000000000002E-2</c:v>
                </c:pt>
                <c:pt idx="883">
                  <c:v>2.3300000000000001E-2</c:v>
                </c:pt>
                <c:pt idx="884">
                  <c:v>2.41E-2</c:v>
                </c:pt>
                <c:pt idx="885">
                  <c:v>2.52E-2</c:v>
                </c:pt>
                <c:pt idx="886">
                  <c:v>2.5699999999999997E-2</c:v>
                </c:pt>
                <c:pt idx="887">
                  <c:v>2.6000000000000002E-2</c:v>
                </c:pt>
                <c:pt idx="888">
                  <c:v>2.5499999999999998E-2</c:v>
                </c:pt>
                <c:pt idx="889">
                  <c:v>2.4900000000000002E-2</c:v>
                </c:pt>
                <c:pt idx="890">
                  <c:v>2.52E-2</c:v>
                </c:pt>
                <c:pt idx="891">
                  <c:v>2.5000000000000001E-2</c:v>
                </c:pt>
                <c:pt idx="892">
                  <c:v>2.4799999999999999E-2</c:v>
                </c:pt>
                <c:pt idx="893">
                  <c:v>2.52E-2</c:v>
                </c:pt>
                <c:pt idx="894">
                  <c:v>2.52E-2</c:v>
                </c:pt>
                <c:pt idx="895">
                  <c:v>2.7300000000000001E-2</c:v>
                </c:pt>
                <c:pt idx="896">
                  <c:v>2.6499999999999999E-2</c:v>
                </c:pt>
                <c:pt idx="897">
                  <c:v>2.6499999999999999E-2</c:v>
                </c:pt>
                <c:pt idx="898">
                  <c:v>2.7000000000000003E-2</c:v>
                </c:pt>
                <c:pt idx="899">
                  <c:v>2.6000000000000002E-2</c:v>
                </c:pt>
                <c:pt idx="900">
                  <c:v>2.6099999999999998E-2</c:v>
                </c:pt>
                <c:pt idx="901">
                  <c:v>2.5699999999999997E-2</c:v>
                </c:pt>
                <c:pt idx="902">
                  <c:v>2.5499999999999998E-2</c:v>
                </c:pt>
                <c:pt idx="903">
                  <c:v>2.52E-2</c:v>
                </c:pt>
                <c:pt idx="904">
                  <c:v>2.5600000000000001E-2</c:v>
                </c:pt>
                <c:pt idx="905">
                  <c:v>2.5000000000000001E-2</c:v>
                </c:pt>
                <c:pt idx="906">
                  <c:v>2.5000000000000001E-2</c:v>
                </c:pt>
                <c:pt idx="907">
                  <c:v>2.53E-2</c:v>
                </c:pt>
                <c:pt idx="908">
                  <c:v>2.6099999999999998E-2</c:v>
                </c:pt>
                <c:pt idx="909">
                  <c:v>2.6099999999999998E-2</c:v>
                </c:pt>
                <c:pt idx="910">
                  <c:v>2.58E-2</c:v>
                </c:pt>
                <c:pt idx="911">
                  <c:v>2.6099999999999998E-2</c:v>
                </c:pt>
                <c:pt idx="912">
                  <c:v>2.63E-2</c:v>
                </c:pt>
                <c:pt idx="913">
                  <c:v>2.6000000000000002E-2</c:v>
                </c:pt>
                <c:pt idx="914">
                  <c:v>2.7400000000000001E-2</c:v>
                </c:pt>
                <c:pt idx="915">
                  <c:v>2.63E-2</c:v>
                </c:pt>
                <c:pt idx="916">
                  <c:v>2.6699999999999998E-2</c:v>
                </c:pt>
                <c:pt idx="917">
                  <c:v>2.6699999999999998E-2</c:v>
                </c:pt>
                <c:pt idx="918">
                  <c:v>2.6099999999999998E-2</c:v>
                </c:pt>
                <c:pt idx="919">
                  <c:v>2.58E-2</c:v>
                </c:pt>
                <c:pt idx="920">
                  <c:v>2.5699999999999997E-2</c:v>
                </c:pt>
                <c:pt idx="921">
                  <c:v>2.6099999999999998E-2</c:v>
                </c:pt>
                <c:pt idx="922">
                  <c:v>2.7099999999999999E-2</c:v>
                </c:pt>
                <c:pt idx="923">
                  <c:v>2.7099999999999999E-2</c:v>
                </c:pt>
                <c:pt idx="924">
                  <c:v>2.7699999999999999E-2</c:v>
                </c:pt>
                <c:pt idx="925">
                  <c:v>2.8399999999999998E-2</c:v>
                </c:pt>
                <c:pt idx="926">
                  <c:v>2.8799999999999999E-2</c:v>
                </c:pt>
                <c:pt idx="927">
                  <c:v>2.8199999999999999E-2</c:v>
                </c:pt>
                <c:pt idx="928">
                  <c:v>2.87E-2</c:v>
                </c:pt>
                <c:pt idx="929">
                  <c:v>2.8999999999999998E-2</c:v>
                </c:pt>
                <c:pt idx="930">
                  <c:v>2.8199999999999999E-2</c:v>
                </c:pt>
                <c:pt idx="931">
                  <c:v>2.7900000000000001E-2</c:v>
                </c:pt>
                <c:pt idx="932">
                  <c:v>2.7200000000000002E-2</c:v>
                </c:pt>
                <c:pt idx="933">
                  <c:v>2.7799999999999998E-2</c:v>
                </c:pt>
                <c:pt idx="934">
                  <c:v>2.75E-2</c:v>
                </c:pt>
                <c:pt idx="935">
                  <c:v>2.7799999999999998E-2</c:v>
                </c:pt>
                <c:pt idx="936">
                  <c:v>2.7799999999999998E-2</c:v>
                </c:pt>
                <c:pt idx="937">
                  <c:v>2.86E-2</c:v>
                </c:pt>
                <c:pt idx="938">
                  <c:v>2.8999999999999998E-2</c:v>
                </c:pt>
                <c:pt idx="939">
                  <c:v>2.98E-2</c:v>
                </c:pt>
                <c:pt idx="940">
                  <c:v>2.9399999999999999E-2</c:v>
                </c:pt>
                <c:pt idx="941">
                  <c:v>2.8999999999999998E-2</c:v>
                </c:pt>
                <c:pt idx="942">
                  <c:v>2.9600000000000001E-2</c:v>
                </c:pt>
                <c:pt idx="943">
                  <c:v>2.9300000000000003E-2</c:v>
                </c:pt>
                <c:pt idx="944">
                  <c:v>2.92E-2</c:v>
                </c:pt>
                <c:pt idx="945">
                  <c:v>2.8999999999999998E-2</c:v>
                </c:pt>
                <c:pt idx="946">
                  <c:v>2.8799999999999999E-2</c:v>
                </c:pt>
                <c:pt idx="947">
                  <c:v>2.86E-2</c:v>
                </c:pt>
                <c:pt idx="948">
                  <c:v>2.69E-2</c:v>
                </c:pt>
                <c:pt idx="949">
                  <c:v>2.76E-2</c:v>
                </c:pt>
                <c:pt idx="950">
                  <c:v>2.75E-2</c:v>
                </c:pt>
                <c:pt idx="951">
                  <c:v>2.7200000000000002E-2</c:v>
                </c:pt>
                <c:pt idx="952">
                  <c:v>2.6699999999999998E-2</c:v>
                </c:pt>
                <c:pt idx="953">
                  <c:v>2.63E-2</c:v>
                </c:pt>
                <c:pt idx="954">
                  <c:v>2.6600000000000002E-2</c:v>
                </c:pt>
                <c:pt idx="955">
                  <c:v>2.64E-2</c:v>
                </c:pt>
                <c:pt idx="956">
                  <c:v>2.64E-2</c:v>
                </c:pt>
                <c:pt idx="957">
                  <c:v>2.6600000000000002E-2</c:v>
                </c:pt>
                <c:pt idx="958">
                  <c:v>2.63E-2</c:v>
                </c:pt>
                <c:pt idx="959">
                  <c:v>2.6200000000000001E-2</c:v>
                </c:pt>
                <c:pt idx="960">
                  <c:v>2.6600000000000002E-2</c:v>
                </c:pt>
                <c:pt idx="961">
                  <c:v>2.6499999999999999E-2</c:v>
                </c:pt>
                <c:pt idx="962">
                  <c:v>2.6600000000000002E-2</c:v>
                </c:pt>
                <c:pt idx="963">
                  <c:v>2.6800000000000001E-2</c:v>
                </c:pt>
                <c:pt idx="964">
                  <c:v>2.7099999999999999E-2</c:v>
                </c:pt>
                <c:pt idx="965">
                  <c:v>2.7000000000000003E-2</c:v>
                </c:pt>
                <c:pt idx="966">
                  <c:v>2.7000000000000003E-2</c:v>
                </c:pt>
                <c:pt idx="967">
                  <c:v>2.75E-2</c:v>
                </c:pt>
                <c:pt idx="968">
                  <c:v>2.69E-2</c:v>
                </c:pt>
                <c:pt idx="969">
                  <c:v>2.6099999999999998E-2</c:v>
                </c:pt>
                <c:pt idx="970">
                  <c:v>2.6000000000000002E-2</c:v>
                </c:pt>
                <c:pt idx="971">
                  <c:v>2.63E-2</c:v>
                </c:pt>
                <c:pt idx="972">
                  <c:v>2.5399999999999999E-2</c:v>
                </c:pt>
                <c:pt idx="973">
                  <c:v>2.5099999999999997E-2</c:v>
                </c:pt>
                <c:pt idx="974">
                  <c:v>2.53E-2</c:v>
                </c:pt>
                <c:pt idx="975">
                  <c:v>2.53E-2</c:v>
                </c:pt>
                <c:pt idx="976">
                  <c:v>2.5399999999999999E-2</c:v>
                </c:pt>
                <c:pt idx="977">
                  <c:v>2.53E-2</c:v>
                </c:pt>
                <c:pt idx="978">
                  <c:v>2.5499999999999998E-2</c:v>
                </c:pt>
                <c:pt idx="979">
                  <c:v>2.5699999999999997E-2</c:v>
                </c:pt>
                <c:pt idx="980">
                  <c:v>2.6499999999999999E-2</c:v>
                </c:pt>
                <c:pt idx="981">
                  <c:v>2.63E-2</c:v>
                </c:pt>
                <c:pt idx="982">
                  <c:v>2.69E-2</c:v>
                </c:pt>
                <c:pt idx="983">
                  <c:v>2.6699999999999998E-2</c:v>
                </c:pt>
                <c:pt idx="984">
                  <c:v>2.63E-2</c:v>
                </c:pt>
                <c:pt idx="985">
                  <c:v>2.7699999999999999E-2</c:v>
                </c:pt>
                <c:pt idx="986">
                  <c:v>2.7699999999999999E-2</c:v>
                </c:pt>
                <c:pt idx="987">
                  <c:v>2.7999999999999997E-2</c:v>
                </c:pt>
                <c:pt idx="988">
                  <c:v>2.75E-2</c:v>
                </c:pt>
                <c:pt idx="989">
                  <c:v>2.69E-2</c:v>
                </c:pt>
                <c:pt idx="990">
                  <c:v>2.7099999999999999E-2</c:v>
                </c:pt>
                <c:pt idx="991">
                  <c:v>2.6699999999999998E-2</c:v>
                </c:pt>
                <c:pt idx="992">
                  <c:v>2.7099999999999999E-2</c:v>
                </c:pt>
                <c:pt idx="993">
                  <c:v>2.7999999999999997E-2</c:v>
                </c:pt>
                <c:pt idx="994">
                  <c:v>2.7900000000000001E-2</c:v>
                </c:pt>
                <c:pt idx="995">
                  <c:v>2.75E-2</c:v>
                </c:pt>
                <c:pt idx="996">
                  <c:v>2.7400000000000001E-2</c:v>
                </c:pt>
                <c:pt idx="997">
                  <c:v>2.7099999999999999E-2</c:v>
                </c:pt>
                <c:pt idx="998">
                  <c:v>2.7400000000000001E-2</c:v>
                </c:pt>
                <c:pt idx="999">
                  <c:v>2.7400000000000001E-2</c:v>
                </c:pt>
                <c:pt idx="1000">
                  <c:v>2.75E-2</c:v>
                </c:pt>
                <c:pt idx="1001">
                  <c:v>2.81E-2</c:v>
                </c:pt>
                <c:pt idx="1002">
                  <c:v>2.7900000000000001E-2</c:v>
                </c:pt>
                <c:pt idx="1003">
                  <c:v>2.8399999999999998E-2</c:v>
                </c:pt>
                <c:pt idx="1004">
                  <c:v>2.8799999999999999E-2</c:v>
                </c:pt>
                <c:pt idx="1005">
                  <c:v>2.8799999999999999E-2</c:v>
                </c:pt>
                <c:pt idx="1006">
                  <c:v>2.86E-2</c:v>
                </c:pt>
                <c:pt idx="1007">
                  <c:v>2.81E-2</c:v>
                </c:pt>
                <c:pt idx="1008">
                  <c:v>2.86E-2</c:v>
                </c:pt>
                <c:pt idx="1009">
                  <c:v>2.8900000000000002E-2</c:v>
                </c:pt>
                <c:pt idx="1010">
                  <c:v>2.8799999999999999E-2</c:v>
                </c:pt>
                <c:pt idx="1011">
                  <c:v>2.8900000000000002E-2</c:v>
                </c:pt>
                <c:pt idx="1012">
                  <c:v>2.8500000000000001E-2</c:v>
                </c:pt>
                <c:pt idx="1013">
                  <c:v>2.8900000000000002E-2</c:v>
                </c:pt>
                <c:pt idx="1014">
                  <c:v>2.9399999999999999E-2</c:v>
                </c:pt>
                <c:pt idx="1015">
                  <c:v>2.8900000000000002E-2</c:v>
                </c:pt>
                <c:pt idx="1016">
                  <c:v>2.9399999999999999E-2</c:v>
                </c:pt>
                <c:pt idx="1017">
                  <c:v>2.9900000000000003E-2</c:v>
                </c:pt>
                <c:pt idx="1018">
                  <c:v>2.9900000000000003E-2</c:v>
                </c:pt>
                <c:pt idx="1019">
                  <c:v>0.03</c:v>
                </c:pt>
                <c:pt idx="1020">
                  <c:v>3.0200000000000001E-2</c:v>
                </c:pt>
                <c:pt idx="1021">
                  <c:v>2.9900000000000003E-2</c:v>
                </c:pt>
                <c:pt idx="1022">
                  <c:v>3.04E-2</c:v>
                </c:pt>
                <c:pt idx="1023">
                  <c:v>3.04E-2</c:v>
                </c:pt>
                <c:pt idx="1024">
                  <c:v>0.03</c:v>
                </c:pt>
                <c:pt idx="1025">
                  <c:v>3.0099999999999998E-2</c:v>
                </c:pt>
                <c:pt idx="1026">
                  <c:v>2.98E-2</c:v>
                </c:pt>
                <c:pt idx="1027">
                  <c:v>2.9600000000000001E-2</c:v>
                </c:pt>
                <c:pt idx="1028">
                  <c:v>3.0099999999999998E-2</c:v>
                </c:pt>
                <c:pt idx="1029">
                  <c:v>2.9700000000000001E-2</c:v>
                </c:pt>
                <c:pt idx="1030">
                  <c:v>2.8799999999999999E-2</c:v>
                </c:pt>
                <c:pt idx="1031">
                  <c:v>2.8399999999999998E-2</c:v>
                </c:pt>
                <c:pt idx="1032">
                  <c:v>2.8799999999999999E-2</c:v>
                </c:pt>
                <c:pt idx="1033">
                  <c:v>2.8999999999999998E-2</c:v>
                </c:pt>
                <c:pt idx="1034">
                  <c:v>2.86E-2</c:v>
                </c:pt>
                <c:pt idx="1035">
                  <c:v>2.8399999999999998E-2</c:v>
                </c:pt>
                <c:pt idx="1036">
                  <c:v>2.8399999999999998E-2</c:v>
                </c:pt>
                <c:pt idx="1037">
                  <c:v>2.8500000000000001E-2</c:v>
                </c:pt>
                <c:pt idx="1038">
                  <c:v>2.87E-2</c:v>
                </c:pt>
                <c:pt idx="1039">
                  <c:v>2.7900000000000001E-2</c:v>
                </c:pt>
                <c:pt idx="1040">
                  <c:v>2.75E-2</c:v>
                </c:pt>
                <c:pt idx="1041">
                  <c:v>2.7799999999999998E-2</c:v>
                </c:pt>
                <c:pt idx="1042">
                  <c:v>2.7699999999999999E-2</c:v>
                </c:pt>
                <c:pt idx="1043">
                  <c:v>2.69E-2</c:v>
                </c:pt>
                <c:pt idx="1044">
                  <c:v>2.7200000000000002E-2</c:v>
                </c:pt>
                <c:pt idx="1045">
                  <c:v>2.6699999999999998E-2</c:v>
                </c:pt>
                <c:pt idx="1046">
                  <c:v>2.6099999999999998E-2</c:v>
                </c:pt>
                <c:pt idx="1047">
                  <c:v>2.64E-2</c:v>
                </c:pt>
                <c:pt idx="1048">
                  <c:v>2.7000000000000003E-2</c:v>
                </c:pt>
                <c:pt idx="1049">
                  <c:v>2.7300000000000001E-2</c:v>
                </c:pt>
                <c:pt idx="1050">
                  <c:v>2.7099999999999999E-2</c:v>
                </c:pt>
                <c:pt idx="1051">
                  <c:v>2.7000000000000003E-2</c:v>
                </c:pt>
                <c:pt idx="1052">
                  <c:v>2.75E-2</c:v>
                </c:pt>
                <c:pt idx="1053">
                  <c:v>2.7999999999999997E-2</c:v>
                </c:pt>
                <c:pt idx="1054">
                  <c:v>2.7300000000000001E-2</c:v>
                </c:pt>
                <c:pt idx="1055">
                  <c:v>2.75E-2</c:v>
                </c:pt>
                <c:pt idx="1056">
                  <c:v>2.75E-2</c:v>
                </c:pt>
                <c:pt idx="1057">
                  <c:v>2.7099999999999999E-2</c:v>
                </c:pt>
                <c:pt idx="1058">
                  <c:v>2.7300000000000001E-2</c:v>
                </c:pt>
                <c:pt idx="1059">
                  <c:v>2.76E-2</c:v>
                </c:pt>
                <c:pt idx="1060">
                  <c:v>2.7300000000000001E-2</c:v>
                </c:pt>
                <c:pt idx="1061">
                  <c:v>2.75E-2</c:v>
                </c:pt>
                <c:pt idx="1062">
                  <c:v>2.7000000000000003E-2</c:v>
                </c:pt>
                <c:pt idx="1063">
                  <c:v>2.6699999999999998E-2</c:v>
                </c:pt>
                <c:pt idx="1064">
                  <c:v>2.6499999999999999E-2</c:v>
                </c:pt>
                <c:pt idx="1065">
                  <c:v>2.6600000000000002E-2</c:v>
                </c:pt>
                <c:pt idx="1066">
                  <c:v>2.6000000000000002E-2</c:v>
                </c:pt>
                <c:pt idx="1067">
                  <c:v>2.7000000000000003E-2</c:v>
                </c:pt>
                <c:pt idx="1068">
                  <c:v>2.7000000000000003E-2</c:v>
                </c:pt>
                <c:pt idx="1069">
                  <c:v>2.7400000000000001E-2</c:v>
                </c:pt>
                <c:pt idx="1070">
                  <c:v>2.7999999999999997E-2</c:v>
                </c:pt>
                <c:pt idx="1071">
                  <c:v>2.7900000000000001E-2</c:v>
                </c:pt>
                <c:pt idx="1072">
                  <c:v>2.7699999999999999E-2</c:v>
                </c:pt>
                <c:pt idx="1073">
                  <c:v>2.7300000000000001E-2</c:v>
                </c:pt>
                <c:pt idx="1074">
                  <c:v>2.6600000000000002E-2</c:v>
                </c:pt>
                <c:pt idx="1075">
                  <c:v>2.6499999999999999E-2</c:v>
                </c:pt>
                <c:pt idx="1076">
                  <c:v>2.7000000000000003E-2</c:v>
                </c:pt>
                <c:pt idx="1077">
                  <c:v>2.6800000000000001E-2</c:v>
                </c:pt>
                <c:pt idx="1078">
                  <c:v>2.7799999999999998E-2</c:v>
                </c:pt>
                <c:pt idx="1079">
                  <c:v>2.7900000000000001E-2</c:v>
                </c:pt>
                <c:pt idx="1080">
                  <c:v>2.75E-2</c:v>
                </c:pt>
                <c:pt idx="1081">
                  <c:v>2.7400000000000001E-2</c:v>
                </c:pt>
                <c:pt idx="1082">
                  <c:v>2.75E-2</c:v>
                </c:pt>
                <c:pt idx="1083">
                  <c:v>2.7099999999999999E-2</c:v>
                </c:pt>
                <c:pt idx="1084">
                  <c:v>2.69E-2</c:v>
                </c:pt>
                <c:pt idx="1085">
                  <c:v>2.7300000000000001E-2</c:v>
                </c:pt>
                <c:pt idx="1086">
                  <c:v>2.7300000000000001E-2</c:v>
                </c:pt>
                <c:pt idx="1087">
                  <c:v>2.7699999999999999E-2</c:v>
                </c:pt>
                <c:pt idx="1088">
                  <c:v>2.8199999999999999E-2</c:v>
                </c:pt>
                <c:pt idx="1089">
                  <c:v>2.7999999999999997E-2</c:v>
                </c:pt>
                <c:pt idx="1090">
                  <c:v>2.7400000000000001E-2</c:v>
                </c:pt>
                <c:pt idx="1091">
                  <c:v>2.7099999999999999E-2</c:v>
                </c:pt>
                <c:pt idx="1092">
                  <c:v>2.69E-2</c:v>
                </c:pt>
                <c:pt idx="1093">
                  <c:v>2.7099999999999999E-2</c:v>
                </c:pt>
                <c:pt idx="1094">
                  <c:v>2.6499999999999999E-2</c:v>
                </c:pt>
                <c:pt idx="1095">
                  <c:v>2.63E-2</c:v>
                </c:pt>
                <c:pt idx="1096">
                  <c:v>2.6499999999999999E-2</c:v>
                </c:pt>
                <c:pt idx="1097">
                  <c:v>2.64E-2</c:v>
                </c:pt>
                <c:pt idx="1098">
                  <c:v>2.6499999999999999E-2</c:v>
                </c:pt>
                <c:pt idx="1099">
                  <c:v>2.7300000000000001E-2</c:v>
                </c:pt>
                <c:pt idx="1100">
                  <c:v>2.7300000000000001E-2</c:v>
                </c:pt>
                <c:pt idx="1101">
                  <c:v>2.7300000000000001E-2</c:v>
                </c:pt>
                <c:pt idx="1102">
                  <c:v>2.7300000000000001E-2</c:v>
                </c:pt>
                <c:pt idx="1103">
                  <c:v>2.7000000000000003E-2</c:v>
                </c:pt>
                <c:pt idx="1104">
                  <c:v>2.7000000000000003E-2</c:v>
                </c:pt>
                <c:pt idx="1105">
                  <c:v>2.6800000000000001E-2</c:v>
                </c:pt>
                <c:pt idx="1106">
                  <c:v>2.7000000000000003E-2</c:v>
                </c:pt>
                <c:pt idx="1107">
                  <c:v>2.7099999999999999E-2</c:v>
                </c:pt>
                <c:pt idx="1108">
                  <c:v>2.6699999999999998E-2</c:v>
                </c:pt>
                <c:pt idx="1109">
                  <c:v>2.63E-2</c:v>
                </c:pt>
                <c:pt idx="1110">
                  <c:v>2.6000000000000002E-2</c:v>
                </c:pt>
                <c:pt idx="1111">
                  <c:v>2.63E-2</c:v>
                </c:pt>
                <c:pt idx="1112">
                  <c:v>2.6099999999999998E-2</c:v>
                </c:pt>
                <c:pt idx="1113">
                  <c:v>2.6200000000000001E-2</c:v>
                </c:pt>
                <c:pt idx="1114">
                  <c:v>2.6099999999999998E-2</c:v>
                </c:pt>
                <c:pt idx="1115">
                  <c:v>2.6200000000000001E-2</c:v>
                </c:pt>
                <c:pt idx="1116">
                  <c:v>2.6600000000000002E-2</c:v>
                </c:pt>
                <c:pt idx="1117">
                  <c:v>2.6099999999999998E-2</c:v>
                </c:pt>
                <c:pt idx="1118">
                  <c:v>2.5399999999999999E-2</c:v>
                </c:pt>
                <c:pt idx="1119">
                  <c:v>2.5000000000000001E-2</c:v>
                </c:pt>
                <c:pt idx="1120">
                  <c:v>2.52E-2</c:v>
                </c:pt>
                <c:pt idx="1121">
                  <c:v>2.5399999999999999E-2</c:v>
                </c:pt>
                <c:pt idx="1122">
                  <c:v>2.52E-2</c:v>
                </c:pt>
                <c:pt idx="1123">
                  <c:v>2.5399999999999999E-2</c:v>
                </c:pt>
                <c:pt idx="1124">
                  <c:v>2.5600000000000001E-2</c:v>
                </c:pt>
                <c:pt idx="1125">
                  <c:v>2.5399999999999999E-2</c:v>
                </c:pt>
                <c:pt idx="1126">
                  <c:v>2.5399999999999999E-2</c:v>
                </c:pt>
                <c:pt idx="1127">
                  <c:v>2.52E-2</c:v>
                </c:pt>
                <c:pt idx="1128">
                  <c:v>2.4399999999999998E-2</c:v>
                </c:pt>
                <c:pt idx="1129">
                  <c:v>2.4500000000000001E-2</c:v>
                </c:pt>
                <c:pt idx="1130">
                  <c:v>2.4799999999999999E-2</c:v>
                </c:pt>
                <c:pt idx="1131">
                  <c:v>2.5399999999999999E-2</c:v>
                </c:pt>
                <c:pt idx="1132">
                  <c:v>2.6000000000000002E-2</c:v>
                </c:pt>
                <c:pt idx="1133">
                  <c:v>2.6099999999999998E-2</c:v>
                </c:pt>
                <c:pt idx="1134">
                  <c:v>2.5899999999999999E-2</c:v>
                </c:pt>
                <c:pt idx="1135">
                  <c:v>2.6000000000000002E-2</c:v>
                </c:pt>
                <c:pt idx="1136">
                  <c:v>2.6200000000000001E-2</c:v>
                </c:pt>
                <c:pt idx="1137">
                  <c:v>2.64E-2</c:v>
                </c:pt>
                <c:pt idx="1138">
                  <c:v>2.6499999999999999E-2</c:v>
                </c:pt>
                <c:pt idx="1139">
                  <c:v>2.58E-2</c:v>
                </c:pt>
                <c:pt idx="1140">
                  <c:v>2.6000000000000002E-2</c:v>
                </c:pt>
                <c:pt idx="1141">
                  <c:v>2.6099999999999998E-2</c:v>
                </c:pt>
                <c:pt idx="1142">
                  <c:v>2.6600000000000002E-2</c:v>
                </c:pt>
                <c:pt idx="1143">
                  <c:v>2.6099999999999998E-2</c:v>
                </c:pt>
                <c:pt idx="1144">
                  <c:v>2.64E-2</c:v>
                </c:pt>
                <c:pt idx="1145">
                  <c:v>2.63E-2</c:v>
                </c:pt>
                <c:pt idx="1146">
                  <c:v>2.63E-2</c:v>
                </c:pt>
                <c:pt idx="1147">
                  <c:v>2.5899999999999999E-2</c:v>
                </c:pt>
                <c:pt idx="1148">
                  <c:v>2.5699999999999997E-2</c:v>
                </c:pt>
                <c:pt idx="1149">
                  <c:v>2.53E-2</c:v>
                </c:pt>
                <c:pt idx="1150">
                  <c:v>2.5399999999999999E-2</c:v>
                </c:pt>
                <c:pt idx="1151">
                  <c:v>2.53E-2</c:v>
                </c:pt>
                <c:pt idx="1152">
                  <c:v>2.58E-2</c:v>
                </c:pt>
                <c:pt idx="1153">
                  <c:v>2.64E-2</c:v>
                </c:pt>
                <c:pt idx="1154">
                  <c:v>2.6499999999999999E-2</c:v>
                </c:pt>
                <c:pt idx="1155">
                  <c:v>2.6499999999999999E-2</c:v>
                </c:pt>
                <c:pt idx="1156">
                  <c:v>2.63E-2</c:v>
                </c:pt>
                <c:pt idx="1157">
                  <c:v>2.58E-2</c:v>
                </c:pt>
                <c:pt idx="1158">
                  <c:v>2.5699999999999997E-2</c:v>
                </c:pt>
                <c:pt idx="1159">
                  <c:v>2.5499999999999998E-2</c:v>
                </c:pt>
                <c:pt idx="1160">
                  <c:v>2.53E-2</c:v>
                </c:pt>
                <c:pt idx="1161">
                  <c:v>2.5499999999999998E-2</c:v>
                </c:pt>
                <c:pt idx="1162">
                  <c:v>2.5600000000000001E-2</c:v>
                </c:pt>
                <c:pt idx="1163">
                  <c:v>2.5499999999999998E-2</c:v>
                </c:pt>
                <c:pt idx="1164">
                  <c:v>2.4700000000000003E-2</c:v>
                </c:pt>
                <c:pt idx="1165">
                  <c:v>2.5000000000000001E-2</c:v>
                </c:pt>
                <c:pt idx="1166">
                  <c:v>2.4900000000000002E-2</c:v>
                </c:pt>
                <c:pt idx="1167">
                  <c:v>2.4799999999999999E-2</c:v>
                </c:pt>
                <c:pt idx="1168">
                  <c:v>2.4799999999999999E-2</c:v>
                </c:pt>
                <c:pt idx="1169">
                  <c:v>2.52E-2</c:v>
                </c:pt>
                <c:pt idx="1170">
                  <c:v>2.4799999999999999E-2</c:v>
                </c:pt>
                <c:pt idx="1171">
                  <c:v>2.5000000000000001E-2</c:v>
                </c:pt>
                <c:pt idx="1172">
                  <c:v>2.4700000000000003E-2</c:v>
                </c:pt>
                <c:pt idx="1173">
                  <c:v>2.5699999999999997E-2</c:v>
                </c:pt>
                <c:pt idx="1174">
                  <c:v>2.58E-2</c:v>
                </c:pt>
                <c:pt idx="1175">
                  <c:v>2.52E-2</c:v>
                </c:pt>
                <c:pt idx="1176">
                  <c:v>2.5099999999999997E-2</c:v>
                </c:pt>
                <c:pt idx="1177">
                  <c:v>2.4900000000000002E-2</c:v>
                </c:pt>
                <c:pt idx="1178">
                  <c:v>2.4900000000000002E-2</c:v>
                </c:pt>
                <c:pt idx="1179">
                  <c:v>2.4300000000000002E-2</c:v>
                </c:pt>
                <c:pt idx="1180">
                  <c:v>2.4399999999999998E-2</c:v>
                </c:pt>
                <c:pt idx="1181">
                  <c:v>2.4399999999999998E-2</c:v>
                </c:pt>
                <c:pt idx="1182">
                  <c:v>2.46E-2</c:v>
                </c:pt>
                <c:pt idx="1183">
                  <c:v>2.4300000000000002E-2</c:v>
                </c:pt>
                <c:pt idx="1184">
                  <c:v>2.4E-2</c:v>
                </c:pt>
                <c:pt idx="1185">
                  <c:v>2.3399999999999997E-2</c:v>
                </c:pt>
                <c:pt idx="1186">
                  <c:v>2.3900000000000001E-2</c:v>
                </c:pt>
                <c:pt idx="1187">
                  <c:v>2.4E-2</c:v>
                </c:pt>
                <c:pt idx="1188">
                  <c:v>2.4300000000000002E-2</c:v>
                </c:pt>
                <c:pt idx="1189">
                  <c:v>2.41E-2</c:v>
                </c:pt>
                <c:pt idx="1190">
                  <c:v>2.4E-2</c:v>
                </c:pt>
                <c:pt idx="1191">
                  <c:v>2.3900000000000001E-2</c:v>
                </c:pt>
                <c:pt idx="1192">
                  <c:v>2.3900000000000001E-2</c:v>
                </c:pt>
                <c:pt idx="1193">
                  <c:v>2.3700000000000002E-2</c:v>
                </c:pt>
                <c:pt idx="1194">
                  <c:v>2.3399999999999997E-2</c:v>
                </c:pt>
                <c:pt idx="1195">
                  <c:v>2.35E-2</c:v>
                </c:pt>
                <c:pt idx="1196">
                  <c:v>2.35E-2</c:v>
                </c:pt>
                <c:pt idx="1197">
                  <c:v>2.4199999999999999E-2</c:v>
                </c:pt>
                <c:pt idx="1198">
                  <c:v>2.41E-2</c:v>
                </c:pt>
                <c:pt idx="1199">
                  <c:v>2.4500000000000001E-2</c:v>
                </c:pt>
                <c:pt idx="1200">
                  <c:v>2.46E-2</c:v>
                </c:pt>
                <c:pt idx="1201">
                  <c:v>2.4799999999999999E-2</c:v>
                </c:pt>
                <c:pt idx="1202">
                  <c:v>2.5000000000000001E-2</c:v>
                </c:pt>
                <c:pt idx="1203">
                  <c:v>2.5399999999999999E-2</c:v>
                </c:pt>
                <c:pt idx="1204">
                  <c:v>2.5399999999999999E-2</c:v>
                </c:pt>
                <c:pt idx="1205">
                  <c:v>2.6200000000000001E-2</c:v>
                </c:pt>
                <c:pt idx="1206">
                  <c:v>2.6000000000000002E-2</c:v>
                </c:pt>
                <c:pt idx="1207">
                  <c:v>2.6000000000000002E-2</c:v>
                </c:pt>
                <c:pt idx="1208">
                  <c:v>2.6200000000000001E-2</c:v>
                </c:pt>
                <c:pt idx="1209">
                  <c:v>2.63E-2</c:v>
                </c:pt>
                <c:pt idx="1210">
                  <c:v>2.5899999999999999E-2</c:v>
                </c:pt>
                <c:pt idx="1211">
                  <c:v>2.5699999999999997E-2</c:v>
                </c:pt>
                <c:pt idx="1212">
                  <c:v>2.5399999999999999E-2</c:v>
                </c:pt>
                <c:pt idx="1213">
                  <c:v>2.5699999999999997E-2</c:v>
                </c:pt>
                <c:pt idx="1214">
                  <c:v>2.52E-2</c:v>
                </c:pt>
                <c:pt idx="1215">
                  <c:v>2.5399999999999999E-2</c:v>
                </c:pt>
                <c:pt idx="1216">
                  <c:v>2.5000000000000001E-2</c:v>
                </c:pt>
                <c:pt idx="1217">
                  <c:v>2.52E-2</c:v>
                </c:pt>
                <c:pt idx="1218">
                  <c:v>2.4199999999999999E-2</c:v>
                </c:pt>
                <c:pt idx="1219">
                  <c:v>2.4399999999999998E-2</c:v>
                </c:pt>
                <c:pt idx="1220">
                  <c:v>2.4500000000000001E-2</c:v>
                </c:pt>
                <c:pt idx="1221">
                  <c:v>2.4300000000000002E-2</c:v>
                </c:pt>
                <c:pt idx="1222">
                  <c:v>2.3599999999999999E-2</c:v>
                </c:pt>
                <c:pt idx="1223">
                  <c:v>2.35E-2</c:v>
                </c:pt>
                <c:pt idx="1224">
                  <c:v>2.3399999999999997E-2</c:v>
                </c:pt>
                <c:pt idx="1225">
                  <c:v>2.3099999999999999E-2</c:v>
                </c:pt>
                <c:pt idx="1226">
                  <c:v>2.3099999999999999E-2</c:v>
                </c:pt>
                <c:pt idx="1227">
                  <c:v>2.2099999999999998E-2</c:v>
                </c:pt>
                <c:pt idx="1228">
                  <c:v>2.1499999999999998E-2</c:v>
                </c:pt>
                <c:pt idx="1229">
                  <c:v>2.1700000000000001E-2</c:v>
                </c:pt>
                <c:pt idx="1230">
                  <c:v>2.2200000000000001E-2</c:v>
                </c:pt>
                <c:pt idx="1231">
                  <c:v>2.2000000000000002E-2</c:v>
                </c:pt>
                <c:pt idx="1232">
                  <c:v>2.23E-2</c:v>
                </c:pt>
                <c:pt idx="1233">
                  <c:v>2.2499999999999999E-2</c:v>
                </c:pt>
                <c:pt idx="1234">
                  <c:v>2.29E-2</c:v>
                </c:pt>
                <c:pt idx="1235">
                  <c:v>2.29E-2</c:v>
                </c:pt>
                <c:pt idx="1236">
                  <c:v>2.2700000000000001E-2</c:v>
                </c:pt>
                <c:pt idx="1237">
                  <c:v>2.3E-2</c:v>
                </c:pt>
                <c:pt idx="1238">
                  <c:v>2.3399999999999997E-2</c:v>
                </c:pt>
                <c:pt idx="1239">
                  <c:v>2.3199999999999998E-2</c:v>
                </c:pt>
                <c:pt idx="1240">
                  <c:v>2.35E-2</c:v>
                </c:pt>
                <c:pt idx="1241">
                  <c:v>2.3599999999999999E-2</c:v>
                </c:pt>
                <c:pt idx="1242">
                  <c:v>2.35E-2</c:v>
                </c:pt>
                <c:pt idx="1243">
                  <c:v>2.3599999999999999E-2</c:v>
                </c:pt>
                <c:pt idx="1244">
                  <c:v>2.3900000000000001E-2</c:v>
                </c:pt>
                <c:pt idx="1245">
                  <c:v>2.3199999999999998E-2</c:v>
                </c:pt>
                <c:pt idx="1246">
                  <c:v>2.3799999999999998E-2</c:v>
                </c:pt>
                <c:pt idx="1247">
                  <c:v>2.3799999999999998E-2</c:v>
                </c:pt>
                <c:pt idx="1248">
                  <c:v>2.3700000000000002E-2</c:v>
                </c:pt>
                <c:pt idx="1249">
                  <c:v>2.35E-2</c:v>
                </c:pt>
                <c:pt idx="1250">
                  <c:v>2.3199999999999998E-2</c:v>
                </c:pt>
                <c:pt idx="1251">
                  <c:v>2.3399999999999997E-2</c:v>
                </c:pt>
                <c:pt idx="1252">
                  <c:v>2.3199999999999998E-2</c:v>
                </c:pt>
                <c:pt idx="1253">
                  <c:v>2.3599999999999999E-2</c:v>
                </c:pt>
                <c:pt idx="1254">
                  <c:v>2.3399999999999997E-2</c:v>
                </c:pt>
                <c:pt idx="1255">
                  <c:v>2.3099999999999999E-2</c:v>
                </c:pt>
                <c:pt idx="1256">
                  <c:v>2.3E-2</c:v>
                </c:pt>
                <c:pt idx="1257">
                  <c:v>2.2700000000000001E-2</c:v>
                </c:pt>
                <c:pt idx="1258">
                  <c:v>2.2400000000000003E-2</c:v>
                </c:pt>
                <c:pt idx="1259">
                  <c:v>2.2400000000000003E-2</c:v>
                </c:pt>
                <c:pt idx="1260">
                  <c:v>2.18E-2</c:v>
                </c:pt>
                <c:pt idx="1261">
                  <c:v>2.2200000000000001E-2</c:v>
                </c:pt>
                <c:pt idx="1262">
                  <c:v>2.2799999999999997E-2</c:v>
                </c:pt>
                <c:pt idx="1263">
                  <c:v>2.29E-2</c:v>
                </c:pt>
                <c:pt idx="1264">
                  <c:v>2.2499999999999999E-2</c:v>
                </c:pt>
                <c:pt idx="1265">
                  <c:v>2.3099999999999999E-2</c:v>
                </c:pt>
                <c:pt idx="1266">
                  <c:v>2.2599999999999999E-2</c:v>
                </c:pt>
                <c:pt idx="1267">
                  <c:v>2.2200000000000001E-2</c:v>
                </c:pt>
                <c:pt idx="1268">
                  <c:v>2.18E-2</c:v>
                </c:pt>
                <c:pt idx="1269">
                  <c:v>2.1899999999999999E-2</c:v>
                </c:pt>
                <c:pt idx="1270">
                  <c:v>2.1000000000000001E-2</c:v>
                </c:pt>
                <c:pt idx="1271">
                  <c:v>2.12E-2</c:v>
                </c:pt>
                <c:pt idx="1272">
                  <c:v>2.07E-2</c:v>
                </c:pt>
                <c:pt idx="1273">
                  <c:v>2.1400000000000002E-2</c:v>
                </c:pt>
                <c:pt idx="1274">
                  <c:v>2.2200000000000001E-2</c:v>
                </c:pt>
                <c:pt idx="1275">
                  <c:v>2.1700000000000001E-2</c:v>
                </c:pt>
                <c:pt idx="1276">
                  <c:v>2.1700000000000001E-2</c:v>
                </c:pt>
                <c:pt idx="1277">
                  <c:v>2.2599999999999999E-2</c:v>
                </c:pt>
                <c:pt idx="1278">
                  <c:v>2.2700000000000001E-2</c:v>
                </c:pt>
                <c:pt idx="1279">
                  <c:v>2.2700000000000001E-2</c:v>
                </c:pt>
                <c:pt idx="1280">
                  <c:v>2.2499999999999999E-2</c:v>
                </c:pt>
                <c:pt idx="1281">
                  <c:v>2.2200000000000001E-2</c:v>
                </c:pt>
                <c:pt idx="1282">
                  <c:v>2.2000000000000002E-2</c:v>
                </c:pt>
                <c:pt idx="1283">
                  <c:v>2.1700000000000001E-2</c:v>
                </c:pt>
                <c:pt idx="1284">
                  <c:v>2.1700000000000001E-2</c:v>
                </c:pt>
                <c:pt idx="1285">
                  <c:v>2.12E-2</c:v>
                </c:pt>
                <c:pt idx="1286">
                  <c:v>2.0400000000000001E-2</c:v>
                </c:pt>
                <c:pt idx="1287">
                  <c:v>1.9699999999999999E-2</c:v>
                </c:pt>
                <c:pt idx="1288">
                  <c:v>1.9599999999999999E-2</c:v>
                </c:pt>
                <c:pt idx="1289">
                  <c:v>2.0299999999999999E-2</c:v>
                </c:pt>
                <c:pt idx="1290">
                  <c:v>1.9799999999999998E-2</c:v>
                </c:pt>
                <c:pt idx="1291">
                  <c:v>1.9199999999999998E-2</c:v>
                </c:pt>
                <c:pt idx="1292">
                  <c:v>1.9099999999999999E-2</c:v>
                </c:pt>
                <c:pt idx="1293">
                  <c:v>1.8600000000000002E-2</c:v>
                </c:pt>
                <c:pt idx="1294">
                  <c:v>1.77E-2</c:v>
                </c:pt>
                <c:pt idx="1295">
                  <c:v>1.83E-2</c:v>
                </c:pt>
                <c:pt idx="1296">
                  <c:v>1.83E-2</c:v>
                </c:pt>
                <c:pt idx="1297">
                  <c:v>1.8200000000000001E-2</c:v>
                </c:pt>
                <c:pt idx="1298">
                  <c:v>1.8700000000000001E-2</c:v>
                </c:pt>
                <c:pt idx="1299">
                  <c:v>1.9E-2</c:v>
                </c:pt>
                <c:pt idx="1300">
                  <c:v>1.8100000000000002E-2</c:v>
                </c:pt>
                <c:pt idx="1301">
                  <c:v>1.83E-2</c:v>
                </c:pt>
                <c:pt idx="1302">
                  <c:v>1.83E-2</c:v>
                </c:pt>
                <c:pt idx="1303">
                  <c:v>1.7299999999999999E-2</c:v>
                </c:pt>
                <c:pt idx="1304">
                  <c:v>1.77E-2</c:v>
                </c:pt>
                <c:pt idx="1305">
                  <c:v>1.6799999999999999E-2</c:v>
                </c:pt>
                <c:pt idx="1306">
                  <c:v>1.6799999999999999E-2</c:v>
                </c:pt>
                <c:pt idx="1307">
                  <c:v>1.7899999999999999E-2</c:v>
                </c:pt>
                <c:pt idx="1308">
                  <c:v>1.8100000000000002E-2</c:v>
                </c:pt>
                <c:pt idx="1309">
                  <c:v>1.83E-2</c:v>
                </c:pt>
                <c:pt idx="1310">
                  <c:v>1.95E-2</c:v>
                </c:pt>
                <c:pt idx="1311">
                  <c:v>1.9599999999999999E-2</c:v>
                </c:pt>
                <c:pt idx="1312">
                  <c:v>2.0099999999999996E-2</c:v>
                </c:pt>
                <c:pt idx="1313">
                  <c:v>0.02</c:v>
                </c:pt>
                <c:pt idx="1314">
                  <c:v>1.9900000000000001E-2</c:v>
                </c:pt>
                <c:pt idx="1315">
                  <c:v>2.0199999999999999E-2</c:v>
                </c:pt>
                <c:pt idx="1316">
                  <c:v>2.0199999999999999E-2</c:v>
                </c:pt>
                <c:pt idx="1317">
                  <c:v>2.1400000000000002E-2</c:v>
                </c:pt>
                <c:pt idx="1318">
                  <c:v>2.07E-2</c:v>
                </c:pt>
                <c:pt idx="1319">
                  <c:v>2.1099999999999997E-2</c:v>
                </c:pt>
                <c:pt idx="1320">
                  <c:v>2.1299999999999999E-2</c:v>
                </c:pt>
                <c:pt idx="1321">
                  <c:v>2.06E-2</c:v>
                </c:pt>
                <c:pt idx="1322">
                  <c:v>1.9900000000000001E-2</c:v>
                </c:pt>
                <c:pt idx="1323">
                  <c:v>1.9599999999999999E-2</c:v>
                </c:pt>
                <c:pt idx="1324">
                  <c:v>2.0299999999999999E-2</c:v>
                </c:pt>
                <c:pt idx="1325">
                  <c:v>0.02</c:v>
                </c:pt>
                <c:pt idx="1326">
                  <c:v>2.0799999999999999E-2</c:v>
                </c:pt>
                <c:pt idx="1327">
                  <c:v>2.12E-2</c:v>
                </c:pt>
                <c:pt idx="1328">
                  <c:v>2.12E-2</c:v>
                </c:pt>
                <c:pt idx="1329">
                  <c:v>2.1099999999999997E-2</c:v>
                </c:pt>
                <c:pt idx="1330">
                  <c:v>2.2400000000000003E-2</c:v>
                </c:pt>
                <c:pt idx="1331">
                  <c:v>2.2000000000000002E-2</c:v>
                </c:pt>
                <c:pt idx="1332">
                  <c:v>2.1400000000000002E-2</c:v>
                </c:pt>
                <c:pt idx="1333">
                  <c:v>2.1099999999999997E-2</c:v>
                </c:pt>
                <c:pt idx="1334">
                  <c:v>2.1000000000000001E-2</c:v>
                </c:pt>
                <c:pt idx="1335">
                  <c:v>2.1299999999999999E-2</c:v>
                </c:pt>
                <c:pt idx="1336">
                  <c:v>2.1000000000000001E-2</c:v>
                </c:pt>
                <c:pt idx="1337">
                  <c:v>2.06E-2</c:v>
                </c:pt>
                <c:pt idx="1338">
                  <c:v>1.9299999999999998E-2</c:v>
                </c:pt>
                <c:pt idx="1339">
                  <c:v>1.9799999999999998E-2</c:v>
                </c:pt>
                <c:pt idx="1340">
                  <c:v>1.9299999999999998E-2</c:v>
                </c:pt>
                <c:pt idx="1341">
                  <c:v>1.9199999999999998E-2</c:v>
                </c:pt>
                <c:pt idx="1342">
                  <c:v>1.8799999999999997E-2</c:v>
                </c:pt>
                <c:pt idx="1343">
                  <c:v>1.9299999999999998E-2</c:v>
                </c:pt>
                <c:pt idx="1344">
                  <c:v>2.0099999999999996E-2</c:v>
                </c:pt>
                <c:pt idx="1345">
                  <c:v>1.95E-2</c:v>
                </c:pt>
                <c:pt idx="1346">
                  <c:v>1.9599999999999999E-2</c:v>
                </c:pt>
                <c:pt idx="1347">
                  <c:v>1.9400000000000001E-2</c:v>
                </c:pt>
                <c:pt idx="1348">
                  <c:v>1.8700000000000001E-2</c:v>
                </c:pt>
                <c:pt idx="1349">
                  <c:v>1.9199999999999998E-2</c:v>
                </c:pt>
                <c:pt idx="1350">
                  <c:v>1.8500000000000003E-2</c:v>
                </c:pt>
                <c:pt idx="1351">
                  <c:v>1.9199999999999998E-2</c:v>
                </c:pt>
                <c:pt idx="1352">
                  <c:v>1.89E-2</c:v>
                </c:pt>
                <c:pt idx="1353">
                  <c:v>1.9199999999999998E-2</c:v>
                </c:pt>
                <c:pt idx="1354">
                  <c:v>1.9699999999999999E-2</c:v>
                </c:pt>
                <c:pt idx="1355">
                  <c:v>1.9599999999999999E-2</c:v>
                </c:pt>
                <c:pt idx="1356">
                  <c:v>1.9400000000000001E-2</c:v>
                </c:pt>
                <c:pt idx="1357">
                  <c:v>1.9E-2</c:v>
                </c:pt>
                <c:pt idx="1358">
                  <c:v>1.9099999999999999E-2</c:v>
                </c:pt>
                <c:pt idx="1359">
                  <c:v>1.9E-2</c:v>
                </c:pt>
                <c:pt idx="1360">
                  <c:v>1.8700000000000001E-2</c:v>
                </c:pt>
                <c:pt idx="1361">
                  <c:v>1.9E-2</c:v>
                </c:pt>
                <c:pt idx="1362">
                  <c:v>1.9199999999999998E-2</c:v>
                </c:pt>
                <c:pt idx="1363">
                  <c:v>1.9900000000000001E-2</c:v>
                </c:pt>
                <c:pt idx="1364">
                  <c:v>1.9599999999999999E-2</c:v>
                </c:pt>
                <c:pt idx="1365">
                  <c:v>1.9299999999999998E-2</c:v>
                </c:pt>
                <c:pt idx="1366">
                  <c:v>1.9400000000000001E-2</c:v>
                </c:pt>
                <c:pt idx="1367">
                  <c:v>0.02</c:v>
                </c:pt>
                <c:pt idx="1368">
                  <c:v>2.06E-2</c:v>
                </c:pt>
                <c:pt idx="1369">
                  <c:v>2.0499999999999997E-2</c:v>
                </c:pt>
                <c:pt idx="1370">
                  <c:v>2.12E-2</c:v>
                </c:pt>
                <c:pt idx="1371">
                  <c:v>2.1600000000000001E-2</c:v>
                </c:pt>
                <c:pt idx="1372">
                  <c:v>2.1899999999999999E-2</c:v>
                </c:pt>
                <c:pt idx="1373">
                  <c:v>2.2499999999999999E-2</c:v>
                </c:pt>
                <c:pt idx="1374">
                  <c:v>2.18E-2</c:v>
                </c:pt>
                <c:pt idx="1375">
                  <c:v>2.1600000000000001E-2</c:v>
                </c:pt>
                <c:pt idx="1376">
                  <c:v>2.2799999999999997E-2</c:v>
                </c:pt>
                <c:pt idx="1377">
                  <c:v>2.2799999999999997E-2</c:v>
                </c:pt>
                <c:pt idx="1378">
                  <c:v>2.2700000000000001E-2</c:v>
                </c:pt>
                <c:pt idx="1379">
                  <c:v>2.23E-2</c:v>
                </c:pt>
                <c:pt idx="1380">
                  <c:v>2.1400000000000002E-2</c:v>
                </c:pt>
                <c:pt idx="1381">
                  <c:v>2.23E-2</c:v>
                </c:pt>
                <c:pt idx="1382">
                  <c:v>2.2700000000000001E-2</c:v>
                </c:pt>
                <c:pt idx="1383">
                  <c:v>2.2599999999999999E-2</c:v>
                </c:pt>
                <c:pt idx="1384">
                  <c:v>2.1899999999999999E-2</c:v>
                </c:pt>
                <c:pt idx="1385">
                  <c:v>2.2099999999999998E-2</c:v>
                </c:pt>
                <c:pt idx="1386">
                  <c:v>2.2099999999999998E-2</c:v>
                </c:pt>
                <c:pt idx="1387">
                  <c:v>2.1400000000000002E-2</c:v>
                </c:pt>
                <c:pt idx="1388">
                  <c:v>2.1400000000000002E-2</c:v>
                </c:pt>
                <c:pt idx="1389">
                  <c:v>2.1299999999999999E-2</c:v>
                </c:pt>
                <c:pt idx="1390">
                  <c:v>2.12E-2</c:v>
                </c:pt>
                <c:pt idx="1391">
                  <c:v>2.1899999999999999E-2</c:v>
                </c:pt>
                <c:pt idx="1392">
                  <c:v>2.2700000000000001E-2</c:v>
                </c:pt>
                <c:pt idx="1393">
                  <c:v>2.3799999999999998E-2</c:v>
                </c:pt>
                <c:pt idx="1394">
                  <c:v>2.3099999999999999E-2</c:v>
                </c:pt>
                <c:pt idx="1395">
                  <c:v>2.41E-2</c:v>
                </c:pt>
                <c:pt idx="1396">
                  <c:v>2.3900000000000001E-2</c:v>
                </c:pt>
                <c:pt idx="1397">
                  <c:v>2.4199999999999999E-2</c:v>
                </c:pt>
                <c:pt idx="1398">
                  <c:v>2.5000000000000001E-2</c:v>
                </c:pt>
                <c:pt idx="1399">
                  <c:v>2.3900000000000001E-2</c:v>
                </c:pt>
                <c:pt idx="1400">
                  <c:v>2.3900000000000001E-2</c:v>
                </c:pt>
                <c:pt idx="1401">
                  <c:v>2.3599999999999999E-2</c:v>
                </c:pt>
                <c:pt idx="1402">
                  <c:v>2.3199999999999998E-2</c:v>
                </c:pt>
                <c:pt idx="1403">
                  <c:v>2.3199999999999998E-2</c:v>
                </c:pt>
                <c:pt idx="1404">
                  <c:v>2.35E-2</c:v>
                </c:pt>
                <c:pt idx="1405">
                  <c:v>2.2599999999999999E-2</c:v>
                </c:pt>
                <c:pt idx="1406">
                  <c:v>2.3700000000000002E-2</c:v>
                </c:pt>
                <c:pt idx="1407">
                  <c:v>2.4199999999999999E-2</c:v>
                </c:pt>
                <c:pt idx="1408">
                  <c:v>2.3799999999999998E-2</c:v>
                </c:pt>
                <c:pt idx="1409">
                  <c:v>2.4E-2</c:v>
                </c:pt>
                <c:pt idx="1410">
                  <c:v>2.4900000000000002E-2</c:v>
                </c:pt>
                <c:pt idx="1411">
                  <c:v>2.3300000000000001E-2</c:v>
                </c:pt>
                <c:pt idx="1412">
                  <c:v>2.35E-2</c:v>
                </c:pt>
                <c:pt idx="1413">
                  <c:v>2.4300000000000002E-2</c:v>
                </c:pt>
                <c:pt idx="1414">
                  <c:v>2.4E-2</c:v>
                </c:pt>
                <c:pt idx="1415">
                  <c:v>2.4E-2</c:v>
                </c:pt>
                <c:pt idx="1416">
                  <c:v>2.3E-2</c:v>
                </c:pt>
                <c:pt idx="1417">
                  <c:v>2.2700000000000001E-2</c:v>
                </c:pt>
                <c:pt idx="1418">
                  <c:v>2.2200000000000001E-2</c:v>
                </c:pt>
                <c:pt idx="1419">
                  <c:v>2.3199999999999998E-2</c:v>
                </c:pt>
                <c:pt idx="1420">
                  <c:v>2.4199999999999999E-2</c:v>
                </c:pt>
                <c:pt idx="1421">
                  <c:v>2.4399999999999998E-2</c:v>
                </c:pt>
                <c:pt idx="1422">
                  <c:v>2.41E-2</c:v>
                </c:pt>
                <c:pt idx="1423">
                  <c:v>2.3599999999999999E-2</c:v>
                </c:pt>
                <c:pt idx="1424">
                  <c:v>2.3599999999999999E-2</c:v>
                </c:pt>
                <c:pt idx="1425">
                  <c:v>2.3399999999999997E-2</c:v>
                </c:pt>
                <c:pt idx="1426">
                  <c:v>2.3799999999999998E-2</c:v>
                </c:pt>
                <c:pt idx="1427">
                  <c:v>2.35E-2</c:v>
                </c:pt>
                <c:pt idx="1428">
                  <c:v>2.3300000000000001E-2</c:v>
                </c:pt>
                <c:pt idx="1429">
                  <c:v>2.2799999999999997E-2</c:v>
                </c:pt>
                <c:pt idx="1430">
                  <c:v>2.2700000000000001E-2</c:v>
                </c:pt>
                <c:pt idx="1431">
                  <c:v>2.23E-2</c:v>
                </c:pt>
                <c:pt idx="1432">
                  <c:v>2.2599999999999999E-2</c:v>
                </c:pt>
                <c:pt idx="1433">
                  <c:v>2.29E-2</c:v>
                </c:pt>
                <c:pt idx="1434">
                  <c:v>2.2799999999999997E-2</c:v>
                </c:pt>
                <c:pt idx="1435">
                  <c:v>2.2000000000000002E-2</c:v>
                </c:pt>
                <c:pt idx="1436">
                  <c:v>2.1600000000000001E-2</c:v>
                </c:pt>
                <c:pt idx="1437">
                  <c:v>2.23E-2</c:v>
                </c:pt>
                <c:pt idx="1438">
                  <c:v>2.2799999999999997E-2</c:v>
                </c:pt>
                <c:pt idx="1439">
                  <c:v>2.23E-2</c:v>
                </c:pt>
                <c:pt idx="1440">
                  <c:v>2.18E-2</c:v>
                </c:pt>
                <c:pt idx="1441">
                  <c:v>2.2400000000000003E-2</c:v>
                </c:pt>
                <c:pt idx="1442">
                  <c:v>2.1499999999999998E-2</c:v>
                </c:pt>
                <c:pt idx="1443">
                  <c:v>2.1400000000000002E-2</c:v>
                </c:pt>
                <c:pt idx="1444">
                  <c:v>2.1899999999999999E-2</c:v>
                </c:pt>
                <c:pt idx="1445">
                  <c:v>2.2000000000000002E-2</c:v>
                </c:pt>
                <c:pt idx="1446">
                  <c:v>2.1600000000000001E-2</c:v>
                </c:pt>
                <c:pt idx="1447">
                  <c:v>2.2000000000000002E-2</c:v>
                </c:pt>
                <c:pt idx="1448">
                  <c:v>2.12E-2</c:v>
                </c:pt>
                <c:pt idx="1449">
                  <c:v>2.0899999999999998E-2</c:v>
                </c:pt>
                <c:pt idx="1450">
                  <c:v>2.0499999999999997E-2</c:v>
                </c:pt>
                <c:pt idx="1451">
                  <c:v>2.0099999999999996E-2</c:v>
                </c:pt>
                <c:pt idx="1452">
                  <c:v>2.12E-2</c:v>
                </c:pt>
                <c:pt idx="1453">
                  <c:v>2.18E-2</c:v>
                </c:pt>
                <c:pt idx="1454">
                  <c:v>2.18E-2</c:v>
                </c:pt>
                <c:pt idx="1455">
                  <c:v>2.1899999999999999E-2</c:v>
                </c:pt>
                <c:pt idx="1456">
                  <c:v>2.2099999999999998E-2</c:v>
                </c:pt>
                <c:pt idx="1457">
                  <c:v>2.1700000000000001E-2</c:v>
                </c:pt>
                <c:pt idx="1458">
                  <c:v>2.2000000000000002E-2</c:v>
                </c:pt>
                <c:pt idx="1459">
                  <c:v>2.18E-2</c:v>
                </c:pt>
                <c:pt idx="1460">
                  <c:v>2.1299999999999999E-2</c:v>
                </c:pt>
                <c:pt idx="1461">
                  <c:v>2.1299999999999999E-2</c:v>
                </c:pt>
                <c:pt idx="1462">
                  <c:v>2.2000000000000002E-2</c:v>
                </c:pt>
                <c:pt idx="1463">
                  <c:v>2.2099999999999998E-2</c:v>
                </c:pt>
                <c:pt idx="1464">
                  <c:v>2.23E-2</c:v>
                </c:pt>
                <c:pt idx="1465">
                  <c:v>2.2000000000000002E-2</c:v>
                </c:pt>
                <c:pt idx="1466">
                  <c:v>2.18E-2</c:v>
                </c:pt>
                <c:pt idx="1467">
                  <c:v>2.2799999999999997E-2</c:v>
                </c:pt>
                <c:pt idx="1468">
                  <c:v>2.3E-2</c:v>
                </c:pt>
                <c:pt idx="1469">
                  <c:v>2.2099999999999998E-2</c:v>
                </c:pt>
                <c:pt idx="1470">
                  <c:v>2.1299999999999999E-2</c:v>
                </c:pt>
                <c:pt idx="1471">
                  <c:v>2.2000000000000002E-2</c:v>
                </c:pt>
                <c:pt idx="1472">
                  <c:v>2.1400000000000002E-2</c:v>
                </c:pt>
                <c:pt idx="1473">
                  <c:v>2.1600000000000001E-2</c:v>
                </c:pt>
                <c:pt idx="1474">
                  <c:v>2.1299999999999999E-2</c:v>
                </c:pt>
                <c:pt idx="1475">
                  <c:v>2.1700000000000001E-2</c:v>
                </c:pt>
                <c:pt idx="1476">
                  <c:v>2.1000000000000001E-2</c:v>
                </c:pt>
                <c:pt idx="1477">
                  <c:v>2.0499999999999997E-2</c:v>
                </c:pt>
                <c:pt idx="1478">
                  <c:v>2.06E-2</c:v>
                </c:pt>
                <c:pt idx="1479">
                  <c:v>2.0499999999999997E-2</c:v>
                </c:pt>
                <c:pt idx="1480">
                  <c:v>1.9900000000000001E-2</c:v>
                </c:pt>
                <c:pt idx="1481">
                  <c:v>2.07E-2</c:v>
                </c:pt>
                <c:pt idx="1482">
                  <c:v>2.0499999999999997E-2</c:v>
                </c:pt>
                <c:pt idx="1483">
                  <c:v>2.0799999999999999E-2</c:v>
                </c:pt>
                <c:pt idx="1484">
                  <c:v>2.12E-2</c:v>
                </c:pt>
                <c:pt idx="1485">
                  <c:v>2.12E-2</c:v>
                </c:pt>
                <c:pt idx="1486">
                  <c:v>2.12E-2</c:v>
                </c:pt>
                <c:pt idx="1487">
                  <c:v>2.06E-2</c:v>
                </c:pt>
                <c:pt idx="1488">
                  <c:v>1.9900000000000001E-2</c:v>
                </c:pt>
                <c:pt idx="1489">
                  <c:v>2.0400000000000001E-2</c:v>
                </c:pt>
                <c:pt idx="1490">
                  <c:v>2.0400000000000001E-2</c:v>
                </c:pt>
                <c:pt idx="1491">
                  <c:v>2.0400000000000001E-2</c:v>
                </c:pt>
                <c:pt idx="1492">
                  <c:v>2.0799999999999999E-2</c:v>
                </c:pt>
                <c:pt idx="1493">
                  <c:v>2.0400000000000001E-2</c:v>
                </c:pt>
                <c:pt idx="1494">
                  <c:v>2.0400000000000001E-2</c:v>
                </c:pt>
                <c:pt idx="1495">
                  <c:v>2.0899999999999998E-2</c:v>
                </c:pt>
                <c:pt idx="1496">
                  <c:v>2.07E-2</c:v>
                </c:pt>
                <c:pt idx="1497">
                  <c:v>2.0499999999999997E-2</c:v>
                </c:pt>
                <c:pt idx="1498">
                  <c:v>2.1000000000000001E-2</c:v>
                </c:pt>
                <c:pt idx="1499">
                  <c:v>2.1899999999999999E-2</c:v>
                </c:pt>
                <c:pt idx="1500">
                  <c:v>2.1600000000000001E-2</c:v>
                </c:pt>
                <c:pt idx="1501">
                  <c:v>2.2000000000000002E-2</c:v>
                </c:pt>
                <c:pt idx="1502">
                  <c:v>2.23E-2</c:v>
                </c:pt>
                <c:pt idx="1503">
                  <c:v>2.2499999999999999E-2</c:v>
                </c:pt>
                <c:pt idx="1504">
                  <c:v>2.2599999999999999E-2</c:v>
                </c:pt>
                <c:pt idx="1505">
                  <c:v>2.3399999999999997E-2</c:v>
                </c:pt>
                <c:pt idx="1506">
                  <c:v>2.3599999999999999E-2</c:v>
                </c:pt>
                <c:pt idx="1507">
                  <c:v>2.3199999999999998E-2</c:v>
                </c:pt>
                <c:pt idx="1508">
                  <c:v>2.3199999999999998E-2</c:v>
                </c:pt>
                <c:pt idx="1509">
                  <c:v>2.3199999999999998E-2</c:v>
                </c:pt>
                <c:pt idx="1510">
                  <c:v>2.2799999999999997E-2</c:v>
                </c:pt>
                <c:pt idx="1511">
                  <c:v>2.2700000000000001E-2</c:v>
                </c:pt>
                <c:pt idx="1512">
                  <c:v>2.2499999999999999E-2</c:v>
                </c:pt>
                <c:pt idx="1513">
                  <c:v>2.2700000000000001E-2</c:v>
                </c:pt>
                <c:pt idx="1514">
                  <c:v>2.2400000000000003E-2</c:v>
                </c:pt>
                <c:pt idx="1515">
                  <c:v>2.2599999999999999E-2</c:v>
                </c:pt>
                <c:pt idx="1516">
                  <c:v>2.2499999999999999E-2</c:v>
                </c:pt>
                <c:pt idx="1517">
                  <c:v>2.2400000000000003E-2</c:v>
                </c:pt>
                <c:pt idx="1518">
                  <c:v>2.23E-2</c:v>
                </c:pt>
                <c:pt idx="1519">
                  <c:v>2.23E-2</c:v>
                </c:pt>
                <c:pt idx="1520">
                  <c:v>2.2200000000000001E-2</c:v>
                </c:pt>
                <c:pt idx="1521">
                  <c:v>2.2099999999999998E-2</c:v>
                </c:pt>
                <c:pt idx="1522">
                  <c:v>2.1499999999999998E-2</c:v>
                </c:pt>
                <c:pt idx="1523">
                  <c:v>2.18E-2</c:v>
                </c:pt>
                <c:pt idx="1524">
                  <c:v>2.3300000000000001E-2</c:v>
                </c:pt>
                <c:pt idx="1525">
                  <c:v>2.2799999999999997E-2</c:v>
                </c:pt>
                <c:pt idx="1526">
                  <c:v>2.23E-2</c:v>
                </c:pt>
                <c:pt idx="1527">
                  <c:v>2.2400000000000003E-2</c:v>
                </c:pt>
                <c:pt idx="1528">
                  <c:v>2.2200000000000001E-2</c:v>
                </c:pt>
                <c:pt idx="1529">
                  <c:v>2.2400000000000003E-2</c:v>
                </c:pt>
                <c:pt idx="1530">
                  <c:v>2.1299999999999999E-2</c:v>
                </c:pt>
                <c:pt idx="1531">
                  <c:v>2.23E-2</c:v>
                </c:pt>
                <c:pt idx="1532">
                  <c:v>2.2799999999999997E-2</c:v>
                </c:pt>
                <c:pt idx="1533">
                  <c:v>2.3E-2</c:v>
                </c:pt>
                <c:pt idx="1534">
                  <c:v>2.2400000000000003E-2</c:v>
                </c:pt>
                <c:pt idx="1535">
                  <c:v>2.1899999999999999E-2</c:v>
                </c:pt>
                <c:pt idx="1536">
                  <c:v>2.2000000000000002E-2</c:v>
                </c:pt>
                <c:pt idx="1537">
                  <c:v>2.2400000000000003E-2</c:v>
                </c:pt>
                <c:pt idx="1538">
                  <c:v>2.2700000000000001E-2</c:v>
                </c:pt>
                <c:pt idx="1539">
                  <c:v>2.2499999999999999E-2</c:v>
                </c:pt>
                <c:pt idx="1540">
                  <c:v>2.2499999999999999E-2</c:v>
                </c:pt>
                <c:pt idx="1541">
                  <c:v>2.2400000000000003E-2</c:v>
                </c:pt>
                <c:pt idx="1542">
                  <c:v>2.3199999999999998E-2</c:v>
                </c:pt>
                <c:pt idx="1543">
                  <c:v>2.3099999999999999E-2</c:v>
                </c:pt>
                <c:pt idx="1544">
                  <c:v>2.2700000000000001E-2</c:v>
                </c:pt>
                <c:pt idx="1545">
                  <c:v>2.2700000000000001E-2</c:v>
                </c:pt>
                <c:pt idx="1546">
                  <c:v>2.2400000000000003E-2</c:v>
                </c:pt>
                <c:pt idx="1547">
                  <c:v>2.2499999999999999E-2</c:v>
                </c:pt>
                <c:pt idx="1548">
                  <c:v>2.18E-2</c:v>
                </c:pt>
                <c:pt idx="1549">
                  <c:v>2.1600000000000001E-2</c:v>
                </c:pt>
                <c:pt idx="1550">
                  <c:v>2.1299999999999999E-2</c:v>
                </c:pt>
                <c:pt idx="1551">
                  <c:v>2.1700000000000001E-2</c:v>
                </c:pt>
                <c:pt idx="1552">
                  <c:v>2.12E-2</c:v>
                </c:pt>
                <c:pt idx="1553">
                  <c:v>2.0799999999999999E-2</c:v>
                </c:pt>
                <c:pt idx="1554">
                  <c:v>2.1000000000000001E-2</c:v>
                </c:pt>
                <c:pt idx="1555">
                  <c:v>2.0299999999999999E-2</c:v>
                </c:pt>
                <c:pt idx="1556">
                  <c:v>2.0299999999999999E-2</c:v>
                </c:pt>
                <c:pt idx="1557">
                  <c:v>2.06E-2</c:v>
                </c:pt>
                <c:pt idx="1558">
                  <c:v>2.0099999999999996E-2</c:v>
                </c:pt>
                <c:pt idx="1559">
                  <c:v>2.0199999999999999E-2</c:v>
                </c:pt>
                <c:pt idx="1560">
                  <c:v>2.07E-2</c:v>
                </c:pt>
                <c:pt idx="1561">
                  <c:v>2.0299999999999999E-2</c:v>
                </c:pt>
                <c:pt idx="1562">
                  <c:v>2.0099999999999996E-2</c:v>
                </c:pt>
                <c:pt idx="1563">
                  <c:v>2.0199999999999999E-2</c:v>
                </c:pt>
                <c:pt idx="1564">
                  <c:v>0.02</c:v>
                </c:pt>
                <c:pt idx="1565">
                  <c:v>1.9400000000000001E-2</c:v>
                </c:pt>
                <c:pt idx="1566">
                  <c:v>1.9699999999999999E-2</c:v>
                </c:pt>
                <c:pt idx="1567">
                  <c:v>1.8700000000000001E-2</c:v>
                </c:pt>
                <c:pt idx="1568">
                  <c:v>1.8799999999999997E-2</c:v>
                </c:pt>
                <c:pt idx="1569">
                  <c:v>1.8700000000000001E-2</c:v>
                </c:pt>
                <c:pt idx="1570">
                  <c:v>1.8600000000000002E-2</c:v>
                </c:pt>
                <c:pt idx="1571">
                  <c:v>1.7500000000000002E-2</c:v>
                </c:pt>
                <c:pt idx="1572">
                  <c:v>1.7399999999999999E-2</c:v>
                </c:pt>
                <c:pt idx="1573">
                  <c:v>1.7100000000000001E-2</c:v>
                </c:pt>
                <c:pt idx="1574">
                  <c:v>1.6299999999999999E-2</c:v>
                </c:pt>
                <c:pt idx="1575">
                  <c:v>1.7399999999999999E-2</c:v>
                </c:pt>
                <c:pt idx="1576">
                  <c:v>1.7399999999999999E-2</c:v>
                </c:pt>
                <c:pt idx="1577">
                  <c:v>1.78E-2</c:v>
                </c:pt>
                <c:pt idx="1578">
                  <c:v>1.8100000000000002E-2</c:v>
                </c:pt>
                <c:pt idx="1579">
                  <c:v>1.7500000000000002E-2</c:v>
                </c:pt>
                <c:pt idx="1580">
                  <c:v>1.7600000000000001E-2</c:v>
                </c:pt>
                <c:pt idx="1581">
                  <c:v>1.77E-2</c:v>
                </c:pt>
                <c:pt idx="1582">
                  <c:v>1.7399999999999999E-2</c:v>
                </c:pt>
                <c:pt idx="1583">
                  <c:v>1.7500000000000002E-2</c:v>
                </c:pt>
                <c:pt idx="1584">
                  <c:v>1.7100000000000001E-2</c:v>
                </c:pt>
                <c:pt idx="1585">
                  <c:v>1.7600000000000001E-2</c:v>
                </c:pt>
                <c:pt idx="1586">
                  <c:v>1.7399999999999999E-2</c:v>
                </c:pt>
                <c:pt idx="1587">
                  <c:v>1.83E-2</c:v>
                </c:pt>
                <c:pt idx="1588">
                  <c:v>1.84E-2</c:v>
                </c:pt>
                <c:pt idx="1589">
                  <c:v>1.83E-2</c:v>
                </c:pt>
                <c:pt idx="1590">
                  <c:v>1.8799999999999997E-2</c:v>
                </c:pt>
                <c:pt idx="1591">
                  <c:v>1.9099999999999999E-2</c:v>
                </c:pt>
                <c:pt idx="1592">
                  <c:v>1.83E-2</c:v>
                </c:pt>
                <c:pt idx="1593">
                  <c:v>1.9E-2</c:v>
                </c:pt>
                <c:pt idx="1594">
                  <c:v>1.9299999999999998E-2</c:v>
                </c:pt>
                <c:pt idx="1595">
                  <c:v>1.9799999999999998E-2</c:v>
                </c:pt>
                <c:pt idx="1596">
                  <c:v>1.9699999999999999E-2</c:v>
                </c:pt>
                <c:pt idx="1597">
                  <c:v>1.9699999999999999E-2</c:v>
                </c:pt>
                <c:pt idx="1598">
                  <c:v>1.9400000000000001E-2</c:v>
                </c:pt>
                <c:pt idx="1599">
                  <c:v>1.9099999999999999E-2</c:v>
                </c:pt>
                <c:pt idx="1600">
                  <c:v>1.8799999999999997E-2</c:v>
                </c:pt>
                <c:pt idx="1601">
                  <c:v>1.9199999999999998E-2</c:v>
                </c:pt>
                <c:pt idx="1602">
                  <c:v>1.9400000000000001E-2</c:v>
                </c:pt>
                <c:pt idx="1603">
                  <c:v>1.8799999999999997E-2</c:v>
                </c:pt>
                <c:pt idx="1604">
                  <c:v>1.9099999999999999E-2</c:v>
                </c:pt>
                <c:pt idx="1605">
                  <c:v>1.9099999999999999E-2</c:v>
                </c:pt>
                <c:pt idx="1606">
                  <c:v>1.89E-2</c:v>
                </c:pt>
                <c:pt idx="1607">
                  <c:v>1.8100000000000002E-2</c:v>
                </c:pt>
                <c:pt idx="1608">
                  <c:v>1.83E-2</c:v>
                </c:pt>
                <c:pt idx="1609">
                  <c:v>1.78E-2</c:v>
                </c:pt>
                <c:pt idx="1610">
                  <c:v>1.7899999999999999E-2</c:v>
                </c:pt>
                <c:pt idx="1611">
                  <c:v>1.78E-2</c:v>
                </c:pt>
                <c:pt idx="1612">
                  <c:v>1.7299999999999999E-2</c:v>
                </c:pt>
                <c:pt idx="1613">
                  <c:v>1.7600000000000001E-2</c:v>
                </c:pt>
                <c:pt idx="1614">
                  <c:v>1.7000000000000001E-2</c:v>
                </c:pt>
                <c:pt idx="1615">
                  <c:v>1.72E-2</c:v>
                </c:pt>
                <c:pt idx="1616">
                  <c:v>1.7299999999999999E-2</c:v>
                </c:pt>
                <c:pt idx="1617">
                  <c:v>1.7899999999999999E-2</c:v>
                </c:pt>
                <c:pt idx="1618">
                  <c:v>1.77E-2</c:v>
                </c:pt>
                <c:pt idx="1619">
                  <c:v>1.8000000000000002E-2</c:v>
                </c:pt>
                <c:pt idx="1620">
                  <c:v>1.7600000000000001E-2</c:v>
                </c:pt>
                <c:pt idx="1621">
                  <c:v>1.78E-2</c:v>
                </c:pt>
                <c:pt idx="1622">
                  <c:v>1.7899999999999999E-2</c:v>
                </c:pt>
                <c:pt idx="1623">
                  <c:v>1.8500000000000003E-2</c:v>
                </c:pt>
                <c:pt idx="1624">
                  <c:v>1.8799999999999997E-2</c:v>
                </c:pt>
                <c:pt idx="1625">
                  <c:v>1.89E-2</c:v>
                </c:pt>
                <c:pt idx="1626">
                  <c:v>1.9099999999999999E-2</c:v>
                </c:pt>
                <c:pt idx="1627">
                  <c:v>1.9400000000000001E-2</c:v>
                </c:pt>
                <c:pt idx="1628">
                  <c:v>1.8700000000000001E-2</c:v>
                </c:pt>
                <c:pt idx="1629">
                  <c:v>1.84E-2</c:v>
                </c:pt>
                <c:pt idx="1630">
                  <c:v>1.83E-2</c:v>
                </c:pt>
                <c:pt idx="1631">
                  <c:v>1.8799999999999997E-2</c:v>
                </c:pt>
                <c:pt idx="1632">
                  <c:v>1.8100000000000002E-2</c:v>
                </c:pt>
                <c:pt idx="1633">
                  <c:v>1.7899999999999999E-2</c:v>
                </c:pt>
                <c:pt idx="1634">
                  <c:v>1.7600000000000001E-2</c:v>
                </c:pt>
                <c:pt idx="1635">
                  <c:v>1.7899999999999999E-2</c:v>
                </c:pt>
                <c:pt idx="1636">
                  <c:v>1.77E-2</c:v>
                </c:pt>
                <c:pt idx="1637">
                  <c:v>1.77E-2</c:v>
                </c:pt>
                <c:pt idx="1638">
                  <c:v>1.7299999999999999E-2</c:v>
                </c:pt>
                <c:pt idx="1639">
                  <c:v>1.7500000000000002E-2</c:v>
                </c:pt>
                <c:pt idx="1640">
                  <c:v>1.7100000000000001E-2</c:v>
                </c:pt>
                <c:pt idx="1641">
                  <c:v>1.7500000000000002E-2</c:v>
                </c:pt>
                <c:pt idx="1642">
                  <c:v>1.7600000000000001E-2</c:v>
                </c:pt>
                <c:pt idx="1643">
                  <c:v>1.8700000000000001E-2</c:v>
                </c:pt>
                <c:pt idx="1644">
                  <c:v>1.8500000000000003E-2</c:v>
                </c:pt>
                <c:pt idx="1645">
                  <c:v>1.8500000000000003E-2</c:v>
                </c:pt>
                <c:pt idx="1646">
                  <c:v>1.84E-2</c:v>
                </c:pt>
                <c:pt idx="1647">
                  <c:v>1.8600000000000002E-2</c:v>
                </c:pt>
                <c:pt idx="1648">
                  <c:v>1.8700000000000001E-2</c:v>
                </c:pt>
                <c:pt idx="1649">
                  <c:v>1.83E-2</c:v>
                </c:pt>
                <c:pt idx="1650">
                  <c:v>1.8500000000000003E-2</c:v>
                </c:pt>
                <c:pt idx="1651">
                  <c:v>1.8500000000000003E-2</c:v>
                </c:pt>
                <c:pt idx="1652">
                  <c:v>1.84E-2</c:v>
                </c:pt>
                <c:pt idx="1653">
                  <c:v>1.8500000000000003E-2</c:v>
                </c:pt>
                <c:pt idx="1654">
                  <c:v>1.8100000000000002E-2</c:v>
                </c:pt>
                <c:pt idx="1655">
                  <c:v>1.7100000000000001E-2</c:v>
                </c:pt>
                <c:pt idx="1656">
                  <c:v>1.7299999999999999E-2</c:v>
                </c:pt>
                <c:pt idx="1657">
                  <c:v>1.72E-2</c:v>
                </c:pt>
                <c:pt idx="1658">
                  <c:v>1.7100000000000001E-2</c:v>
                </c:pt>
                <c:pt idx="1659">
                  <c:v>1.6799999999999999E-2</c:v>
                </c:pt>
                <c:pt idx="1660">
                  <c:v>1.6399999999999998E-2</c:v>
                </c:pt>
                <c:pt idx="1661">
                  <c:v>1.6200000000000003E-2</c:v>
                </c:pt>
                <c:pt idx="1662">
                  <c:v>1.6200000000000003E-2</c:v>
                </c:pt>
                <c:pt idx="1663">
                  <c:v>1.6E-2</c:v>
                </c:pt>
                <c:pt idx="1664">
                  <c:v>1.5700000000000002E-2</c:v>
                </c:pt>
                <c:pt idx="1665">
                  <c:v>1.6200000000000003E-2</c:v>
                </c:pt>
                <c:pt idx="1666">
                  <c:v>1.67E-2</c:v>
                </c:pt>
                <c:pt idx="1667">
                  <c:v>1.7100000000000001E-2</c:v>
                </c:pt>
                <c:pt idx="1668">
                  <c:v>1.6899999999999998E-2</c:v>
                </c:pt>
                <c:pt idx="1669">
                  <c:v>1.7399999999999999E-2</c:v>
                </c:pt>
                <c:pt idx="1670">
                  <c:v>1.5700000000000002E-2</c:v>
                </c:pt>
                <c:pt idx="1671">
                  <c:v>1.46E-2</c:v>
                </c:pt>
                <c:pt idx="1672">
                  <c:v>1.46E-2</c:v>
                </c:pt>
                <c:pt idx="1673">
                  <c:v>1.4999999999999999E-2</c:v>
                </c:pt>
                <c:pt idx="1674">
                  <c:v>1.49E-2</c:v>
                </c:pt>
                <c:pt idx="1675">
                  <c:v>1.46E-2</c:v>
                </c:pt>
                <c:pt idx="1676">
                  <c:v>1.46E-2</c:v>
                </c:pt>
                <c:pt idx="1677">
                  <c:v>1.37E-2</c:v>
                </c:pt>
                <c:pt idx="1678">
                  <c:v>1.38E-2</c:v>
                </c:pt>
                <c:pt idx="1679">
                  <c:v>1.3999999999999999E-2</c:v>
                </c:pt>
                <c:pt idx="1680">
                  <c:v>1.37E-2</c:v>
                </c:pt>
                <c:pt idx="1681">
                  <c:v>1.43E-2</c:v>
                </c:pt>
                <c:pt idx="1682">
                  <c:v>1.5300000000000001E-2</c:v>
                </c:pt>
                <c:pt idx="1683">
                  <c:v>1.4800000000000001E-2</c:v>
                </c:pt>
                <c:pt idx="1684">
                  <c:v>1.5300000000000001E-2</c:v>
                </c:pt>
                <c:pt idx="1685">
                  <c:v>1.6E-2</c:v>
                </c:pt>
                <c:pt idx="1686">
                  <c:v>1.5900000000000001E-2</c:v>
                </c:pt>
                <c:pt idx="1687">
                  <c:v>1.5600000000000001E-2</c:v>
                </c:pt>
                <c:pt idx="1688">
                  <c:v>1.5900000000000001E-2</c:v>
                </c:pt>
                <c:pt idx="1689">
                  <c:v>1.5700000000000002E-2</c:v>
                </c:pt>
                <c:pt idx="1690">
                  <c:v>1.5700000000000002E-2</c:v>
                </c:pt>
                <c:pt idx="1691">
                  <c:v>1.5800000000000002E-2</c:v>
                </c:pt>
                <c:pt idx="1692">
                  <c:v>1.5700000000000002E-2</c:v>
                </c:pt>
                <c:pt idx="1693">
                  <c:v>1.52E-2</c:v>
                </c:pt>
                <c:pt idx="1694">
                  <c:v>1.52E-2</c:v>
                </c:pt>
                <c:pt idx="1695">
                  <c:v>1.46E-2</c:v>
                </c:pt>
                <c:pt idx="1696">
                  <c:v>1.5100000000000001E-2</c:v>
                </c:pt>
                <c:pt idx="1697">
                  <c:v>1.55E-2</c:v>
                </c:pt>
                <c:pt idx="1698">
                  <c:v>1.55E-2</c:v>
                </c:pt>
                <c:pt idx="1699">
                  <c:v>1.5100000000000001E-2</c:v>
                </c:pt>
                <c:pt idx="1700">
                  <c:v>1.5900000000000001E-2</c:v>
                </c:pt>
                <c:pt idx="1701">
                  <c:v>1.5900000000000001E-2</c:v>
                </c:pt>
                <c:pt idx="1702">
                  <c:v>1.55E-2</c:v>
                </c:pt>
                <c:pt idx="1703">
                  <c:v>1.4999999999999999E-2</c:v>
                </c:pt>
                <c:pt idx="1704">
                  <c:v>1.5700000000000002E-2</c:v>
                </c:pt>
                <c:pt idx="1705">
                  <c:v>1.5100000000000001E-2</c:v>
                </c:pt>
                <c:pt idx="1706">
                  <c:v>1.55E-2</c:v>
                </c:pt>
                <c:pt idx="1707">
                  <c:v>1.5700000000000002E-2</c:v>
                </c:pt>
                <c:pt idx="1708">
                  <c:v>1.5600000000000001E-2</c:v>
                </c:pt>
                <c:pt idx="1709">
                  <c:v>1.5300000000000001E-2</c:v>
                </c:pt>
                <c:pt idx="1710">
                  <c:v>1.5800000000000002E-2</c:v>
                </c:pt>
                <c:pt idx="1711">
                  <c:v>1.55E-2</c:v>
                </c:pt>
                <c:pt idx="1712">
                  <c:v>1.55E-2</c:v>
                </c:pt>
                <c:pt idx="1713">
                  <c:v>1.5600000000000001E-2</c:v>
                </c:pt>
                <c:pt idx="1714">
                  <c:v>1.5800000000000002E-2</c:v>
                </c:pt>
                <c:pt idx="1715">
                  <c:v>1.6200000000000003E-2</c:v>
                </c:pt>
                <c:pt idx="1716">
                  <c:v>1.5700000000000002E-2</c:v>
                </c:pt>
                <c:pt idx="1717">
                  <c:v>1.5700000000000002E-2</c:v>
                </c:pt>
                <c:pt idx="1718">
                  <c:v>1.5800000000000002E-2</c:v>
                </c:pt>
                <c:pt idx="1719">
                  <c:v>1.5700000000000002E-2</c:v>
                </c:pt>
                <c:pt idx="1720">
                  <c:v>1.6E-2</c:v>
                </c:pt>
                <c:pt idx="1721">
                  <c:v>1.6E-2</c:v>
                </c:pt>
                <c:pt idx="1722">
                  <c:v>1.55E-2</c:v>
                </c:pt>
                <c:pt idx="1723">
                  <c:v>1.54E-2</c:v>
                </c:pt>
                <c:pt idx="1724">
                  <c:v>1.61E-2</c:v>
                </c:pt>
                <c:pt idx="1725">
                  <c:v>1.67E-2</c:v>
                </c:pt>
                <c:pt idx="1726">
                  <c:v>1.6799999999999999E-2</c:v>
                </c:pt>
                <c:pt idx="1727">
                  <c:v>1.7299999999999999E-2</c:v>
                </c:pt>
                <c:pt idx="1728">
                  <c:v>1.7000000000000001E-2</c:v>
                </c:pt>
                <c:pt idx="1729">
                  <c:v>1.7100000000000001E-2</c:v>
                </c:pt>
                <c:pt idx="1730">
                  <c:v>1.7000000000000001E-2</c:v>
                </c:pt>
                <c:pt idx="1731">
                  <c:v>1.7000000000000001E-2</c:v>
                </c:pt>
                <c:pt idx="1732">
                  <c:v>1.6899999999999998E-2</c:v>
                </c:pt>
                <c:pt idx="1733">
                  <c:v>1.66E-2</c:v>
                </c:pt>
                <c:pt idx="1734">
                  <c:v>1.6299999999999999E-2</c:v>
                </c:pt>
                <c:pt idx="1735">
                  <c:v>1.6200000000000003E-2</c:v>
                </c:pt>
                <c:pt idx="1736">
                  <c:v>1.5900000000000001E-2</c:v>
                </c:pt>
                <c:pt idx="1737">
                  <c:v>1.5600000000000001E-2</c:v>
                </c:pt>
                <c:pt idx="1738">
                  <c:v>1.5700000000000002E-2</c:v>
                </c:pt>
                <c:pt idx="1739">
                  <c:v>1.5600000000000001E-2</c:v>
                </c:pt>
                <c:pt idx="1740">
                  <c:v>1.6E-2</c:v>
                </c:pt>
                <c:pt idx="1741">
                  <c:v>1.6299999999999999E-2</c:v>
                </c:pt>
                <c:pt idx="1742">
                  <c:v>1.6899999999999998E-2</c:v>
                </c:pt>
                <c:pt idx="1743">
                  <c:v>1.72E-2</c:v>
                </c:pt>
                <c:pt idx="1744">
                  <c:v>1.7500000000000002E-2</c:v>
                </c:pt>
                <c:pt idx="1745">
                  <c:v>1.7299999999999999E-2</c:v>
                </c:pt>
                <c:pt idx="1746">
                  <c:v>1.7299999999999999E-2</c:v>
                </c:pt>
                <c:pt idx="1747">
                  <c:v>1.77E-2</c:v>
                </c:pt>
                <c:pt idx="1748">
                  <c:v>1.7899999999999999E-2</c:v>
                </c:pt>
                <c:pt idx="1749">
                  <c:v>1.7500000000000002E-2</c:v>
                </c:pt>
                <c:pt idx="1750">
                  <c:v>1.8000000000000002E-2</c:v>
                </c:pt>
                <c:pt idx="1751">
                  <c:v>1.77E-2</c:v>
                </c:pt>
                <c:pt idx="1752">
                  <c:v>1.7500000000000002E-2</c:v>
                </c:pt>
                <c:pt idx="1753">
                  <c:v>1.7600000000000001E-2</c:v>
                </c:pt>
                <c:pt idx="1754">
                  <c:v>1.7600000000000001E-2</c:v>
                </c:pt>
                <c:pt idx="1755">
                  <c:v>1.7399999999999999E-2</c:v>
                </c:pt>
                <c:pt idx="1756">
                  <c:v>1.77E-2</c:v>
                </c:pt>
                <c:pt idx="1757">
                  <c:v>1.77E-2</c:v>
                </c:pt>
                <c:pt idx="1758">
                  <c:v>1.7899999999999999E-2</c:v>
                </c:pt>
                <c:pt idx="1759">
                  <c:v>1.8500000000000003E-2</c:v>
                </c:pt>
                <c:pt idx="1760">
                  <c:v>1.8600000000000002E-2</c:v>
                </c:pt>
                <c:pt idx="1761">
                  <c:v>1.84E-2</c:v>
                </c:pt>
                <c:pt idx="1762">
                  <c:v>1.83E-2</c:v>
                </c:pt>
                <c:pt idx="1763">
                  <c:v>1.8100000000000002E-2</c:v>
                </c:pt>
                <c:pt idx="1764">
                  <c:v>1.8200000000000001E-2</c:v>
                </c:pt>
                <c:pt idx="1765">
                  <c:v>1.7899999999999999E-2</c:v>
                </c:pt>
                <c:pt idx="1766">
                  <c:v>1.83E-2</c:v>
                </c:pt>
                <c:pt idx="1767">
                  <c:v>1.8799999999999997E-2</c:v>
                </c:pt>
                <c:pt idx="1768">
                  <c:v>2.07E-2</c:v>
                </c:pt>
                <c:pt idx="1769">
                  <c:v>2.1499999999999998E-2</c:v>
                </c:pt>
                <c:pt idx="1770">
                  <c:v>2.1499999999999998E-2</c:v>
                </c:pt>
                <c:pt idx="1771">
                  <c:v>2.23E-2</c:v>
                </c:pt>
                <c:pt idx="1772">
                  <c:v>2.23E-2</c:v>
                </c:pt>
                <c:pt idx="1773">
                  <c:v>2.2200000000000001E-2</c:v>
                </c:pt>
                <c:pt idx="1774">
                  <c:v>2.29E-2</c:v>
                </c:pt>
                <c:pt idx="1775">
                  <c:v>2.3399999999999997E-2</c:v>
                </c:pt>
                <c:pt idx="1776">
                  <c:v>2.3300000000000001E-2</c:v>
                </c:pt>
                <c:pt idx="1777">
                  <c:v>2.3099999999999999E-2</c:v>
                </c:pt>
                <c:pt idx="1778">
                  <c:v>2.3599999999999999E-2</c:v>
                </c:pt>
                <c:pt idx="1779">
                  <c:v>2.3599999999999999E-2</c:v>
                </c:pt>
                <c:pt idx="1780">
                  <c:v>2.3599999999999999E-2</c:v>
                </c:pt>
                <c:pt idx="1781">
                  <c:v>2.3199999999999998E-2</c:v>
                </c:pt>
                <c:pt idx="1782">
                  <c:v>2.3E-2</c:v>
                </c:pt>
                <c:pt idx="1783">
                  <c:v>2.3700000000000002E-2</c:v>
                </c:pt>
                <c:pt idx="1784">
                  <c:v>2.4500000000000001E-2</c:v>
                </c:pt>
                <c:pt idx="1785">
                  <c:v>2.4E-2</c:v>
                </c:pt>
                <c:pt idx="1786">
                  <c:v>2.3900000000000001E-2</c:v>
                </c:pt>
                <c:pt idx="1787">
                  <c:v>2.3900000000000001E-2</c:v>
                </c:pt>
                <c:pt idx="1788">
                  <c:v>2.3399999999999997E-2</c:v>
                </c:pt>
                <c:pt idx="1789">
                  <c:v>2.4E-2</c:v>
                </c:pt>
                <c:pt idx="1790">
                  <c:v>2.4700000000000003E-2</c:v>
                </c:pt>
                <c:pt idx="1791">
                  <c:v>2.4900000000000002E-2</c:v>
                </c:pt>
                <c:pt idx="1792">
                  <c:v>2.4799999999999999E-2</c:v>
                </c:pt>
                <c:pt idx="1793">
                  <c:v>2.5399999999999999E-2</c:v>
                </c:pt>
                <c:pt idx="1794">
                  <c:v>2.6000000000000002E-2</c:v>
                </c:pt>
                <c:pt idx="1795">
                  <c:v>2.6000000000000002E-2</c:v>
                </c:pt>
                <c:pt idx="1796">
                  <c:v>2.5399999999999999E-2</c:v>
                </c:pt>
                <c:pt idx="1797">
                  <c:v>2.5699999999999997E-2</c:v>
                </c:pt>
                <c:pt idx="1798">
                  <c:v>2.5499999999999998E-2</c:v>
                </c:pt>
                <c:pt idx="1799">
                  <c:v>2.5499999999999998E-2</c:v>
                </c:pt>
                <c:pt idx="1800">
                  <c:v>2.5499999999999998E-2</c:v>
                </c:pt>
                <c:pt idx="1801">
                  <c:v>2.5499999999999998E-2</c:v>
                </c:pt>
                <c:pt idx="1802">
                  <c:v>2.5699999999999997E-2</c:v>
                </c:pt>
                <c:pt idx="1803">
                  <c:v>2.5099999999999997E-2</c:v>
                </c:pt>
                <c:pt idx="1804">
                  <c:v>2.4900000000000002E-2</c:v>
                </c:pt>
                <c:pt idx="1805">
                  <c:v>2.4500000000000001E-2</c:v>
                </c:pt>
                <c:pt idx="1806">
                  <c:v>2.4500000000000001E-2</c:v>
                </c:pt>
                <c:pt idx="1807">
                  <c:v>2.4500000000000001E-2</c:v>
                </c:pt>
                <c:pt idx="1808">
                  <c:v>2.46E-2</c:v>
                </c:pt>
                <c:pt idx="1809">
                  <c:v>2.3700000000000002E-2</c:v>
                </c:pt>
                <c:pt idx="1810">
                  <c:v>2.4199999999999999E-2</c:v>
                </c:pt>
                <c:pt idx="1811">
                  <c:v>2.3799999999999998E-2</c:v>
                </c:pt>
                <c:pt idx="1812">
                  <c:v>2.3799999999999998E-2</c:v>
                </c:pt>
                <c:pt idx="1813">
                  <c:v>2.3799999999999998E-2</c:v>
                </c:pt>
                <c:pt idx="1814">
                  <c:v>2.3599999999999999E-2</c:v>
                </c:pt>
                <c:pt idx="1815">
                  <c:v>2.4E-2</c:v>
                </c:pt>
                <c:pt idx="1816">
                  <c:v>2.4E-2</c:v>
                </c:pt>
                <c:pt idx="1817">
                  <c:v>2.3300000000000001E-2</c:v>
                </c:pt>
                <c:pt idx="1818">
                  <c:v>2.4199999999999999E-2</c:v>
                </c:pt>
                <c:pt idx="1819">
                  <c:v>2.4700000000000003E-2</c:v>
                </c:pt>
                <c:pt idx="1820">
                  <c:v>2.4799999999999999E-2</c:v>
                </c:pt>
                <c:pt idx="1821">
                  <c:v>2.41E-2</c:v>
                </c:pt>
                <c:pt idx="1822">
                  <c:v>2.4700000000000003E-2</c:v>
                </c:pt>
                <c:pt idx="1823">
                  <c:v>2.53E-2</c:v>
                </c:pt>
                <c:pt idx="1824">
                  <c:v>2.5099999999999997E-2</c:v>
                </c:pt>
                <c:pt idx="1825">
                  <c:v>2.4900000000000002E-2</c:v>
                </c:pt>
                <c:pt idx="1826">
                  <c:v>2.4900000000000002E-2</c:v>
                </c:pt>
                <c:pt idx="1827">
                  <c:v>2.4500000000000001E-2</c:v>
                </c:pt>
                <c:pt idx="1828">
                  <c:v>2.4799999999999999E-2</c:v>
                </c:pt>
                <c:pt idx="1829">
                  <c:v>2.4799999999999999E-2</c:v>
                </c:pt>
                <c:pt idx="1830">
                  <c:v>2.4900000000000002E-2</c:v>
                </c:pt>
                <c:pt idx="1831">
                  <c:v>2.4199999999999999E-2</c:v>
                </c:pt>
                <c:pt idx="1832">
                  <c:v>2.4E-2</c:v>
                </c:pt>
                <c:pt idx="1833">
                  <c:v>2.3399999999999997E-2</c:v>
                </c:pt>
                <c:pt idx="1834">
                  <c:v>2.4E-2</c:v>
                </c:pt>
                <c:pt idx="1835">
                  <c:v>2.41E-2</c:v>
                </c:pt>
                <c:pt idx="1836">
                  <c:v>2.4300000000000002E-2</c:v>
                </c:pt>
                <c:pt idx="1837">
                  <c:v>2.4700000000000003E-2</c:v>
                </c:pt>
                <c:pt idx="1838">
                  <c:v>2.5099999999999997E-2</c:v>
                </c:pt>
                <c:pt idx="1839">
                  <c:v>2.4500000000000001E-2</c:v>
                </c:pt>
                <c:pt idx="1840">
                  <c:v>2.4199999999999999E-2</c:v>
                </c:pt>
                <c:pt idx="1841">
                  <c:v>2.4199999999999999E-2</c:v>
                </c:pt>
                <c:pt idx="1842">
                  <c:v>2.4300000000000002E-2</c:v>
                </c:pt>
                <c:pt idx="1843">
                  <c:v>2.4199999999999999E-2</c:v>
                </c:pt>
                <c:pt idx="1844">
                  <c:v>2.3799999999999998E-2</c:v>
                </c:pt>
                <c:pt idx="1845">
                  <c:v>2.3099999999999999E-2</c:v>
                </c:pt>
                <c:pt idx="1846">
                  <c:v>2.3599999999999999E-2</c:v>
                </c:pt>
                <c:pt idx="1847">
                  <c:v>2.3599999999999999E-2</c:v>
                </c:pt>
                <c:pt idx="1848">
                  <c:v>2.46E-2</c:v>
                </c:pt>
                <c:pt idx="1849">
                  <c:v>2.4900000000000002E-2</c:v>
                </c:pt>
                <c:pt idx="1850">
                  <c:v>2.4900000000000002E-2</c:v>
                </c:pt>
                <c:pt idx="1851">
                  <c:v>2.4900000000000002E-2</c:v>
                </c:pt>
                <c:pt idx="1852">
                  <c:v>2.52E-2</c:v>
                </c:pt>
                <c:pt idx="1853">
                  <c:v>2.5699999999999997E-2</c:v>
                </c:pt>
                <c:pt idx="1854">
                  <c:v>2.6000000000000002E-2</c:v>
                </c:pt>
                <c:pt idx="1855">
                  <c:v>2.58E-2</c:v>
                </c:pt>
                <c:pt idx="1856">
                  <c:v>2.6200000000000001E-2</c:v>
                </c:pt>
                <c:pt idx="1857">
                  <c:v>2.6000000000000002E-2</c:v>
                </c:pt>
                <c:pt idx="1858">
                  <c:v>2.5099999999999997E-2</c:v>
                </c:pt>
                <c:pt idx="1859">
                  <c:v>2.53E-2</c:v>
                </c:pt>
                <c:pt idx="1860">
                  <c:v>2.5000000000000001E-2</c:v>
                </c:pt>
                <c:pt idx="1861">
                  <c:v>2.4700000000000003E-2</c:v>
                </c:pt>
                <c:pt idx="1862">
                  <c:v>2.4300000000000002E-2</c:v>
                </c:pt>
                <c:pt idx="1863">
                  <c:v>2.4E-2</c:v>
                </c:pt>
                <c:pt idx="1864">
                  <c:v>2.41E-2</c:v>
                </c:pt>
                <c:pt idx="1865">
                  <c:v>2.4E-2</c:v>
                </c:pt>
                <c:pt idx="1866">
                  <c:v>2.3799999999999998E-2</c:v>
                </c:pt>
                <c:pt idx="1867">
                  <c:v>2.4199999999999999E-2</c:v>
                </c:pt>
                <c:pt idx="1868">
                  <c:v>2.3900000000000001E-2</c:v>
                </c:pt>
                <c:pt idx="1869">
                  <c:v>2.4199999999999999E-2</c:v>
                </c:pt>
                <c:pt idx="1870">
                  <c:v>2.4E-2</c:v>
                </c:pt>
                <c:pt idx="1871">
                  <c:v>2.35E-2</c:v>
                </c:pt>
                <c:pt idx="1872">
                  <c:v>2.3599999999999999E-2</c:v>
                </c:pt>
                <c:pt idx="1873">
                  <c:v>2.3399999999999997E-2</c:v>
                </c:pt>
                <c:pt idx="1874">
                  <c:v>2.3399999999999997E-2</c:v>
                </c:pt>
                <c:pt idx="1875">
                  <c:v>2.3799999999999998E-2</c:v>
                </c:pt>
                <c:pt idx="1876">
                  <c:v>2.3700000000000002E-2</c:v>
                </c:pt>
                <c:pt idx="1877">
                  <c:v>2.3199999999999998E-2</c:v>
                </c:pt>
                <c:pt idx="1878">
                  <c:v>2.2799999999999997E-2</c:v>
                </c:pt>
                <c:pt idx="1879">
                  <c:v>2.2400000000000003E-2</c:v>
                </c:pt>
                <c:pt idx="1880">
                  <c:v>2.2400000000000003E-2</c:v>
                </c:pt>
                <c:pt idx="1881">
                  <c:v>2.2599999999999999E-2</c:v>
                </c:pt>
                <c:pt idx="1882">
                  <c:v>2.18E-2</c:v>
                </c:pt>
                <c:pt idx="1883">
                  <c:v>2.2099999999999998E-2</c:v>
                </c:pt>
                <c:pt idx="1884">
                  <c:v>2.2400000000000003E-2</c:v>
                </c:pt>
                <c:pt idx="1885">
                  <c:v>2.2400000000000003E-2</c:v>
                </c:pt>
                <c:pt idx="1886">
                  <c:v>2.2799999999999997E-2</c:v>
                </c:pt>
                <c:pt idx="1887">
                  <c:v>2.35E-2</c:v>
                </c:pt>
                <c:pt idx="1888">
                  <c:v>2.3199999999999998E-2</c:v>
                </c:pt>
                <c:pt idx="1889">
                  <c:v>2.3E-2</c:v>
                </c:pt>
                <c:pt idx="1890">
                  <c:v>2.29E-2</c:v>
                </c:pt>
                <c:pt idx="1891">
                  <c:v>2.3300000000000001E-2</c:v>
                </c:pt>
                <c:pt idx="1892">
                  <c:v>2.29E-2</c:v>
                </c:pt>
                <c:pt idx="1893">
                  <c:v>2.3300000000000001E-2</c:v>
                </c:pt>
                <c:pt idx="1894">
                  <c:v>2.3599999999999999E-2</c:v>
                </c:pt>
                <c:pt idx="1895">
                  <c:v>2.3599999999999999E-2</c:v>
                </c:pt>
                <c:pt idx="1896">
                  <c:v>2.3900000000000001E-2</c:v>
                </c:pt>
                <c:pt idx="1897">
                  <c:v>2.4199999999999999E-2</c:v>
                </c:pt>
                <c:pt idx="1898">
                  <c:v>2.41E-2</c:v>
                </c:pt>
                <c:pt idx="1899">
                  <c:v>2.3900000000000001E-2</c:v>
                </c:pt>
                <c:pt idx="1900">
                  <c:v>2.3300000000000001E-2</c:v>
                </c:pt>
                <c:pt idx="1901">
                  <c:v>2.3399999999999997E-2</c:v>
                </c:pt>
                <c:pt idx="1902">
                  <c:v>2.3300000000000001E-2</c:v>
                </c:pt>
                <c:pt idx="1903">
                  <c:v>2.2200000000000001E-2</c:v>
                </c:pt>
                <c:pt idx="1904">
                  <c:v>2.23E-2</c:v>
                </c:pt>
                <c:pt idx="1905">
                  <c:v>2.23E-2</c:v>
                </c:pt>
                <c:pt idx="1906">
                  <c:v>2.2499999999999999E-2</c:v>
                </c:pt>
                <c:pt idx="1907">
                  <c:v>2.29E-2</c:v>
                </c:pt>
                <c:pt idx="1908">
                  <c:v>2.2599999999999999E-2</c:v>
                </c:pt>
                <c:pt idx="1909">
                  <c:v>2.2499999999999999E-2</c:v>
                </c:pt>
                <c:pt idx="1910">
                  <c:v>2.2499999999999999E-2</c:v>
                </c:pt>
                <c:pt idx="1911">
                  <c:v>2.2499999999999999E-2</c:v>
                </c:pt>
                <c:pt idx="1912">
                  <c:v>2.2099999999999998E-2</c:v>
                </c:pt>
                <c:pt idx="1913">
                  <c:v>2.2099999999999998E-2</c:v>
                </c:pt>
                <c:pt idx="1914">
                  <c:v>2.2099999999999998E-2</c:v>
                </c:pt>
                <c:pt idx="1915">
                  <c:v>2.1499999999999998E-2</c:v>
                </c:pt>
                <c:pt idx="1916">
                  <c:v>2.18E-2</c:v>
                </c:pt>
                <c:pt idx="1917">
                  <c:v>2.1400000000000002E-2</c:v>
                </c:pt>
                <c:pt idx="1918">
                  <c:v>2.18E-2</c:v>
                </c:pt>
                <c:pt idx="1919">
                  <c:v>2.1899999999999999E-2</c:v>
                </c:pt>
                <c:pt idx="1920">
                  <c:v>2.2099999999999998E-2</c:v>
                </c:pt>
                <c:pt idx="1921">
                  <c:v>2.2099999999999998E-2</c:v>
                </c:pt>
                <c:pt idx="1922">
                  <c:v>2.2099999999999998E-2</c:v>
                </c:pt>
                <c:pt idx="1923">
                  <c:v>2.1499999999999998E-2</c:v>
                </c:pt>
                <c:pt idx="1924">
                  <c:v>2.1600000000000001E-2</c:v>
                </c:pt>
                <c:pt idx="1925">
                  <c:v>2.1600000000000001E-2</c:v>
                </c:pt>
                <c:pt idx="1926">
                  <c:v>2.1899999999999999E-2</c:v>
                </c:pt>
                <c:pt idx="1927">
                  <c:v>2.1600000000000001E-2</c:v>
                </c:pt>
                <c:pt idx="1928">
                  <c:v>2.1600000000000001E-2</c:v>
                </c:pt>
                <c:pt idx="1929">
                  <c:v>2.1499999999999998E-2</c:v>
                </c:pt>
                <c:pt idx="1930">
                  <c:v>2.1499999999999998E-2</c:v>
                </c:pt>
                <c:pt idx="1931">
                  <c:v>2.1400000000000002E-2</c:v>
                </c:pt>
                <c:pt idx="1932">
                  <c:v>2.2099999999999998E-2</c:v>
                </c:pt>
                <c:pt idx="1933">
                  <c:v>2.2200000000000001E-2</c:v>
                </c:pt>
                <c:pt idx="1934">
                  <c:v>2.2700000000000001E-2</c:v>
                </c:pt>
                <c:pt idx="1935">
                  <c:v>2.3099999999999999E-2</c:v>
                </c:pt>
                <c:pt idx="1936">
                  <c:v>2.35E-2</c:v>
                </c:pt>
                <c:pt idx="1937">
                  <c:v>2.35E-2</c:v>
                </c:pt>
                <c:pt idx="1938">
                  <c:v>2.3300000000000001E-2</c:v>
                </c:pt>
                <c:pt idx="1939">
                  <c:v>2.3700000000000002E-2</c:v>
                </c:pt>
                <c:pt idx="1940">
                  <c:v>2.3900000000000001E-2</c:v>
                </c:pt>
                <c:pt idx="1941">
                  <c:v>2.3799999999999998E-2</c:v>
                </c:pt>
                <c:pt idx="1942">
                  <c:v>2.3700000000000002E-2</c:v>
                </c:pt>
                <c:pt idx="1943">
                  <c:v>2.3300000000000001E-2</c:v>
                </c:pt>
                <c:pt idx="1944">
                  <c:v>2.35E-2</c:v>
                </c:pt>
                <c:pt idx="1945">
                  <c:v>2.3300000000000001E-2</c:v>
                </c:pt>
                <c:pt idx="1946">
                  <c:v>2.3099999999999999E-2</c:v>
                </c:pt>
                <c:pt idx="1947">
                  <c:v>2.2700000000000001E-2</c:v>
                </c:pt>
                <c:pt idx="1948">
                  <c:v>2.2700000000000001E-2</c:v>
                </c:pt>
                <c:pt idx="1949">
                  <c:v>2.2700000000000001E-2</c:v>
                </c:pt>
                <c:pt idx="1950">
                  <c:v>2.2400000000000003E-2</c:v>
                </c:pt>
                <c:pt idx="1951">
                  <c:v>2.2599999999999999E-2</c:v>
                </c:pt>
                <c:pt idx="1952">
                  <c:v>2.3300000000000001E-2</c:v>
                </c:pt>
                <c:pt idx="1953">
                  <c:v>2.29E-2</c:v>
                </c:pt>
                <c:pt idx="1954">
                  <c:v>2.3199999999999998E-2</c:v>
                </c:pt>
                <c:pt idx="1955">
                  <c:v>2.3E-2</c:v>
                </c:pt>
                <c:pt idx="1956">
                  <c:v>2.3E-2</c:v>
                </c:pt>
                <c:pt idx="1957">
                  <c:v>2.2599999999999999E-2</c:v>
                </c:pt>
                <c:pt idx="1958">
                  <c:v>2.2700000000000001E-2</c:v>
                </c:pt>
                <c:pt idx="1959">
                  <c:v>2.2400000000000003E-2</c:v>
                </c:pt>
                <c:pt idx="1960">
                  <c:v>2.2700000000000001E-2</c:v>
                </c:pt>
                <c:pt idx="1961">
                  <c:v>2.2599999999999999E-2</c:v>
                </c:pt>
                <c:pt idx="1962">
                  <c:v>2.29E-2</c:v>
                </c:pt>
                <c:pt idx="1963">
                  <c:v>2.2400000000000003E-2</c:v>
                </c:pt>
                <c:pt idx="1964">
                  <c:v>2.2000000000000002E-2</c:v>
                </c:pt>
                <c:pt idx="1965">
                  <c:v>2.1899999999999999E-2</c:v>
                </c:pt>
                <c:pt idx="1966">
                  <c:v>2.2200000000000001E-2</c:v>
                </c:pt>
                <c:pt idx="1967">
                  <c:v>2.2700000000000001E-2</c:v>
                </c:pt>
                <c:pt idx="1968">
                  <c:v>2.23E-2</c:v>
                </c:pt>
                <c:pt idx="1969">
                  <c:v>2.1899999999999999E-2</c:v>
                </c:pt>
                <c:pt idx="1970">
                  <c:v>2.1899999999999999E-2</c:v>
                </c:pt>
                <c:pt idx="1971">
                  <c:v>2.18E-2</c:v>
                </c:pt>
                <c:pt idx="1972">
                  <c:v>2.2200000000000001E-2</c:v>
                </c:pt>
                <c:pt idx="1973">
                  <c:v>2.1700000000000001E-2</c:v>
                </c:pt>
                <c:pt idx="1974">
                  <c:v>2.1899999999999999E-2</c:v>
                </c:pt>
                <c:pt idx="1975">
                  <c:v>2.1700000000000001E-2</c:v>
                </c:pt>
                <c:pt idx="1976">
                  <c:v>2.1600000000000001E-2</c:v>
                </c:pt>
                <c:pt idx="1977">
                  <c:v>2.1299999999999999E-2</c:v>
                </c:pt>
                <c:pt idx="1978">
                  <c:v>2.1499999999999998E-2</c:v>
                </c:pt>
                <c:pt idx="1979">
                  <c:v>2.12E-2</c:v>
                </c:pt>
                <c:pt idx="1980">
                  <c:v>2.1600000000000001E-2</c:v>
                </c:pt>
                <c:pt idx="1981">
                  <c:v>2.1600000000000001E-2</c:v>
                </c:pt>
                <c:pt idx="1982">
                  <c:v>2.07E-2</c:v>
                </c:pt>
                <c:pt idx="1983">
                  <c:v>2.1000000000000001E-2</c:v>
                </c:pt>
                <c:pt idx="1984">
                  <c:v>2.0499999999999997E-2</c:v>
                </c:pt>
                <c:pt idx="1985">
                  <c:v>2.06E-2</c:v>
                </c:pt>
                <c:pt idx="1986">
                  <c:v>2.1400000000000002E-2</c:v>
                </c:pt>
                <c:pt idx="1987">
                  <c:v>2.1700000000000001E-2</c:v>
                </c:pt>
                <c:pt idx="1988">
                  <c:v>2.2000000000000002E-2</c:v>
                </c:pt>
                <c:pt idx="1989">
                  <c:v>2.2000000000000002E-2</c:v>
                </c:pt>
                <c:pt idx="1990">
                  <c:v>2.2000000000000002E-2</c:v>
                </c:pt>
                <c:pt idx="1991">
                  <c:v>2.23E-2</c:v>
                </c:pt>
                <c:pt idx="1992">
                  <c:v>2.2400000000000003E-2</c:v>
                </c:pt>
                <c:pt idx="1993">
                  <c:v>2.2799999999999997E-2</c:v>
                </c:pt>
                <c:pt idx="1994">
                  <c:v>2.2700000000000001E-2</c:v>
                </c:pt>
                <c:pt idx="1995">
                  <c:v>2.2599999999999999E-2</c:v>
                </c:pt>
                <c:pt idx="1996">
                  <c:v>2.2200000000000001E-2</c:v>
                </c:pt>
                <c:pt idx="1997">
                  <c:v>2.2400000000000003E-2</c:v>
                </c:pt>
                <c:pt idx="1998">
                  <c:v>2.3099999999999999E-2</c:v>
                </c:pt>
                <c:pt idx="1999">
                  <c:v>2.3099999999999999E-2</c:v>
                </c:pt>
                <c:pt idx="2000">
                  <c:v>2.3300000000000001E-2</c:v>
                </c:pt>
                <c:pt idx="2001">
                  <c:v>2.3399999999999997E-2</c:v>
                </c:pt>
                <c:pt idx="2002">
                  <c:v>2.3300000000000001E-2</c:v>
                </c:pt>
                <c:pt idx="2003">
                  <c:v>2.3300000000000001E-2</c:v>
                </c:pt>
                <c:pt idx="2004">
                  <c:v>2.35E-2</c:v>
                </c:pt>
                <c:pt idx="2005">
                  <c:v>2.3700000000000002E-2</c:v>
                </c:pt>
                <c:pt idx="2006">
                  <c:v>2.3700000000000002E-2</c:v>
                </c:pt>
                <c:pt idx="2007">
                  <c:v>2.35E-2</c:v>
                </c:pt>
                <c:pt idx="2008">
                  <c:v>2.35E-2</c:v>
                </c:pt>
                <c:pt idx="2009">
                  <c:v>2.3300000000000001E-2</c:v>
                </c:pt>
                <c:pt idx="2010">
                  <c:v>2.2799999999999997E-2</c:v>
                </c:pt>
                <c:pt idx="2011">
                  <c:v>2.3E-2</c:v>
                </c:pt>
                <c:pt idx="2012">
                  <c:v>2.3E-2</c:v>
                </c:pt>
                <c:pt idx="2013">
                  <c:v>2.3399999999999997E-2</c:v>
                </c:pt>
                <c:pt idx="2014">
                  <c:v>2.3300000000000001E-2</c:v>
                </c:pt>
                <c:pt idx="2015">
                  <c:v>2.3900000000000001E-2</c:v>
                </c:pt>
                <c:pt idx="2016">
                  <c:v>2.3799999999999998E-2</c:v>
                </c:pt>
                <c:pt idx="2017">
                  <c:v>2.4199999999999999E-2</c:v>
                </c:pt>
                <c:pt idx="2018">
                  <c:v>2.4399999999999998E-2</c:v>
                </c:pt>
                <c:pt idx="2019">
                  <c:v>2.46E-2</c:v>
                </c:pt>
                <c:pt idx="2020">
                  <c:v>2.4199999999999999E-2</c:v>
                </c:pt>
                <c:pt idx="2021">
                  <c:v>2.3700000000000002E-2</c:v>
                </c:pt>
                <c:pt idx="2022">
                  <c:v>2.3799999999999998E-2</c:v>
                </c:pt>
                <c:pt idx="2023">
                  <c:v>2.3700000000000002E-2</c:v>
                </c:pt>
                <c:pt idx="2024">
                  <c:v>2.35E-2</c:v>
                </c:pt>
                <c:pt idx="2025">
                  <c:v>2.3399999999999997E-2</c:v>
                </c:pt>
                <c:pt idx="2026">
                  <c:v>2.3199999999999998E-2</c:v>
                </c:pt>
                <c:pt idx="2027">
                  <c:v>2.3199999999999998E-2</c:v>
                </c:pt>
                <c:pt idx="2028">
                  <c:v>2.3199999999999998E-2</c:v>
                </c:pt>
                <c:pt idx="2029">
                  <c:v>2.3300000000000001E-2</c:v>
                </c:pt>
                <c:pt idx="2030">
                  <c:v>2.4E-2</c:v>
                </c:pt>
                <c:pt idx="2031">
                  <c:v>2.4E-2</c:v>
                </c:pt>
                <c:pt idx="2032">
                  <c:v>2.3799999999999998E-2</c:v>
                </c:pt>
                <c:pt idx="2033">
                  <c:v>2.3300000000000001E-2</c:v>
                </c:pt>
                <c:pt idx="2034">
                  <c:v>2.3700000000000002E-2</c:v>
                </c:pt>
                <c:pt idx="2035">
                  <c:v>2.35E-2</c:v>
                </c:pt>
                <c:pt idx="2036">
                  <c:v>2.3700000000000002E-2</c:v>
                </c:pt>
                <c:pt idx="2037">
                  <c:v>2.3599999999999999E-2</c:v>
                </c:pt>
                <c:pt idx="2038">
                  <c:v>2.3199999999999998E-2</c:v>
                </c:pt>
                <c:pt idx="2039">
                  <c:v>2.3199999999999998E-2</c:v>
                </c:pt>
                <c:pt idx="2040">
                  <c:v>2.3399999999999997E-2</c:v>
                </c:pt>
                <c:pt idx="2041">
                  <c:v>2.3199999999999998E-2</c:v>
                </c:pt>
                <c:pt idx="2042">
                  <c:v>2.3399999999999997E-2</c:v>
                </c:pt>
                <c:pt idx="2043">
                  <c:v>2.3700000000000002E-2</c:v>
                </c:pt>
                <c:pt idx="2044">
                  <c:v>2.4199999999999999E-2</c:v>
                </c:pt>
                <c:pt idx="2045">
                  <c:v>2.3700000000000002E-2</c:v>
                </c:pt>
                <c:pt idx="2046">
                  <c:v>2.3700000000000002E-2</c:v>
                </c:pt>
                <c:pt idx="2047">
                  <c:v>2.3599999999999999E-2</c:v>
                </c:pt>
                <c:pt idx="2048">
                  <c:v>2.3300000000000001E-2</c:v>
                </c:pt>
                <c:pt idx="2049">
                  <c:v>2.3700000000000002E-2</c:v>
                </c:pt>
                <c:pt idx="2050">
                  <c:v>2.3799999999999998E-2</c:v>
                </c:pt>
                <c:pt idx="2051">
                  <c:v>2.3900000000000001E-2</c:v>
                </c:pt>
                <c:pt idx="2052">
                  <c:v>2.4E-2</c:v>
                </c:pt>
                <c:pt idx="2053">
                  <c:v>2.3599999999999999E-2</c:v>
                </c:pt>
                <c:pt idx="2054">
                  <c:v>2.35E-2</c:v>
                </c:pt>
                <c:pt idx="2055">
                  <c:v>2.35E-2</c:v>
                </c:pt>
                <c:pt idx="2056">
                  <c:v>2.3900000000000001E-2</c:v>
                </c:pt>
                <c:pt idx="2057">
                  <c:v>2.46E-2</c:v>
                </c:pt>
                <c:pt idx="2058">
                  <c:v>2.4900000000000002E-2</c:v>
                </c:pt>
                <c:pt idx="2059">
                  <c:v>2.4799999999999999E-2</c:v>
                </c:pt>
                <c:pt idx="2060">
                  <c:v>2.4799999999999999E-2</c:v>
                </c:pt>
                <c:pt idx="2061">
                  <c:v>2.4799999999999999E-2</c:v>
                </c:pt>
                <c:pt idx="2062">
                  <c:v>2.4700000000000003E-2</c:v>
                </c:pt>
                <c:pt idx="2063">
                  <c:v>2.4199999999999999E-2</c:v>
                </c:pt>
                <c:pt idx="2064">
                  <c:v>2.4300000000000002E-2</c:v>
                </c:pt>
                <c:pt idx="2065">
                  <c:v>2.4E-2</c:v>
                </c:pt>
                <c:pt idx="2066">
                  <c:v>2.4E-2</c:v>
                </c:pt>
                <c:pt idx="2067">
                  <c:v>2.46E-2</c:v>
                </c:pt>
                <c:pt idx="2068">
                  <c:v>2.4399999999999998E-2</c:v>
                </c:pt>
                <c:pt idx="2069">
                  <c:v>2.46E-2</c:v>
                </c:pt>
                <c:pt idx="2070">
                  <c:v>2.4700000000000003E-2</c:v>
                </c:pt>
                <c:pt idx="2071">
                  <c:v>2.4900000000000002E-2</c:v>
                </c:pt>
                <c:pt idx="2072">
                  <c:v>2.5499999999999998E-2</c:v>
                </c:pt>
                <c:pt idx="2073">
                  <c:v>2.5499999999999998E-2</c:v>
                </c:pt>
                <c:pt idx="2074">
                  <c:v>2.5399999999999999E-2</c:v>
                </c:pt>
                <c:pt idx="2075">
                  <c:v>2.5499999999999998E-2</c:v>
                </c:pt>
                <c:pt idx="2076">
                  <c:v>2.5499999999999998E-2</c:v>
                </c:pt>
                <c:pt idx="2077">
                  <c:v>2.5399999999999999E-2</c:v>
                </c:pt>
                <c:pt idx="2078">
                  <c:v>2.5699999999999997E-2</c:v>
                </c:pt>
                <c:pt idx="2079">
                  <c:v>2.6200000000000001E-2</c:v>
                </c:pt>
                <c:pt idx="2080">
                  <c:v>2.64E-2</c:v>
                </c:pt>
                <c:pt idx="2081">
                  <c:v>2.6600000000000002E-2</c:v>
                </c:pt>
                <c:pt idx="2082">
                  <c:v>2.63E-2</c:v>
                </c:pt>
                <c:pt idx="2083">
                  <c:v>2.6499999999999999E-2</c:v>
                </c:pt>
                <c:pt idx="2084">
                  <c:v>2.63E-2</c:v>
                </c:pt>
                <c:pt idx="2085">
                  <c:v>2.6600000000000002E-2</c:v>
                </c:pt>
                <c:pt idx="2086">
                  <c:v>2.7000000000000003E-2</c:v>
                </c:pt>
                <c:pt idx="2087">
                  <c:v>2.7300000000000001E-2</c:v>
                </c:pt>
                <c:pt idx="2088">
                  <c:v>2.7200000000000002E-2</c:v>
                </c:pt>
                <c:pt idx="2089">
                  <c:v>2.7799999999999998E-2</c:v>
                </c:pt>
                <c:pt idx="2090">
                  <c:v>2.8399999999999998E-2</c:v>
                </c:pt>
                <c:pt idx="2091">
                  <c:v>2.7699999999999999E-2</c:v>
                </c:pt>
                <c:pt idx="2092">
                  <c:v>2.7900000000000001E-2</c:v>
                </c:pt>
                <c:pt idx="2093">
                  <c:v>2.8399999999999998E-2</c:v>
                </c:pt>
                <c:pt idx="2094">
                  <c:v>2.8500000000000001E-2</c:v>
                </c:pt>
                <c:pt idx="2095">
                  <c:v>2.8300000000000002E-2</c:v>
                </c:pt>
                <c:pt idx="2096">
                  <c:v>2.86E-2</c:v>
                </c:pt>
                <c:pt idx="2097">
                  <c:v>2.8300000000000002E-2</c:v>
                </c:pt>
                <c:pt idx="2098">
                  <c:v>2.9100000000000001E-2</c:v>
                </c:pt>
                <c:pt idx="2099">
                  <c:v>2.8999999999999998E-2</c:v>
                </c:pt>
                <c:pt idx="2100">
                  <c:v>2.87E-2</c:v>
                </c:pt>
                <c:pt idx="2101">
                  <c:v>2.87E-2</c:v>
                </c:pt>
                <c:pt idx="2102">
                  <c:v>2.8799999999999999E-2</c:v>
                </c:pt>
                <c:pt idx="2103">
                  <c:v>2.9399999999999999E-2</c:v>
                </c:pt>
                <c:pt idx="2104">
                  <c:v>2.92E-2</c:v>
                </c:pt>
                <c:pt idx="2105">
                  <c:v>2.8799999999999999E-2</c:v>
                </c:pt>
                <c:pt idx="2106">
                  <c:v>2.86E-2</c:v>
                </c:pt>
                <c:pt idx="2107">
                  <c:v>2.8999999999999998E-2</c:v>
                </c:pt>
                <c:pt idx="2108">
                  <c:v>2.87E-2</c:v>
                </c:pt>
                <c:pt idx="2109">
                  <c:v>2.81E-2</c:v>
                </c:pt>
                <c:pt idx="2110">
                  <c:v>2.86E-2</c:v>
                </c:pt>
                <c:pt idx="2111">
                  <c:v>2.8799999999999999E-2</c:v>
                </c:pt>
                <c:pt idx="2112">
                  <c:v>2.8799999999999999E-2</c:v>
                </c:pt>
                <c:pt idx="2113">
                  <c:v>2.8900000000000002E-2</c:v>
                </c:pt>
                <c:pt idx="2114">
                  <c:v>2.86E-2</c:v>
                </c:pt>
                <c:pt idx="2115">
                  <c:v>2.8999999999999998E-2</c:v>
                </c:pt>
                <c:pt idx="2116">
                  <c:v>2.87E-2</c:v>
                </c:pt>
                <c:pt idx="2117">
                  <c:v>2.8399999999999998E-2</c:v>
                </c:pt>
                <c:pt idx="2118">
                  <c:v>2.81E-2</c:v>
                </c:pt>
                <c:pt idx="2119">
                  <c:v>2.8199999999999999E-2</c:v>
                </c:pt>
                <c:pt idx="2120">
                  <c:v>2.8500000000000001E-2</c:v>
                </c:pt>
                <c:pt idx="2121">
                  <c:v>2.8500000000000001E-2</c:v>
                </c:pt>
                <c:pt idx="2122">
                  <c:v>2.8900000000000002E-2</c:v>
                </c:pt>
                <c:pt idx="2123">
                  <c:v>2.8900000000000002E-2</c:v>
                </c:pt>
                <c:pt idx="2124">
                  <c:v>2.8300000000000002E-2</c:v>
                </c:pt>
                <c:pt idx="2125">
                  <c:v>2.8199999999999999E-2</c:v>
                </c:pt>
                <c:pt idx="2126">
                  <c:v>2.8500000000000001E-2</c:v>
                </c:pt>
                <c:pt idx="2127">
                  <c:v>2.7799999999999998E-2</c:v>
                </c:pt>
                <c:pt idx="2128">
                  <c:v>2.7699999999999999E-2</c:v>
                </c:pt>
                <c:pt idx="2129">
                  <c:v>2.7400000000000001E-2</c:v>
                </c:pt>
                <c:pt idx="2130">
                  <c:v>2.7400000000000001E-2</c:v>
                </c:pt>
                <c:pt idx="2131">
                  <c:v>2.7300000000000001E-2</c:v>
                </c:pt>
                <c:pt idx="2132">
                  <c:v>2.7900000000000001E-2</c:v>
                </c:pt>
                <c:pt idx="2133">
                  <c:v>2.7900000000000001E-2</c:v>
                </c:pt>
                <c:pt idx="2134">
                  <c:v>2.8300000000000002E-2</c:v>
                </c:pt>
                <c:pt idx="2135">
                  <c:v>2.7699999999999999E-2</c:v>
                </c:pt>
                <c:pt idx="2136">
                  <c:v>2.7799999999999998E-2</c:v>
                </c:pt>
                <c:pt idx="2137">
                  <c:v>2.7999999999999997E-2</c:v>
                </c:pt>
                <c:pt idx="2138">
                  <c:v>2.7900000000000001E-2</c:v>
                </c:pt>
                <c:pt idx="2139">
                  <c:v>2.8300000000000002E-2</c:v>
                </c:pt>
                <c:pt idx="2140">
                  <c:v>2.8199999999999999E-2</c:v>
                </c:pt>
                <c:pt idx="2141">
                  <c:v>2.8300000000000002E-2</c:v>
                </c:pt>
                <c:pt idx="2142">
                  <c:v>2.8199999999999999E-2</c:v>
                </c:pt>
                <c:pt idx="2143">
                  <c:v>2.87E-2</c:v>
                </c:pt>
                <c:pt idx="2144">
                  <c:v>2.92E-2</c:v>
                </c:pt>
                <c:pt idx="2145">
                  <c:v>2.9600000000000001E-2</c:v>
                </c:pt>
                <c:pt idx="2146">
                  <c:v>2.98E-2</c:v>
                </c:pt>
                <c:pt idx="2147">
                  <c:v>0.03</c:v>
                </c:pt>
                <c:pt idx="2148">
                  <c:v>3.0299999999999997E-2</c:v>
                </c:pt>
                <c:pt idx="2149">
                  <c:v>0.03</c:v>
                </c:pt>
                <c:pt idx="2150">
                  <c:v>2.9600000000000001E-2</c:v>
                </c:pt>
                <c:pt idx="2151">
                  <c:v>2.9500000000000002E-2</c:v>
                </c:pt>
                <c:pt idx="2152">
                  <c:v>2.9700000000000001E-2</c:v>
                </c:pt>
                <c:pt idx="2153">
                  <c:v>2.9700000000000001E-2</c:v>
                </c:pt>
                <c:pt idx="2154">
                  <c:v>2.9399999999999999E-2</c:v>
                </c:pt>
                <c:pt idx="2155">
                  <c:v>2.9500000000000002E-2</c:v>
                </c:pt>
                <c:pt idx="2156">
                  <c:v>2.9500000000000002E-2</c:v>
                </c:pt>
                <c:pt idx="2157">
                  <c:v>2.9700000000000001E-2</c:v>
                </c:pt>
                <c:pt idx="2158">
                  <c:v>0.03</c:v>
                </c:pt>
                <c:pt idx="2159">
                  <c:v>2.9700000000000001E-2</c:v>
                </c:pt>
                <c:pt idx="2160">
                  <c:v>2.9700000000000001E-2</c:v>
                </c:pt>
                <c:pt idx="2161">
                  <c:v>0.03</c:v>
                </c:pt>
                <c:pt idx="2162">
                  <c:v>3.0800000000000001E-2</c:v>
                </c:pt>
                <c:pt idx="2163">
                  <c:v>3.0899999999999997E-2</c:v>
                </c:pt>
                <c:pt idx="2164">
                  <c:v>3.1099999999999999E-2</c:v>
                </c:pt>
                <c:pt idx="2165">
                  <c:v>3.0600000000000002E-2</c:v>
                </c:pt>
                <c:pt idx="2166">
                  <c:v>3.0600000000000002E-2</c:v>
                </c:pt>
                <c:pt idx="2167">
                  <c:v>3.0600000000000002E-2</c:v>
                </c:pt>
                <c:pt idx="2168">
                  <c:v>3.0099999999999998E-2</c:v>
                </c:pt>
                <c:pt idx="2169">
                  <c:v>2.98E-2</c:v>
                </c:pt>
                <c:pt idx="2170">
                  <c:v>2.9300000000000003E-2</c:v>
                </c:pt>
                <c:pt idx="2171">
                  <c:v>2.9300000000000003E-2</c:v>
                </c:pt>
                <c:pt idx="2172">
                  <c:v>2.7699999999999999E-2</c:v>
                </c:pt>
                <c:pt idx="2173">
                  <c:v>2.8399999999999998E-2</c:v>
                </c:pt>
                <c:pt idx="2174">
                  <c:v>2.8300000000000002E-2</c:v>
                </c:pt>
                <c:pt idx="2175">
                  <c:v>2.8900000000000002E-2</c:v>
                </c:pt>
                <c:pt idx="2176">
                  <c:v>2.9399999999999999E-2</c:v>
                </c:pt>
                <c:pt idx="2177">
                  <c:v>2.92E-2</c:v>
                </c:pt>
                <c:pt idx="2178">
                  <c:v>2.9700000000000001E-2</c:v>
                </c:pt>
                <c:pt idx="2179">
                  <c:v>2.9300000000000003E-2</c:v>
                </c:pt>
                <c:pt idx="2180">
                  <c:v>2.9300000000000003E-2</c:v>
                </c:pt>
                <c:pt idx="2181">
                  <c:v>2.9600000000000001E-2</c:v>
                </c:pt>
                <c:pt idx="2182">
                  <c:v>2.9600000000000001E-2</c:v>
                </c:pt>
                <c:pt idx="2183">
                  <c:v>2.98E-2</c:v>
                </c:pt>
                <c:pt idx="2184">
                  <c:v>2.9399999999999999E-2</c:v>
                </c:pt>
                <c:pt idx="2185">
                  <c:v>2.9300000000000003E-2</c:v>
                </c:pt>
                <c:pt idx="2186">
                  <c:v>2.92E-2</c:v>
                </c:pt>
                <c:pt idx="2187">
                  <c:v>2.8900000000000002E-2</c:v>
                </c:pt>
                <c:pt idx="2188">
                  <c:v>2.9300000000000003E-2</c:v>
                </c:pt>
                <c:pt idx="2189">
                  <c:v>2.8999999999999998E-2</c:v>
                </c:pt>
                <c:pt idx="2190">
                  <c:v>2.8999999999999998E-2</c:v>
                </c:pt>
                <c:pt idx="2191">
                  <c:v>2.87E-2</c:v>
                </c:pt>
                <c:pt idx="2192">
                  <c:v>2.8799999999999999E-2</c:v>
                </c:pt>
                <c:pt idx="2193">
                  <c:v>2.8300000000000002E-2</c:v>
                </c:pt>
                <c:pt idx="2194">
                  <c:v>2.8399999999999998E-2</c:v>
                </c:pt>
                <c:pt idx="2195">
                  <c:v>2.8500000000000001E-2</c:v>
                </c:pt>
                <c:pt idx="2196">
                  <c:v>2.87E-2</c:v>
                </c:pt>
                <c:pt idx="2197">
                  <c:v>2.8300000000000002E-2</c:v>
                </c:pt>
                <c:pt idx="2198">
                  <c:v>2.8300000000000002E-2</c:v>
                </c:pt>
                <c:pt idx="2199">
                  <c:v>2.8399999999999998E-2</c:v>
                </c:pt>
                <c:pt idx="2200">
                  <c:v>2.8199999999999999E-2</c:v>
                </c:pt>
                <c:pt idx="2201">
                  <c:v>2.86E-2</c:v>
                </c:pt>
                <c:pt idx="2202">
                  <c:v>2.87E-2</c:v>
                </c:pt>
                <c:pt idx="2203">
                  <c:v>2.8500000000000001E-2</c:v>
                </c:pt>
                <c:pt idx="2204">
                  <c:v>2.8500000000000001E-2</c:v>
                </c:pt>
                <c:pt idx="2205">
                  <c:v>2.8300000000000002E-2</c:v>
                </c:pt>
                <c:pt idx="2206">
                  <c:v>2.8500000000000001E-2</c:v>
                </c:pt>
                <c:pt idx="2207">
                  <c:v>2.86E-2</c:v>
                </c:pt>
                <c:pt idx="2208">
                  <c:v>2.8799999999999999E-2</c:v>
                </c:pt>
                <c:pt idx="2209">
                  <c:v>2.8399999999999998E-2</c:v>
                </c:pt>
                <c:pt idx="2210">
                  <c:v>2.8900000000000002E-2</c:v>
                </c:pt>
                <c:pt idx="2211">
                  <c:v>2.9600000000000001E-2</c:v>
                </c:pt>
                <c:pt idx="2212">
                  <c:v>2.9500000000000002E-2</c:v>
                </c:pt>
                <c:pt idx="2213">
                  <c:v>2.9399999999999999E-2</c:v>
                </c:pt>
                <c:pt idx="2214">
                  <c:v>2.98E-2</c:v>
                </c:pt>
                <c:pt idx="2215">
                  <c:v>2.9600000000000001E-2</c:v>
                </c:pt>
                <c:pt idx="2216">
                  <c:v>2.98E-2</c:v>
                </c:pt>
                <c:pt idx="2217">
                  <c:v>2.9600000000000001E-2</c:v>
                </c:pt>
                <c:pt idx="2218">
                  <c:v>0.03</c:v>
                </c:pt>
                <c:pt idx="2219">
                  <c:v>2.98E-2</c:v>
                </c:pt>
                <c:pt idx="2220">
                  <c:v>2.9500000000000002E-2</c:v>
                </c:pt>
                <c:pt idx="2221">
                  <c:v>2.9399999999999999E-2</c:v>
                </c:pt>
                <c:pt idx="2222">
                  <c:v>2.98E-2</c:v>
                </c:pt>
                <c:pt idx="2223">
                  <c:v>2.9600000000000001E-2</c:v>
                </c:pt>
                <c:pt idx="2224">
                  <c:v>2.9300000000000003E-2</c:v>
                </c:pt>
                <c:pt idx="2225">
                  <c:v>2.87E-2</c:v>
                </c:pt>
                <c:pt idx="2226">
                  <c:v>2.8799999999999999E-2</c:v>
                </c:pt>
                <c:pt idx="2227">
                  <c:v>2.8900000000000002E-2</c:v>
                </c:pt>
                <c:pt idx="2228">
                  <c:v>2.86E-2</c:v>
                </c:pt>
                <c:pt idx="2229">
                  <c:v>2.87E-2</c:v>
                </c:pt>
                <c:pt idx="2230">
                  <c:v>2.87E-2</c:v>
                </c:pt>
                <c:pt idx="2231">
                  <c:v>2.8199999999999999E-2</c:v>
                </c:pt>
                <c:pt idx="2232">
                  <c:v>2.8500000000000001E-2</c:v>
                </c:pt>
                <c:pt idx="2233">
                  <c:v>2.8199999999999999E-2</c:v>
                </c:pt>
                <c:pt idx="2234">
                  <c:v>2.8199999999999999E-2</c:v>
                </c:pt>
                <c:pt idx="2235">
                  <c:v>2.8199999999999999E-2</c:v>
                </c:pt>
                <c:pt idx="2236">
                  <c:v>2.8500000000000001E-2</c:v>
                </c:pt>
                <c:pt idx="2237">
                  <c:v>2.8799999999999999E-2</c:v>
                </c:pt>
                <c:pt idx="2238">
                  <c:v>2.8900000000000002E-2</c:v>
                </c:pt>
                <c:pt idx="2239">
                  <c:v>2.86E-2</c:v>
                </c:pt>
                <c:pt idx="2240">
                  <c:v>2.86E-2</c:v>
                </c:pt>
                <c:pt idx="2241">
                  <c:v>2.86E-2</c:v>
                </c:pt>
                <c:pt idx="2242">
                  <c:v>2.8999999999999998E-2</c:v>
                </c:pt>
                <c:pt idx="2243">
                  <c:v>2.8999999999999998E-2</c:v>
                </c:pt>
                <c:pt idx="2244">
                  <c:v>2.8799999999999999E-2</c:v>
                </c:pt>
                <c:pt idx="2245">
                  <c:v>2.9399999999999999E-2</c:v>
                </c:pt>
                <c:pt idx="2246">
                  <c:v>2.9399999999999999E-2</c:v>
                </c:pt>
                <c:pt idx="2247">
                  <c:v>2.98E-2</c:v>
                </c:pt>
                <c:pt idx="2248">
                  <c:v>2.9700000000000001E-2</c:v>
                </c:pt>
                <c:pt idx="2249">
                  <c:v>2.9700000000000001E-2</c:v>
                </c:pt>
                <c:pt idx="2250">
                  <c:v>2.9900000000000003E-2</c:v>
                </c:pt>
                <c:pt idx="2251">
                  <c:v>2.9900000000000003E-2</c:v>
                </c:pt>
                <c:pt idx="2252">
                  <c:v>3.0499999999999999E-2</c:v>
                </c:pt>
                <c:pt idx="2253">
                  <c:v>3.0800000000000001E-2</c:v>
                </c:pt>
                <c:pt idx="2254">
                  <c:v>3.0699999999999998E-2</c:v>
                </c:pt>
                <c:pt idx="2255">
                  <c:v>3.0699999999999998E-2</c:v>
                </c:pt>
                <c:pt idx="2256">
                  <c:v>3.0800000000000001E-2</c:v>
                </c:pt>
                <c:pt idx="2257">
                  <c:v>3.1E-2</c:v>
                </c:pt>
                <c:pt idx="2258">
                  <c:v>3.0600000000000002E-2</c:v>
                </c:pt>
                <c:pt idx="2259">
                  <c:v>3.0600000000000002E-2</c:v>
                </c:pt>
                <c:pt idx="2260">
                  <c:v>3.0499999999999999E-2</c:v>
                </c:pt>
                <c:pt idx="2261">
                  <c:v>3.0899999999999997E-2</c:v>
                </c:pt>
                <c:pt idx="2262">
                  <c:v>3.0499999999999999E-2</c:v>
                </c:pt>
                <c:pt idx="2263">
                  <c:v>3.15E-2</c:v>
                </c:pt>
                <c:pt idx="2264">
                  <c:v>3.1899999999999998E-2</c:v>
                </c:pt>
                <c:pt idx="2265">
                  <c:v>3.2300000000000002E-2</c:v>
                </c:pt>
                <c:pt idx="2266">
                  <c:v>3.2300000000000002E-2</c:v>
                </c:pt>
                <c:pt idx="2267">
                  <c:v>3.2099999999999997E-2</c:v>
                </c:pt>
                <c:pt idx="2268">
                  <c:v>3.2199999999999999E-2</c:v>
                </c:pt>
                <c:pt idx="2269">
                  <c:v>3.1400000000000004E-2</c:v>
                </c:pt>
                <c:pt idx="2270">
                  <c:v>3.15E-2</c:v>
                </c:pt>
                <c:pt idx="2271">
                  <c:v>3.1600000000000003E-2</c:v>
                </c:pt>
                <c:pt idx="2272">
                  <c:v>3.1600000000000003E-2</c:v>
                </c:pt>
                <c:pt idx="2273">
                  <c:v>3.1899999999999998E-2</c:v>
                </c:pt>
                <c:pt idx="2274">
                  <c:v>3.1699999999999999E-2</c:v>
                </c:pt>
                <c:pt idx="2275">
                  <c:v>3.2000000000000001E-2</c:v>
                </c:pt>
                <c:pt idx="2276">
                  <c:v>3.2000000000000001E-2</c:v>
                </c:pt>
                <c:pt idx="2277">
                  <c:v>3.1699999999999999E-2</c:v>
                </c:pt>
                <c:pt idx="2278">
                  <c:v>3.1E-2</c:v>
                </c:pt>
                <c:pt idx="2279">
                  <c:v>3.1400000000000004E-2</c:v>
                </c:pt>
                <c:pt idx="2280">
                  <c:v>3.0800000000000001E-2</c:v>
                </c:pt>
                <c:pt idx="2281">
                  <c:v>3.0800000000000001E-2</c:v>
                </c:pt>
                <c:pt idx="2282">
                  <c:v>3.1200000000000002E-2</c:v>
                </c:pt>
                <c:pt idx="2283">
                  <c:v>3.15E-2</c:v>
                </c:pt>
                <c:pt idx="2284">
                  <c:v>3.1400000000000004E-2</c:v>
                </c:pt>
                <c:pt idx="2285">
                  <c:v>3.2199999999999999E-2</c:v>
                </c:pt>
                <c:pt idx="2286">
                  <c:v>3.2000000000000001E-2</c:v>
                </c:pt>
                <c:pt idx="2287">
                  <c:v>3.2199999999999999E-2</c:v>
                </c:pt>
                <c:pt idx="2288">
                  <c:v>3.2199999999999999E-2</c:v>
                </c:pt>
                <c:pt idx="2289">
                  <c:v>3.2400000000000005E-2</c:v>
                </c:pt>
                <c:pt idx="2290">
                  <c:v>3.1899999999999998E-2</c:v>
                </c:pt>
                <c:pt idx="2291">
                  <c:v>3.1899999999999998E-2</c:v>
                </c:pt>
                <c:pt idx="2292">
                  <c:v>3.1400000000000004E-2</c:v>
                </c:pt>
                <c:pt idx="2293">
                  <c:v>3.1200000000000002E-2</c:v>
                </c:pt>
                <c:pt idx="2294">
                  <c:v>3.1099999999999999E-2</c:v>
                </c:pt>
                <c:pt idx="2295">
                  <c:v>3.0800000000000001E-2</c:v>
                </c:pt>
                <c:pt idx="2296">
                  <c:v>3.0600000000000002E-2</c:v>
                </c:pt>
                <c:pt idx="2297">
                  <c:v>3.0600000000000002E-2</c:v>
                </c:pt>
                <c:pt idx="2298">
                  <c:v>3.0600000000000002E-2</c:v>
                </c:pt>
                <c:pt idx="2299">
                  <c:v>3.0600000000000002E-2</c:v>
                </c:pt>
                <c:pt idx="2300">
                  <c:v>3.0499999999999999E-2</c:v>
                </c:pt>
                <c:pt idx="2301">
                  <c:v>3.0699999999999998E-2</c:v>
                </c:pt>
                <c:pt idx="2302">
                  <c:v>3.0600000000000002E-2</c:v>
                </c:pt>
                <c:pt idx="2303">
                  <c:v>3.0600000000000002E-2</c:v>
                </c:pt>
                <c:pt idx="2304">
                  <c:v>3.0299999999999997E-2</c:v>
                </c:pt>
                <c:pt idx="2305">
                  <c:v>3.0099999999999998E-2</c:v>
                </c:pt>
                <c:pt idx="2306">
                  <c:v>2.98E-2</c:v>
                </c:pt>
                <c:pt idx="2307">
                  <c:v>2.9100000000000001E-2</c:v>
                </c:pt>
                <c:pt idx="2308">
                  <c:v>2.9100000000000001E-2</c:v>
                </c:pt>
                <c:pt idx="2309">
                  <c:v>2.87E-2</c:v>
                </c:pt>
                <c:pt idx="2310">
                  <c:v>2.8500000000000001E-2</c:v>
                </c:pt>
                <c:pt idx="2311">
                  <c:v>2.8500000000000001E-2</c:v>
                </c:pt>
                <c:pt idx="2312">
                  <c:v>2.8900000000000002E-2</c:v>
                </c:pt>
                <c:pt idx="2313">
                  <c:v>2.9100000000000001E-2</c:v>
                </c:pt>
                <c:pt idx="2314">
                  <c:v>2.9100000000000001E-2</c:v>
                </c:pt>
                <c:pt idx="2315">
                  <c:v>2.8900000000000002E-2</c:v>
                </c:pt>
                <c:pt idx="2316">
                  <c:v>2.86E-2</c:v>
                </c:pt>
                <c:pt idx="2317">
                  <c:v>2.8199999999999999E-2</c:v>
                </c:pt>
                <c:pt idx="2318">
                  <c:v>2.7699999999999999E-2</c:v>
                </c:pt>
                <c:pt idx="2319">
                  <c:v>2.7900000000000001E-2</c:v>
                </c:pt>
                <c:pt idx="2320">
                  <c:v>2.7900000000000001E-2</c:v>
                </c:pt>
                <c:pt idx="2321">
                  <c:v>2.7400000000000001E-2</c:v>
                </c:pt>
                <c:pt idx="2322">
                  <c:v>2.7400000000000001E-2</c:v>
                </c:pt>
                <c:pt idx="2323">
                  <c:v>2.81E-2</c:v>
                </c:pt>
                <c:pt idx="2324">
                  <c:v>2.7699999999999999E-2</c:v>
                </c:pt>
                <c:pt idx="2325">
                  <c:v>2.7200000000000002E-2</c:v>
                </c:pt>
                <c:pt idx="2326">
                  <c:v>2.69E-2</c:v>
                </c:pt>
                <c:pt idx="2327">
                  <c:v>2.69E-2</c:v>
                </c:pt>
                <c:pt idx="2328">
                  <c:v>2.6600000000000002E-2</c:v>
                </c:pt>
                <c:pt idx="2329">
                  <c:v>2.5600000000000001E-2</c:v>
                </c:pt>
                <c:pt idx="2330">
                  <c:v>2.6699999999999998E-2</c:v>
                </c:pt>
                <c:pt idx="2331">
                  <c:v>2.7000000000000003E-2</c:v>
                </c:pt>
                <c:pt idx="2332">
                  <c:v>2.7300000000000001E-2</c:v>
                </c:pt>
                <c:pt idx="2333">
                  <c:v>2.7400000000000001E-2</c:v>
                </c:pt>
                <c:pt idx="2334">
                  <c:v>2.7400000000000001E-2</c:v>
                </c:pt>
                <c:pt idx="2335">
                  <c:v>2.7099999999999999E-2</c:v>
                </c:pt>
                <c:pt idx="2336">
                  <c:v>2.7099999999999999E-2</c:v>
                </c:pt>
                <c:pt idx="2337">
                  <c:v>2.7200000000000002E-2</c:v>
                </c:pt>
                <c:pt idx="2338">
                  <c:v>2.7300000000000001E-2</c:v>
                </c:pt>
                <c:pt idx="2339">
                  <c:v>2.75E-2</c:v>
                </c:pt>
                <c:pt idx="2340">
                  <c:v>2.7900000000000001E-2</c:v>
                </c:pt>
                <c:pt idx="2341">
                  <c:v>2.7900000000000001E-2</c:v>
                </c:pt>
                <c:pt idx="2342">
                  <c:v>2.7400000000000001E-2</c:v>
                </c:pt>
                <c:pt idx="2343">
                  <c:v>2.76E-2</c:v>
                </c:pt>
                <c:pt idx="2344">
                  <c:v>2.7200000000000002E-2</c:v>
                </c:pt>
                <c:pt idx="2345">
                  <c:v>2.76E-2</c:v>
                </c:pt>
                <c:pt idx="2346">
                  <c:v>2.75E-2</c:v>
                </c:pt>
                <c:pt idx="2347">
                  <c:v>2.7200000000000002E-2</c:v>
                </c:pt>
                <c:pt idx="2348">
                  <c:v>2.7000000000000003E-2</c:v>
                </c:pt>
                <c:pt idx="2349">
                  <c:v>2.63E-2</c:v>
                </c:pt>
                <c:pt idx="2350">
                  <c:v>2.7000000000000003E-2</c:v>
                </c:pt>
                <c:pt idx="2351">
                  <c:v>2.7300000000000001E-2</c:v>
                </c:pt>
                <c:pt idx="2352">
                  <c:v>2.7099999999999999E-2</c:v>
                </c:pt>
                <c:pt idx="2353">
                  <c:v>2.7000000000000003E-2</c:v>
                </c:pt>
                <c:pt idx="2354">
                  <c:v>2.6499999999999999E-2</c:v>
                </c:pt>
                <c:pt idx="2355">
                  <c:v>2.63E-2</c:v>
                </c:pt>
                <c:pt idx="2356">
                  <c:v>2.6499999999999999E-2</c:v>
                </c:pt>
                <c:pt idx="2357">
                  <c:v>2.6800000000000001E-2</c:v>
                </c:pt>
                <c:pt idx="2358">
                  <c:v>2.7099999999999999E-2</c:v>
                </c:pt>
                <c:pt idx="2359">
                  <c:v>2.6600000000000002E-2</c:v>
                </c:pt>
                <c:pt idx="2360">
                  <c:v>2.6600000000000002E-2</c:v>
                </c:pt>
                <c:pt idx="2361">
                  <c:v>2.6600000000000002E-2</c:v>
                </c:pt>
                <c:pt idx="2362">
                  <c:v>2.6499999999999999E-2</c:v>
                </c:pt>
                <c:pt idx="2363">
                  <c:v>2.6499999999999999E-2</c:v>
                </c:pt>
                <c:pt idx="2364">
                  <c:v>2.69E-2</c:v>
                </c:pt>
                <c:pt idx="2365">
                  <c:v>2.6499999999999999E-2</c:v>
                </c:pt>
                <c:pt idx="2366">
                  <c:v>2.6699999999999998E-2</c:v>
                </c:pt>
                <c:pt idx="2367">
                  <c:v>2.64E-2</c:v>
                </c:pt>
                <c:pt idx="2368">
                  <c:v>2.69E-2</c:v>
                </c:pt>
                <c:pt idx="2369">
                  <c:v>2.7300000000000001E-2</c:v>
                </c:pt>
                <c:pt idx="2370">
                  <c:v>2.76E-2</c:v>
                </c:pt>
                <c:pt idx="2371">
                  <c:v>2.7200000000000002E-2</c:v>
                </c:pt>
                <c:pt idx="2372">
                  <c:v>2.7200000000000002E-2</c:v>
                </c:pt>
                <c:pt idx="2373">
                  <c:v>2.69E-2</c:v>
                </c:pt>
                <c:pt idx="2374">
                  <c:v>2.64E-2</c:v>
                </c:pt>
                <c:pt idx="2375">
                  <c:v>2.6200000000000001E-2</c:v>
                </c:pt>
                <c:pt idx="2376">
                  <c:v>2.64E-2</c:v>
                </c:pt>
                <c:pt idx="2377">
                  <c:v>2.6099999999999998E-2</c:v>
                </c:pt>
                <c:pt idx="2378">
                  <c:v>2.6099999999999998E-2</c:v>
                </c:pt>
                <c:pt idx="2379">
                  <c:v>2.63E-2</c:v>
                </c:pt>
                <c:pt idx="2380">
                  <c:v>2.5899999999999999E-2</c:v>
                </c:pt>
                <c:pt idx="2381">
                  <c:v>2.6000000000000002E-2</c:v>
                </c:pt>
                <c:pt idx="2382">
                  <c:v>2.6099999999999998E-2</c:v>
                </c:pt>
                <c:pt idx="2383">
                  <c:v>2.5399999999999999E-2</c:v>
                </c:pt>
                <c:pt idx="2384">
                  <c:v>2.5399999999999999E-2</c:v>
                </c:pt>
                <c:pt idx="2385">
                  <c:v>2.4399999999999998E-2</c:v>
                </c:pt>
                <c:pt idx="2386">
                  <c:v>2.4300000000000002E-2</c:v>
                </c:pt>
                <c:pt idx="2387">
                  <c:v>2.41E-2</c:v>
                </c:pt>
                <c:pt idx="2388">
                  <c:v>2.3900000000000001E-2</c:v>
                </c:pt>
                <c:pt idx="2389">
                  <c:v>2.3900000000000001E-2</c:v>
                </c:pt>
                <c:pt idx="2390">
                  <c:v>2.41E-2</c:v>
                </c:pt>
                <c:pt idx="2391">
                  <c:v>2.4900000000000002E-2</c:v>
                </c:pt>
                <c:pt idx="2392">
                  <c:v>2.4799999999999999E-2</c:v>
                </c:pt>
                <c:pt idx="2393">
                  <c:v>2.52E-2</c:v>
                </c:pt>
                <c:pt idx="2394">
                  <c:v>2.5099999999999997E-2</c:v>
                </c:pt>
                <c:pt idx="2395">
                  <c:v>2.5000000000000001E-2</c:v>
                </c:pt>
                <c:pt idx="2396">
                  <c:v>2.52E-2</c:v>
                </c:pt>
                <c:pt idx="2397">
                  <c:v>2.5099999999999997E-2</c:v>
                </c:pt>
                <c:pt idx="2398">
                  <c:v>2.4799999999999999E-2</c:v>
                </c:pt>
                <c:pt idx="2399">
                  <c:v>2.5099999999999997E-2</c:v>
                </c:pt>
                <c:pt idx="2400">
                  <c:v>2.5600000000000001E-2</c:v>
                </c:pt>
                <c:pt idx="2401">
                  <c:v>2.5499999999999998E-2</c:v>
                </c:pt>
                <c:pt idx="2402">
                  <c:v>2.6000000000000002E-2</c:v>
                </c:pt>
                <c:pt idx="2403">
                  <c:v>2.5899999999999999E-2</c:v>
                </c:pt>
                <c:pt idx="2404">
                  <c:v>2.5699999999999997E-2</c:v>
                </c:pt>
                <c:pt idx="2405">
                  <c:v>2.5699999999999997E-2</c:v>
                </c:pt>
                <c:pt idx="2406">
                  <c:v>2.5899999999999999E-2</c:v>
                </c:pt>
                <c:pt idx="2407">
                  <c:v>2.5699999999999997E-2</c:v>
                </c:pt>
                <c:pt idx="2408">
                  <c:v>2.53E-2</c:v>
                </c:pt>
                <c:pt idx="2409">
                  <c:v>2.5399999999999999E-2</c:v>
                </c:pt>
                <c:pt idx="2410">
                  <c:v>2.5099999999999997E-2</c:v>
                </c:pt>
                <c:pt idx="2411">
                  <c:v>2.5399999999999999E-2</c:v>
                </c:pt>
                <c:pt idx="2412">
                  <c:v>2.5099999999999997E-2</c:v>
                </c:pt>
                <c:pt idx="2413">
                  <c:v>2.52E-2</c:v>
                </c:pt>
                <c:pt idx="2414">
                  <c:v>2.5499999999999998E-2</c:v>
                </c:pt>
                <c:pt idx="2415">
                  <c:v>2.5399999999999999E-2</c:v>
                </c:pt>
                <c:pt idx="2416">
                  <c:v>2.5099999999999997E-2</c:v>
                </c:pt>
                <c:pt idx="2417">
                  <c:v>2.4500000000000001E-2</c:v>
                </c:pt>
                <c:pt idx="2418">
                  <c:v>2.4900000000000002E-2</c:v>
                </c:pt>
                <c:pt idx="2419">
                  <c:v>2.4500000000000001E-2</c:v>
                </c:pt>
                <c:pt idx="2420">
                  <c:v>2.4700000000000003E-2</c:v>
                </c:pt>
                <c:pt idx="2421">
                  <c:v>2.4E-2</c:v>
                </c:pt>
                <c:pt idx="2422">
                  <c:v>2.4199999999999999E-2</c:v>
                </c:pt>
                <c:pt idx="2423">
                  <c:v>2.3700000000000002E-2</c:v>
                </c:pt>
                <c:pt idx="2424">
                  <c:v>2.4E-2</c:v>
                </c:pt>
                <c:pt idx="2425">
                  <c:v>2.3900000000000001E-2</c:v>
                </c:pt>
                <c:pt idx="2426">
                  <c:v>2.41E-2</c:v>
                </c:pt>
                <c:pt idx="2427">
                  <c:v>2.4300000000000002E-2</c:v>
                </c:pt>
                <c:pt idx="2428">
                  <c:v>2.3900000000000001E-2</c:v>
                </c:pt>
                <c:pt idx="2429">
                  <c:v>2.3099999999999999E-2</c:v>
                </c:pt>
                <c:pt idx="2430">
                  <c:v>2.3199999999999998E-2</c:v>
                </c:pt>
                <c:pt idx="2431">
                  <c:v>2.3199999999999998E-2</c:v>
                </c:pt>
                <c:pt idx="2432">
                  <c:v>2.2599999999999999E-2</c:v>
                </c:pt>
                <c:pt idx="2433">
                  <c:v>2.2499999999999999E-2</c:v>
                </c:pt>
                <c:pt idx="2434">
                  <c:v>2.2200000000000001E-2</c:v>
                </c:pt>
                <c:pt idx="2435">
                  <c:v>2.1400000000000002E-2</c:v>
                </c:pt>
                <c:pt idx="2436">
                  <c:v>2.07E-2</c:v>
                </c:pt>
                <c:pt idx="2437">
                  <c:v>2.12E-2</c:v>
                </c:pt>
                <c:pt idx="2438">
                  <c:v>2.12E-2</c:v>
                </c:pt>
                <c:pt idx="2439">
                  <c:v>2.12E-2</c:v>
                </c:pt>
                <c:pt idx="2440">
                  <c:v>2.0899999999999998E-2</c:v>
                </c:pt>
                <c:pt idx="2441">
                  <c:v>2.1499999999999998E-2</c:v>
                </c:pt>
                <c:pt idx="2442">
                  <c:v>2.1499999999999998E-2</c:v>
                </c:pt>
                <c:pt idx="2443">
                  <c:v>2.1299999999999999E-2</c:v>
                </c:pt>
                <c:pt idx="2444">
                  <c:v>2.1000000000000001E-2</c:v>
                </c:pt>
                <c:pt idx="2445">
                  <c:v>2.0899999999999998E-2</c:v>
                </c:pt>
                <c:pt idx="2446">
                  <c:v>2.0899999999999998E-2</c:v>
                </c:pt>
                <c:pt idx="2447">
                  <c:v>2.06E-2</c:v>
                </c:pt>
                <c:pt idx="2448">
                  <c:v>2.0299999999999999E-2</c:v>
                </c:pt>
                <c:pt idx="2449">
                  <c:v>2.0099999999999996E-2</c:v>
                </c:pt>
                <c:pt idx="2450">
                  <c:v>2.07E-2</c:v>
                </c:pt>
                <c:pt idx="2451">
                  <c:v>2.0199999999999999E-2</c:v>
                </c:pt>
                <c:pt idx="2452">
                  <c:v>0.02</c:v>
                </c:pt>
                <c:pt idx="2453">
                  <c:v>2.0499999999999997E-2</c:v>
                </c:pt>
                <c:pt idx="2454">
                  <c:v>2.0099999999999996E-2</c:v>
                </c:pt>
                <c:pt idx="2455">
                  <c:v>0.02</c:v>
                </c:pt>
                <c:pt idx="2456">
                  <c:v>2.0299999999999999E-2</c:v>
                </c:pt>
                <c:pt idx="2457">
                  <c:v>1.9799999999999998E-2</c:v>
                </c:pt>
                <c:pt idx="2458">
                  <c:v>1.9599999999999999E-2</c:v>
                </c:pt>
                <c:pt idx="2459">
                  <c:v>1.9599999999999999E-2</c:v>
                </c:pt>
                <c:pt idx="2460">
                  <c:v>2.0400000000000001E-2</c:v>
                </c:pt>
                <c:pt idx="2461">
                  <c:v>2.0499999999999997E-2</c:v>
                </c:pt>
                <c:pt idx="2462">
                  <c:v>2.07E-2</c:v>
                </c:pt>
                <c:pt idx="2463">
                  <c:v>2.07E-2</c:v>
                </c:pt>
                <c:pt idx="2464">
                  <c:v>2.1299999999999999E-2</c:v>
                </c:pt>
                <c:pt idx="2465">
                  <c:v>2.12E-2</c:v>
                </c:pt>
                <c:pt idx="2466">
                  <c:v>2.0899999999999998E-2</c:v>
                </c:pt>
                <c:pt idx="2467">
                  <c:v>2.1299999999999999E-2</c:v>
                </c:pt>
                <c:pt idx="2468">
                  <c:v>2.06E-2</c:v>
                </c:pt>
                <c:pt idx="2469">
                  <c:v>2.0400000000000001E-2</c:v>
                </c:pt>
                <c:pt idx="2470">
                  <c:v>2.0499999999999997E-2</c:v>
                </c:pt>
                <c:pt idx="2471">
                  <c:v>2.0499999999999997E-2</c:v>
                </c:pt>
                <c:pt idx="2472">
                  <c:v>2.0799999999999999E-2</c:v>
                </c:pt>
                <c:pt idx="2473">
                  <c:v>2.0499999999999997E-2</c:v>
                </c:pt>
                <c:pt idx="2474">
                  <c:v>2.0799999999999999E-2</c:v>
                </c:pt>
                <c:pt idx="2475">
                  <c:v>2.0799999999999999E-2</c:v>
                </c:pt>
                <c:pt idx="2476">
                  <c:v>2.06E-2</c:v>
                </c:pt>
                <c:pt idx="2477">
                  <c:v>2.06E-2</c:v>
                </c:pt>
                <c:pt idx="2478">
                  <c:v>2.0199999999999999E-2</c:v>
                </c:pt>
                <c:pt idx="2479">
                  <c:v>1.9E-2</c:v>
                </c:pt>
                <c:pt idx="2480">
                  <c:v>1.8600000000000002E-2</c:v>
                </c:pt>
                <c:pt idx="2481">
                  <c:v>1.7500000000000002E-2</c:v>
                </c:pt>
                <c:pt idx="2482">
                  <c:v>1.7299999999999999E-2</c:v>
                </c:pt>
                <c:pt idx="2483">
                  <c:v>1.7100000000000001E-2</c:v>
                </c:pt>
                <c:pt idx="2484">
                  <c:v>1.72E-2</c:v>
                </c:pt>
                <c:pt idx="2485">
                  <c:v>1.7399999999999999E-2</c:v>
                </c:pt>
                <c:pt idx="2486">
                  <c:v>1.6500000000000001E-2</c:v>
                </c:pt>
                <c:pt idx="2487">
                  <c:v>1.6799999999999999E-2</c:v>
                </c:pt>
                <c:pt idx="2488">
                  <c:v>1.5900000000000001E-2</c:v>
                </c:pt>
                <c:pt idx="2489">
                  <c:v>1.52E-2</c:v>
                </c:pt>
                <c:pt idx="2490">
                  <c:v>1.55E-2</c:v>
                </c:pt>
                <c:pt idx="2491">
                  <c:v>1.6E-2</c:v>
                </c:pt>
                <c:pt idx="2492">
                  <c:v>1.55E-2</c:v>
                </c:pt>
                <c:pt idx="2493">
                  <c:v>1.5900000000000001E-2</c:v>
                </c:pt>
                <c:pt idx="2494">
                  <c:v>1.6200000000000003E-2</c:v>
                </c:pt>
                <c:pt idx="2495">
                  <c:v>1.52E-2</c:v>
                </c:pt>
                <c:pt idx="2496">
                  <c:v>1.54E-2</c:v>
                </c:pt>
                <c:pt idx="2497">
                  <c:v>1.49E-2</c:v>
                </c:pt>
                <c:pt idx="2498">
                  <c:v>1.47E-2</c:v>
                </c:pt>
                <c:pt idx="2499">
                  <c:v>1.4999999999999999E-2</c:v>
                </c:pt>
                <c:pt idx="2500">
                  <c:v>1.4999999999999999E-2</c:v>
                </c:pt>
                <c:pt idx="2501">
                  <c:v>1.4999999999999999E-2</c:v>
                </c:pt>
                <c:pt idx="2502">
                  <c:v>1.47E-2</c:v>
                </c:pt>
                <c:pt idx="2503">
                  <c:v>1.47E-2</c:v>
                </c:pt>
                <c:pt idx="2504">
                  <c:v>1.5700000000000002E-2</c:v>
                </c:pt>
                <c:pt idx="2505">
                  <c:v>1.55E-2</c:v>
                </c:pt>
                <c:pt idx="2506">
                  <c:v>1.6299999999999999E-2</c:v>
                </c:pt>
                <c:pt idx="2507">
                  <c:v>1.72E-2</c:v>
                </c:pt>
                <c:pt idx="2508">
                  <c:v>1.7500000000000002E-2</c:v>
                </c:pt>
                <c:pt idx="2509">
                  <c:v>1.7899999999999999E-2</c:v>
                </c:pt>
                <c:pt idx="2510">
                  <c:v>1.9E-2</c:v>
                </c:pt>
                <c:pt idx="2511">
                  <c:v>1.84E-2</c:v>
                </c:pt>
                <c:pt idx="2512">
                  <c:v>1.8100000000000002E-2</c:v>
                </c:pt>
                <c:pt idx="2513">
                  <c:v>1.8000000000000002E-2</c:v>
                </c:pt>
                <c:pt idx="2514">
                  <c:v>1.7899999999999999E-2</c:v>
                </c:pt>
                <c:pt idx="2515">
                  <c:v>1.7399999999999999E-2</c:v>
                </c:pt>
                <c:pt idx="2516">
                  <c:v>1.72E-2</c:v>
                </c:pt>
                <c:pt idx="2517">
                  <c:v>1.6399999999999998E-2</c:v>
                </c:pt>
                <c:pt idx="2518">
                  <c:v>1.7299999999999999E-2</c:v>
                </c:pt>
                <c:pt idx="2519">
                  <c:v>1.7000000000000001E-2</c:v>
                </c:pt>
                <c:pt idx="2520">
                  <c:v>1.6899999999999998E-2</c:v>
                </c:pt>
                <c:pt idx="2521">
                  <c:v>1.6799999999999999E-2</c:v>
                </c:pt>
                <c:pt idx="2522">
                  <c:v>1.6500000000000001E-2</c:v>
                </c:pt>
                <c:pt idx="2523">
                  <c:v>1.6E-2</c:v>
                </c:pt>
                <c:pt idx="2524">
                  <c:v>1.54E-2</c:v>
                </c:pt>
                <c:pt idx="2525">
                  <c:v>1.52E-2</c:v>
                </c:pt>
                <c:pt idx="2526">
                  <c:v>1.5600000000000001E-2</c:v>
                </c:pt>
                <c:pt idx="2527">
                  <c:v>1.54E-2</c:v>
                </c:pt>
                <c:pt idx="2528">
                  <c:v>1.5900000000000001E-2</c:v>
                </c:pt>
                <c:pt idx="2529">
                  <c:v>1.67E-2</c:v>
                </c:pt>
                <c:pt idx="2530">
                  <c:v>1.7600000000000001E-2</c:v>
                </c:pt>
                <c:pt idx="2531">
                  <c:v>1.7600000000000001E-2</c:v>
                </c:pt>
                <c:pt idx="2532">
                  <c:v>1.77E-2</c:v>
                </c:pt>
                <c:pt idx="2533">
                  <c:v>1.7500000000000002E-2</c:v>
                </c:pt>
                <c:pt idx="2534">
                  <c:v>1.7600000000000001E-2</c:v>
                </c:pt>
                <c:pt idx="2535">
                  <c:v>1.7600000000000001E-2</c:v>
                </c:pt>
                <c:pt idx="2536">
                  <c:v>1.8000000000000002E-2</c:v>
                </c:pt>
                <c:pt idx="2537">
                  <c:v>1.78E-2</c:v>
                </c:pt>
                <c:pt idx="2538">
                  <c:v>1.77E-2</c:v>
                </c:pt>
                <c:pt idx="2539">
                  <c:v>1.77E-2</c:v>
                </c:pt>
                <c:pt idx="2540">
                  <c:v>1.8000000000000002E-2</c:v>
                </c:pt>
                <c:pt idx="2541">
                  <c:v>1.8500000000000003E-2</c:v>
                </c:pt>
                <c:pt idx="2542">
                  <c:v>1.84E-2</c:v>
                </c:pt>
                <c:pt idx="2543">
                  <c:v>1.78E-2</c:v>
                </c:pt>
                <c:pt idx="2544">
                  <c:v>1.6899999999999998E-2</c:v>
                </c:pt>
                <c:pt idx="2545">
                  <c:v>1.7299999999999999E-2</c:v>
                </c:pt>
                <c:pt idx="2546">
                  <c:v>1.7899999999999999E-2</c:v>
                </c:pt>
                <c:pt idx="2547">
                  <c:v>1.8600000000000002E-2</c:v>
                </c:pt>
                <c:pt idx="2548">
                  <c:v>1.8100000000000002E-2</c:v>
                </c:pt>
                <c:pt idx="2549">
                  <c:v>1.9199999999999998E-2</c:v>
                </c:pt>
                <c:pt idx="2550">
                  <c:v>1.9400000000000001E-2</c:v>
                </c:pt>
                <c:pt idx="2551">
                  <c:v>1.9400000000000001E-2</c:v>
                </c:pt>
                <c:pt idx="2552">
                  <c:v>1.9199999999999998E-2</c:v>
                </c:pt>
                <c:pt idx="2553">
                  <c:v>1.8799999999999997E-2</c:v>
                </c:pt>
                <c:pt idx="2554">
                  <c:v>1.8200000000000001E-2</c:v>
                </c:pt>
                <c:pt idx="2555">
                  <c:v>1.84E-2</c:v>
                </c:pt>
                <c:pt idx="2556">
                  <c:v>1.8100000000000002E-2</c:v>
                </c:pt>
                <c:pt idx="2557">
                  <c:v>1.7899999999999999E-2</c:v>
                </c:pt>
                <c:pt idx="2558">
                  <c:v>1.7299999999999999E-2</c:v>
                </c:pt>
                <c:pt idx="2559">
                  <c:v>1.77E-2</c:v>
                </c:pt>
                <c:pt idx="2560">
                  <c:v>1.77E-2</c:v>
                </c:pt>
                <c:pt idx="2561">
                  <c:v>1.7600000000000001E-2</c:v>
                </c:pt>
                <c:pt idx="2562">
                  <c:v>1.7399999999999999E-2</c:v>
                </c:pt>
                <c:pt idx="2563">
                  <c:v>1.77E-2</c:v>
                </c:pt>
                <c:pt idx="2564">
                  <c:v>1.77E-2</c:v>
                </c:pt>
                <c:pt idx="2565">
                  <c:v>1.78E-2</c:v>
                </c:pt>
                <c:pt idx="2566">
                  <c:v>1.83E-2</c:v>
                </c:pt>
                <c:pt idx="2567">
                  <c:v>1.72E-2</c:v>
                </c:pt>
                <c:pt idx="2568">
                  <c:v>1.77E-2</c:v>
                </c:pt>
                <c:pt idx="2569">
                  <c:v>1.8000000000000002E-2</c:v>
                </c:pt>
                <c:pt idx="2570">
                  <c:v>1.84E-2</c:v>
                </c:pt>
                <c:pt idx="2571">
                  <c:v>1.83E-2</c:v>
                </c:pt>
                <c:pt idx="2572">
                  <c:v>1.8500000000000003E-2</c:v>
                </c:pt>
                <c:pt idx="2573">
                  <c:v>1.7899999999999999E-2</c:v>
                </c:pt>
                <c:pt idx="2574">
                  <c:v>1.9E-2</c:v>
                </c:pt>
                <c:pt idx="2575">
                  <c:v>1.8200000000000001E-2</c:v>
                </c:pt>
                <c:pt idx="2576">
                  <c:v>1.89E-2</c:v>
                </c:pt>
                <c:pt idx="2577">
                  <c:v>1.89E-2</c:v>
                </c:pt>
                <c:pt idx="2578">
                  <c:v>1.9199999999999998E-2</c:v>
                </c:pt>
                <c:pt idx="2579">
                  <c:v>1.9199999999999998E-2</c:v>
                </c:pt>
                <c:pt idx="2580">
                  <c:v>1.9199999999999998E-2</c:v>
                </c:pt>
                <c:pt idx="2581">
                  <c:v>1.9299999999999998E-2</c:v>
                </c:pt>
                <c:pt idx="2582">
                  <c:v>1.9E-2</c:v>
                </c:pt>
                <c:pt idx="2583">
                  <c:v>1.9E-2</c:v>
                </c:pt>
                <c:pt idx="2584">
                  <c:v>1.9E-2</c:v>
                </c:pt>
                <c:pt idx="2585">
                  <c:v>1.8799999999999997E-2</c:v>
                </c:pt>
                <c:pt idx="2586">
                  <c:v>1.9E-2</c:v>
                </c:pt>
                <c:pt idx="2587">
                  <c:v>1.9199999999999998E-2</c:v>
                </c:pt>
                <c:pt idx="2588">
                  <c:v>1.9199999999999998E-2</c:v>
                </c:pt>
                <c:pt idx="2589">
                  <c:v>1.8799999999999997E-2</c:v>
                </c:pt>
                <c:pt idx="2590">
                  <c:v>1.8000000000000002E-2</c:v>
                </c:pt>
                <c:pt idx="2591">
                  <c:v>1.8100000000000002E-2</c:v>
                </c:pt>
                <c:pt idx="2592">
                  <c:v>1.83E-2</c:v>
                </c:pt>
                <c:pt idx="2593">
                  <c:v>1.8700000000000001E-2</c:v>
                </c:pt>
                <c:pt idx="2594">
                  <c:v>1.8500000000000003E-2</c:v>
                </c:pt>
                <c:pt idx="2595">
                  <c:v>1.83E-2</c:v>
                </c:pt>
                <c:pt idx="2596">
                  <c:v>1.8500000000000003E-2</c:v>
                </c:pt>
                <c:pt idx="2597">
                  <c:v>1.8200000000000001E-2</c:v>
                </c:pt>
                <c:pt idx="2598">
                  <c:v>1.7899999999999999E-2</c:v>
                </c:pt>
                <c:pt idx="2599">
                  <c:v>1.8100000000000002E-2</c:v>
                </c:pt>
                <c:pt idx="2600">
                  <c:v>1.84E-2</c:v>
                </c:pt>
                <c:pt idx="2601">
                  <c:v>1.84E-2</c:v>
                </c:pt>
                <c:pt idx="2602">
                  <c:v>1.78E-2</c:v>
                </c:pt>
                <c:pt idx="2603">
                  <c:v>1.77E-2</c:v>
                </c:pt>
                <c:pt idx="2604">
                  <c:v>1.7399999999999999E-2</c:v>
                </c:pt>
                <c:pt idx="2605">
                  <c:v>1.7000000000000001E-2</c:v>
                </c:pt>
                <c:pt idx="2606">
                  <c:v>1.61E-2</c:v>
                </c:pt>
                <c:pt idx="2607">
                  <c:v>1.6500000000000001E-2</c:v>
                </c:pt>
                <c:pt idx="2608">
                  <c:v>1.6E-2</c:v>
                </c:pt>
                <c:pt idx="2609">
                  <c:v>1.5700000000000002E-2</c:v>
                </c:pt>
                <c:pt idx="2610">
                  <c:v>1.5100000000000001E-2</c:v>
                </c:pt>
                <c:pt idx="2611">
                  <c:v>1.54E-2</c:v>
                </c:pt>
                <c:pt idx="2612">
                  <c:v>1.61E-2</c:v>
                </c:pt>
                <c:pt idx="2613">
                  <c:v>1.66E-2</c:v>
                </c:pt>
                <c:pt idx="2614">
                  <c:v>1.6500000000000001E-2</c:v>
                </c:pt>
                <c:pt idx="2615">
                  <c:v>1.5900000000000001E-2</c:v>
                </c:pt>
                <c:pt idx="2616">
                  <c:v>1.5600000000000001E-2</c:v>
                </c:pt>
                <c:pt idx="2617">
                  <c:v>1.5900000000000001E-2</c:v>
                </c:pt>
                <c:pt idx="2618">
                  <c:v>1.6200000000000003E-2</c:v>
                </c:pt>
                <c:pt idx="2619">
                  <c:v>1.61E-2</c:v>
                </c:pt>
                <c:pt idx="2620">
                  <c:v>1.5900000000000001E-2</c:v>
                </c:pt>
                <c:pt idx="2621">
                  <c:v>1.5900000000000001E-2</c:v>
                </c:pt>
                <c:pt idx="2622">
                  <c:v>1.55E-2</c:v>
                </c:pt>
                <c:pt idx="2623">
                  <c:v>1.5600000000000001E-2</c:v>
                </c:pt>
                <c:pt idx="2624">
                  <c:v>1.52E-2</c:v>
                </c:pt>
                <c:pt idx="2625">
                  <c:v>1.46E-2</c:v>
                </c:pt>
                <c:pt idx="2626">
                  <c:v>1.38E-2</c:v>
                </c:pt>
                <c:pt idx="2627">
                  <c:v>1.3300000000000001E-2</c:v>
                </c:pt>
                <c:pt idx="2628">
                  <c:v>1.3300000000000001E-2</c:v>
                </c:pt>
                <c:pt idx="2629">
                  <c:v>1.3000000000000001E-2</c:v>
                </c:pt>
                <c:pt idx="2630">
                  <c:v>1.1299999999999999E-2</c:v>
                </c:pt>
                <c:pt idx="2631">
                  <c:v>1.1000000000000001E-2</c:v>
                </c:pt>
                <c:pt idx="2632">
                  <c:v>1.0200000000000001E-2</c:v>
                </c:pt>
                <c:pt idx="2633">
                  <c:v>1.0200000000000001E-2</c:v>
                </c:pt>
                <c:pt idx="2634">
                  <c:v>9.1999999999999998E-3</c:v>
                </c:pt>
                <c:pt idx="2635">
                  <c:v>7.4000000000000003E-3</c:v>
                </c:pt>
                <c:pt idx="2636">
                  <c:v>5.4000000000000003E-3</c:v>
                </c:pt>
                <c:pt idx="2637">
                  <c:v>7.6E-3</c:v>
                </c:pt>
                <c:pt idx="2638">
                  <c:v>8.199999999999999E-3</c:v>
                </c:pt>
                <c:pt idx="2639">
                  <c:v>8.8000000000000005E-3</c:v>
                </c:pt>
                <c:pt idx="2640">
                  <c:v>9.3999999999999986E-3</c:v>
                </c:pt>
                <c:pt idx="2641">
                  <c:v>7.3000000000000001E-3</c:v>
                </c:pt>
                <c:pt idx="2642">
                  <c:v>1.0200000000000001E-2</c:v>
                </c:pt>
                <c:pt idx="2643">
                  <c:v>1.18E-2</c:v>
                </c:pt>
                <c:pt idx="2644">
                  <c:v>1.1200000000000002E-2</c:v>
                </c:pt>
                <c:pt idx="2645">
                  <c:v>9.1999999999999998E-3</c:v>
                </c:pt>
                <c:pt idx="2646">
                  <c:v>7.6E-3</c:v>
                </c:pt>
                <c:pt idx="2647">
                  <c:v>8.3999999999999995E-3</c:v>
                </c:pt>
                <c:pt idx="2648">
                  <c:v>8.8000000000000005E-3</c:v>
                </c:pt>
                <c:pt idx="2649">
                  <c:v>8.3000000000000001E-3</c:v>
                </c:pt>
                <c:pt idx="2650">
                  <c:v>7.1999999999999998E-3</c:v>
                </c:pt>
                <c:pt idx="2651">
                  <c:v>6.9999999999999993E-3</c:v>
                </c:pt>
                <c:pt idx="2652">
                  <c:v>6.9999999999999993E-3</c:v>
                </c:pt>
                <c:pt idx="2653">
                  <c:v>6.1999999999999998E-3</c:v>
                </c:pt>
                <c:pt idx="2654">
                  <c:v>6.3E-3</c:v>
                </c:pt>
                <c:pt idx="2655">
                  <c:v>6.1999999999999998E-3</c:v>
                </c:pt>
                <c:pt idx="2656">
                  <c:v>6.7000000000000002E-3</c:v>
                </c:pt>
                <c:pt idx="2657">
                  <c:v>7.4999999999999997E-3</c:v>
                </c:pt>
                <c:pt idx="2658">
                  <c:v>7.7000000000000002E-3</c:v>
                </c:pt>
                <c:pt idx="2659">
                  <c:v>7.3000000000000001E-3</c:v>
                </c:pt>
                <c:pt idx="2660">
                  <c:v>7.3000000000000001E-3</c:v>
                </c:pt>
                <c:pt idx="2661">
                  <c:v>7.6E-3</c:v>
                </c:pt>
                <c:pt idx="2662">
                  <c:v>7.6E-3</c:v>
                </c:pt>
                <c:pt idx="2663">
                  <c:v>6.3E-3</c:v>
                </c:pt>
                <c:pt idx="2664">
                  <c:v>6.0999999999999995E-3</c:v>
                </c:pt>
                <c:pt idx="2665">
                  <c:v>6.5000000000000006E-3</c:v>
                </c:pt>
                <c:pt idx="2666">
                  <c:v>6.3E-3</c:v>
                </c:pt>
                <c:pt idx="2667">
                  <c:v>5.7999999999999996E-3</c:v>
                </c:pt>
                <c:pt idx="2668">
                  <c:v>6.3E-3</c:v>
                </c:pt>
                <c:pt idx="2669">
                  <c:v>6.0999999999999995E-3</c:v>
                </c:pt>
                <c:pt idx="2670">
                  <c:v>6.0000000000000001E-3</c:v>
                </c:pt>
                <c:pt idx="2671">
                  <c:v>6.7000000000000002E-3</c:v>
                </c:pt>
                <c:pt idx="2672">
                  <c:v>6.1999999999999998E-3</c:v>
                </c:pt>
                <c:pt idx="2673">
                  <c:v>6.3E-3</c:v>
                </c:pt>
                <c:pt idx="2674">
                  <c:v>6.4000000000000003E-3</c:v>
                </c:pt>
                <c:pt idx="2675">
                  <c:v>6.4000000000000003E-3</c:v>
                </c:pt>
                <c:pt idx="2676">
                  <c:v>6.4000000000000003E-3</c:v>
                </c:pt>
                <c:pt idx="2677">
                  <c:v>6.6E-3</c:v>
                </c:pt>
                <c:pt idx="2678">
                  <c:v>7.1999999999999998E-3</c:v>
                </c:pt>
                <c:pt idx="2679">
                  <c:v>6.3E-3</c:v>
                </c:pt>
                <c:pt idx="2680">
                  <c:v>6.8999999999999999E-3</c:v>
                </c:pt>
                <c:pt idx="2681">
                  <c:v>7.3000000000000001E-3</c:v>
                </c:pt>
                <c:pt idx="2682">
                  <c:v>6.8999999999999999E-3</c:v>
                </c:pt>
                <c:pt idx="2683">
                  <c:v>6.4000000000000003E-3</c:v>
                </c:pt>
                <c:pt idx="2684">
                  <c:v>6.3E-3</c:v>
                </c:pt>
                <c:pt idx="2685">
                  <c:v>6.4000000000000003E-3</c:v>
                </c:pt>
                <c:pt idx="2686">
                  <c:v>7.3000000000000001E-3</c:v>
                </c:pt>
                <c:pt idx="2687">
                  <c:v>6.9999999999999993E-3</c:v>
                </c:pt>
                <c:pt idx="2688">
                  <c:v>6.8000000000000005E-3</c:v>
                </c:pt>
                <c:pt idx="2689">
                  <c:v>6.8000000000000005E-3</c:v>
                </c:pt>
                <c:pt idx="2690">
                  <c:v>6.6E-3</c:v>
                </c:pt>
                <c:pt idx="2691">
                  <c:v>6.6E-3</c:v>
                </c:pt>
                <c:pt idx="2692">
                  <c:v>6.8999999999999999E-3</c:v>
                </c:pt>
                <c:pt idx="2693">
                  <c:v>6.8000000000000005E-3</c:v>
                </c:pt>
                <c:pt idx="2694">
                  <c:v>6.9999999999999993E-3</c:v>
                </c:pt>
                <c:pt idx="2695">
                  <c:v>6.5000000000000006E-3</c:v>
                </c:pt>
                <c:pt idx="2696">
                  <c:v>6.6E-3</c:v>
                </c:pt>
                <c:pt idx="2697">
                  <c:v>6.8000000000000005E-3</c:v>
                </c:pt>
                <c:pt idx="2698">
                  <c:v>7.7000000000000002E-3</c:v>
                </c:pt>
                <c:pt idx="2699">
                  <c:v>8.199999999999999E-3</c:v>
                </c:pt>
                <c:pt idx="2700">
                  <c:v>9.1000000000000004E-3</c:v>
                </c:pt>
                <c:pt idx="2701">
                  <c:v>8.8000000000000005E-3</c:v>
                </c:pt>
                <c:pt idx="2702">
                  <c:v>8.3999999999999995E-3</c:v>
                </c:pt>
                <c:pt idx="2703">
                  <c:v>7.4999999999999997E-3</c:v>
                </c:pt>
                <c:pt idx="2704">
                  <c:v>6.6E-3</c:v>
                </c:pt>
                <c:pt idx="2705">
                  <c:v>7.0999999999999995E-3</c:v>
                </c:pt>
                <c:pt idx="2706">
                  <c:v>7.0999999999999995E-3</c:v>
                </c:pt>
                <c:pt idx="2707">
                  <c:v>7.4999999999999997E-3</c:v>
                </c:pt>
                <c:pt idx="2708">
                  <c:v>7.4000000000000003E-3</c:v>
                </c:pt>
                <c:pt idx="2709">
                  <c:v>7.0999999999999995E-3</c:v>
                </c:pt>
                <c:pt idx="2710">
                  <c:v>6.9999999999999993E-3</c:v>
                </c:pt>
                <c:pt idx="2711">
                  <c:v>7.0999999999999995E-3</c:v>
                </c:pt>
                <c:pt idx="2712">
                  <c:v>7.1999999999999998E-3</c:v>
                </c:pt>
                <c:pt idx="2713">
                  <c:v>6.8999999999999999E-3</c:v>
                </c:pt>
                <c:pt idx="2714">
                  <c:v>6.8000000000000005E-3</c:v>
                </c:pt>
                <c:pt idx="2715">
                  <c:v>6.4000000000000003E-3</c:v>
                </c:pt>
                <c:pt idx="2716">
                  <c:v>6.4000000000000003E-3</c:v>
                </c:pt>
                <c:pt idx="2717">
                  <c:v>6.6E-3</c:v>
                </c:pt>
                <c:pt idx="2718">
                  <c:v>6.8999999999999999E-3</c:v>
                </c:pt>
                <c:pt idx="2719">
                  <c:v>6.8000000000000005E-3</c:v>
                </c:pt>
                <c:pt idx="2720">
                  <c:v>6.8000000000000005E-3</c:v>
                </c:pt>
                <c:pt idx="2721">
                  <c:v>6.8999999999999999E-3</c:v>
                </c:pt>
                <c:pt idx="2722">
                  <c:v>6.5000000000000006E-3</c:v>
                </c:pt>
                <c:pt idx="2723">
                  <c:v>6.7000000000000002E-3</c:v>
                </c:pt>
                <c:pt idx="2724">
                  <c:v>6.1999999999999998E-3</c:v>
                </c:pt>
                <c:pt idx="2725">
                  <c:v>6.5000000000000006E-3</c:v>
                </c:pt>
                <c:pt idx="2726">
                  <c:v>6.4000000000000003E-3</c:v>
                </c:pt>
                <c:pt idx="2727">
                  <c:v>6.3E-3</c:v>
                </c:pt>
                <c:pt idx="2728">
                  <c:v>6.4000000000000003E-3</c:v>
                </c:pt>
                <c:pt idx="2729">
                  <c:v>6.1999999999999998E-3</c:v>
                </c:pt>
                <c:pt idx="2730">
                  <c:v>6.4000000000000003E-3</c:v>
                </c:pt>
                <c:pt idx="2731">
                  <c:v>6.1999999999999998E-3</c:v>
                </c:pt>
                <c:pt idx="2732">
                  <c:v>6.0999999999999995E-3</c:v>
                </c:pt>
                <c:pt idx="2733">
                  <c:v>6.0000000000000001E-3</c:v>
                </c:pt>
                <c:pt idx="2734">
                  <c:v>5.8999999999999999E-3</c:v>
                </c:pt>
                <c:pt idx="2735">
                  <c:v>5.8999999999999999E-3</c:v>
                </c:pt>
                <c:pt idx="2736">
                  <c:v>6.1999999999999998E-3</c:v>
                </c:pt>
                <c:pt idx="2737">
                  <c:v>5.8999999999999999E-3</c:v>
                </c:pt>
                <c:pt idx="2738">
                  <c:v>5.7999999999999996E-3</c:v>
                </c:pt>
                <c:pt idx="2739">
                  <c:v>5.5000000000000005E-3</c:v>
                </c:pt>
                <c:pt idx="2740">
                  <c:v>5.5000000000000005E-3</c:v>
                </c:pt>
                <c:pt idx="2741">
                  <c:v>5.6000000000000008E-3</c:v>
                </c:pt>
                <c:pt idx="2742">
                  <c:v>5.1999999999999998E-3</c:v>
                </c:pt>
                <c:pt idx="2743">
                  <c:v>5.5000000000000005E-3</c:v>
                </c:pt>
                <c:pt idx="2744">
                  <c:v>5.5000000000000005E-3</c:v>
                </c:pt>
                <c:pt idx="2745">
                  <c:v>5.6999999999999993E-3</c:v>
                </c:pt>
                <c:pt idx="2746">
                  <c:v>5.8999999999999999E-3</c:v>
                </c:pt>
                <c:pt idx="2747">
                  <c:v>6.4000000000000003E-3</c:v>
                </c:pt>
                <c:pt idx="2748">
                  <c:v>6.8999999999999999E-3</c:v>
                </c:pt>
                <c:pt idx="2749">
                  <c:v>7.0999999999999995E-3</c:v>
                </c:pt>
                <c:pt idx="2750">
                  <c:v>7.0999999999999995E-3</c:v>
                </c:pt>
                <c:pt idx="2751">
                  <c:v>6.8999999999999999E-3</c:v>
                </c:pt>
                <c:pt idx="2752">
                  <c:v>6.7000000000000002E-3</c:v>
                </c:pt>
                <c:pt idx="2753">
                  <c:v>6.8000000000000005E-3</c:v>
                </c:pt>
                <c:pt idx="2754">
                  <c:v>6.5000000000000006E-3</c:v>
                </c:pt>
                <c:pt idx="2755">
                  <c:v>6.4000000000000003E-3</c:v>
                </c:pt>
                <c:pt idx="2756">
                  <c:v>6.5000000000000006E-3</c:v>
                </c:pt>
                <c:pt idx="2757">
                  <c:v>6.8999999999999999E-3</c:v>
                </c:pt>
                <c:pt idx="2758">
                  <c:v>6.8999999999999999E-3</c:v>
                </c:pt>
                <c:pt idx="2759">
                  <c:v>7.4000000000000003E-3</c:v>
                </c:pt>
                <c:pt idx="2760">
                  <c:v>7.4000000000000003E-3</c:v>
                </c:pt>
                <c:pt idx="2761">
                  <c:v>7.1999999999999998E-3</c:v>
                </c:pt>
                <c:pt idx="2762">
                  <c:v>6.8000000000000005E-3</c:v>
                </c:pt>
                <c:pt idx="2763">
                  <c:v>6.6E-3</c:v>
                </c:pt>
                <c:pt idx="2764">
                  <c:v>6.3E-3</c:v>
                </c:pt>
                <c:pt idx="2765">
                  <c:v>7.1999999999999998E-3</c:v>
                </c:pt>
                <c:pt idx="2766">
                  <c:v>7.1999999999999998E-3</c:v>
                </c:pt>
                <c:pt idx="2767">
                  <c:v>6.8999999999999999E-3</c:v>
                </c:pt>
                <c:pt idx="2768">
                  <c:v>7.0999999999999995E-3</c:v>
                </c:pt>
                <c:pt idx="2769">
                  <c:v>6.8000000000000005E-3</c:v>
                </c:pt>
                <c:pt idx="2770">
                  <c:v>6.7000000000000002E-3</c:v>
                </c:pt>
                <c:pt idx="2771">
                  <c:v>6.8000000000000005E-3</c:v>
                </c:pt>
                <c:pt idx="2772">
                  <c:v>6.8000000000000005E-3</c:v>
                </c:pt>
                <c:pt idx="2773">
                  <c:v>6.8999999999999999E-3</c:v>
                </c:pt>
                <c:pt idx="2774">
                  <c:v>6.8999999999999999E-3</c:v>
                </c:pt>
                <c:pt idx="2775">
                  <c:v>6.9999999999999993E-3</c:v>
                </c:pt>
                <c:pt idx="2776">
                  <c:v>6.8000000000000005E-3</c:v>
                </c:pt>
                <c:pt idx="2777">
                  <c:v>6.8000000000000005E-3</c:v>
                </c:pt>
                <c:pt idx="2778">
                  <c:v>6.8000000000000005E-3</c:v>
                </c:pt>
                <c:pt idx="2779">
                  <c:v>6.7000000000000002E-3</c:v>
                </c:pt>
                <c:pt idx="2780">
                  <c:v>6.6E-3</c:v>
                </c:pt>
                <c:pt idx="2781">
                  <c:v>6.7000000000000002E-3</c:v>
                </c:pt>
                <c:pt idx="2782">
                  <c:v>6.6E-3</c:v>
                </c:pt>
                <c:pt idx="2783">
                  <c:v>6.8999999999999999E-3</c:v>
                </c:pt>
                <c:pt idx="2784">
                  <c:v>6.8000000000000005E-3</c:v>
                </c:pt>
                <c:pt idx="2785">
                  <c:v>6.9999999999999993E-3</c:v>
                </c:pt>
                <c:pt idx="2786">
                  <c:v>7.8000000000000005E-3</c:v>
                </c:pt>
                <c:pt idx="2787">
                  <c:v>7.6E-3</c:v>
                </c:pt>
                <c:pt idx="2788">
                  <c:v>8.1000000000000013E-3</c:v>
                </c:pt>
                <c:pt idx="2789">
                  <c:v>7.8000000000000005E-3</c:v>
                </c:pt>
                <c:pt idx="2790">
                  <c:v>7.9000000000000008E-3</c:v>
                </c:pt>
                <c:pt idx="2791">
                  <c:v>7.9000000000000008E-3</c:v>
                </c:pt>
                <c:pt idx="2792">
                  <c:v>7.4000000000000003E-3</c:v>
                </c:pt>
                <c:pt idx="2793">
                  <c:v>7.3000000000000001E-3</c:v>
                </c:pt>
                <c:pt idx="2794">
                  <c:v>7.4000000000000003E-3</c:v>
                </c:pt>
                <c:pt idx="2795">
                  <c:v>7.6E-3</c:v>
                </c:pt>
                <c:pt idx="2796">
                  <c:v>7.8000000000000005E-3</c:v>
                </c:pt>
                <c:pt idx="2797">
                  <c:v>8.1000000000000013E-3</c:v>
                </c:pt>
                <c:pt idx="2798">
                  <c:v>8.3000000000000001E-3</c:v>
                </c:pt>
                <c:pt idx="2799">
                  <c:v>8.6999999999999994E-3</c:v>
                </c:pt>
                <c:pt idx="2800">
                  <c:v>8.5000000000000006E-3</c:v>
                </c:pt>
                <c:pt idx="2801">
                  <c:v>8.1000000000000013E-3</c:v>
                </c:pt>
                <c:pt idx="2802">
                  <c:v>7.9000000000000008E-3</c:v>
                </c:pt>
                <c:pt idx="2803">
                  <c:v>7.9000000000000008E-3</c:v>
                </c:pt>
                <c:pt idx="2804">
                  <c:v>8.5000000000000006E-3</c:v>
                </c:pt>
                <c:pt idx="2805">
                  <c:v>8.8000000000000005E-3</c:v>
                </c:pt>
                <c:pt idx="2806">
                  <c:v>8.6999999999999994E-3</c:v>
                </c:pt>
                <c:pt idx="2807">
                  <c:v>9.0000000000000011E-3</c:v>
                </c:pt>
                <c:pt idx="2808">
                  <c:v>7.8000000000000005E-3</c:v>
                </c:pt>
                <c:pt idx="2809">
                  <c:v>7.9000000000000008E-3</c:v>
                </c:pt>
                <c:pt idx="2810">
                  <c:v>8.3000000000000001E-3</c:v>
                </c:pt>
                <c:pt idx="2811">
                  <c:v>9.5999999999999992E-3</c:v>
                </c:pt>
                <c:pt idx="2812">
                  <c:v>9.7999999999999997E-3</c:v>
                </c:pt>
                <c:pt idx="2813">
                  <c:v>9.7999999999999997E-3</c:v>
                </c:pt>
                <c:pt idx="2814">
                  <c:v>8.8000000000000005E-3</c:v>
                </c:pt>
                <c:pt idx="2815">
                  <c:v>8.8999999999999999E-3</c:v>
                </c:pt>
                <c:pt idx="2816">
                  <c:v>9.1000000000000004E-3</c:v>
                </c:pt>
                <c:pt idx="2817">
                  <c:v>8.6999999999999994E-3</c:v>
                </c:pt>
                <c:pt idx="2818">
                  <c:v>8.8000000000000005E-3</c:v>
                </c:pt>
                <c:pt idx="2819">
                  <c:v>8.6E-3</c:v>
                </c:pt>
                <c:pt idx="2820">
                  <c:v>8.3000000000000001E-3</c:v>
                </c:pt>
                <c:pt idx="2821">
                  <c:v>8.6E-3</c:v>
                </c:pt>
                <c:pt idx="2822">
                  <c:v>8.8000000000000005E-3</c:v>
                </c:pt>
                <c:pt idx="2823">
                  <c:v>8.8000000000000005E-3</c:v>
                </c:pt>
                <c:pt idx="2824">
                  <c:v>8.8000000000000005E-3</c:v>
                </c:pt>
                <c:pt idx="2825">
                  <c:v>8.3999999999999995E-3</c:v>
                </c:pt>
                <c:pt idx="2826">
                  <c:v>8.3999999999999995E-3</c:v>
                </c:pt>
                <c:pt idx="2827">
                  <c:v>9.1999999999999998E-3</c:v>
                </c:pt>
                <c:pt idx="2828">
                  <c:v>9.4999999999999998E-3</c:v>
                </c:pt>
                <c:pt idx="2829">
                  <c:v>9.1999999999999998E-3</c:v>
                </c:pt>
                <c:pt idx="2830">
                  <c:v>9.7000000000000003E-3</c:v>
                </c:pt>
                <c:pt idx="2831">
                  <c:v>9.3999999999999986E-3</c:v>
                </c:pt>
                <c:pt idx="2832">
                  <c:v>9.1999999999999998E-3</c:v>
                </c:pt>
                <c:pt idx="2833">
                  <c:v>9.4999999999999998E-3</c:v>
                </c:pt>
                <c:pt idx="2834">
                  <c:v>9.1999999999999998E-3</c:v>
                </c:pt>
                <c:pt idx="2835">
                  <c:v>9.0000000000000011E-3</c:v>
                </c:pt>
                <c:pt idx="2836">
                  <c:v>9.0000000000000011E-3</c:v>
                </c:pt>
                <c:pt idx="2837">
                  <c:v>9.1999999999999998E-3</c:v>
                </c:pt>
                <c:pt idx="2838">
                  <c:v>9.1999999999999998E-3</c:v>
                </c:pt>
                <c:pt idx="2839">
                  <c:v>9.3999999999999986E-3</c:v>
                </c:pt>
                <c:pt idx="2840">
                  <c:v>9.4999999999999998E-3</c:v>
                </c:pt>
                <c:pt idx="2841">
                  <c:v>9.4999999999999998E-3</c:v>
                </c:pt>
                <c:pt idx="2842">
                  <c:v>9.300000000000001E-3</c:v>
                </c:pt>
                <c:pt idx="2843">
                  <c:v>9.5999999999999992E-3</c:v>
                </c:pt>
                <c:pt idx="2844">
                  <c:v>9.3999999999999986E-3</c:v>
                </c:pt>
                <c:pt idx="2845">
                  <c:v>9.3999999999999986E-3</c:v>
                </c:pt>
                <c:pt idx="2846">
                  <c:v>9.3999999999999986E-3</c:v>
                </c:pt>
                <c:pt idx="2847">
                  <c:v>9.3999999999999986E-3</c:v>
                </c:pt>
                <c:pt idx="2848">
                  <c:v>9.300000000000001E-3</c:v>
                </c:pt>
                <c:pt idx="2849">
                  <c:v>9.300000000000001E-3</c:v>
                </c:pt>
                <c:pt idx="2850">
                  <c:v>9.300000000000001E-3</c:v>
                </c:pt>
                <c:pt idx="2851">
                  <c:v>9.300000000000001E-3</c:v>
                </c:pt>
                <c:pt idx="2852">
                  <c:v>9.5999999999999992E-3</c:v>
                </c:pt>
                <c:pt idx="2853">
                  <c:v>1.04E-2</c:v>
                </c:pt>
                <c:pt idx="2854">
                  <c:v>1.0800000000000001E-2</c:v>
                </c:pt>
                <c:pt idx="2855">
                  <c:v>1.1299999999999999E-2</c:v>
                </c:pt>
                <c:pt idx="2856">
                  <c:v>1.15E-2</c:v>
                </c:pt>
                <c:pt idx="2857">
                  <c:v>1.15E-2</c:v>
                </c:pt>
                <c:pt idx="2858">
                  <c:v>1.1000000000000001E-2</c:v>
                </c:pt>
                <c:pt idx="2859">
                  <c:v>1.15E-2</c:v>
                </c:pt>
                <c:pt idx="2860">
                  <c:v>1.11E-2</c:v>
                </c:pt>
                <c:pt idx="2861">
                  <c:v>1.11E-2</c:v>
                </c:pt>
                <c:pt idx="2862">
                  <c:v>1.1000000000000001E-2</c:v>
                </c:pt>
                <c:pt idx="2863">
                  <c:v>1.1000000000000001E-2</c:v>
                </c:pt>
                <c:pt idx="2864">
                  <c:v>1.1200000000000002E-2</c:v>
                </c:pt>
                <c:pt idx="2865">
                  <c:v>1.1000000000000001E-2</c:v>
                </c:pt>
                <c:pt idx="2866">
                  <c:v>1.0500000000000001E-2</c:v>
                </c:pt>
                <c:pt idx="2867">
                  <c:v>1.0500000000000001E-2</c:v>
                </c:pt>
                <c:pt idx="2868">
                  <c:v>1.04E-2</c:v>
                </c:pt>
                <c:pt idx="2869">
                  <c:v>1.0700000000000001E-2</c:v>
                </c:pt>
                <c:pt idx="2870">
                  <c:v>1.11E-2</c:v>
                </c:pt>
                <c:pt idx="2871">
                  <c:v>1.09E-2</c:v>
                </c:pt>
                <c:pt idx="2872">
                  <c:v>1.1200000000000002E-2</c:v>
                </c:pt>
                <c:pt idx="2873">
                  <c:v>1.15E-2</c:v>
                </c:pt>
                <c:pt idx="2874">
                  <c:v>1.15E-2</c:v>
                </c:pt>
                <c:pt idx="2875">
                  <c:v>1.1899999999999999E-2</c:v>
                </c:pt>
                <c:pt idx="2876">
                  <c:v>1.1899999999999999E-2</c:v>
                </c:pt>
                <c:pt idx="2877">
                  <c:v>1.18E-2</c:v>
                </c:pt>
                <c:pt idx="2878">
                  <c:v>1.15E-2</c:v>
                </c:pt>
                <c:pt idx="2879">
                  <c:v>1.1599999999999999E-2</c:v>
                </c:pt>
                <c:pt idx="2880">
                  <c:v>1.2E-2</c:v>
                </c:pt>
                <c:pt idx="2881">
                  <c:v>1.2E-2</c:v>
                </c:pt>
                <c:pt idx="2882">
                  <c:v>1.3000000000000001E-2</c:v>
                </c:pt>
                <c:pt idx="2883">
                  <c:v>1.29E-2</c:v>
                </c:pt>
                <c:pt idx="2884">
                  <c:v>1.29E-2</c:v>
                </c:pt>
                <c:pt idx="2885">
                  <c:v>1.34E-2</c:v>
                </c:pt>
                <c:pt idx="2886">
                  <c:v>1.37E-2</c:v>
                </c:pt>
                <c:pt idx="2887">
                  <c:v>1.37E-2</c:v>
                </c:pt>
                <c:pt idx="2888">
                  <c:v>1.38E-2</c:v>
                </c:pt>
                <c:pt idx="2889">
                  <c:v>1.54E-2</c:v>
                </c:pt>
                <c:pt idx="2890">
                  <c:v>1.44E-2</c:v>
                </c:pt>
                <c:pt idx="2891">
                  <c:v>1.4499999999999999E-2</c:v>
                </c:pt>
                <c:pt idx="2892">
                  <c:v>1.4199999999999999E-2</c:v>
                </c:pt>
                <c:pt idx="2893">
                  <c:v>1.47E-2</c:v>
                </c:pt>
                <c:pt idx="2894">
                  <c:v>1.54E-2</c:v>
                </c:pt>
                <c:pt idx="2895">
                  <c:v>1.5600000000000001E-2</c:v>
                </c:pt>
                <c:pt idx="2896">
                  <c:v>1.5900000000000001E-2</c:v>
                </c:pt>
                <c:pt idx="2897">
                  <c:v>1.55E-2</c:v>
                </c:pt>
                <c:pt idx="2898">
                  <c:v>1.5300000000000001E-2</c:v>
                </c:pt>
                <c:pt idx="2899">
                  <c:v>1.54E-2</c:v>
                </c:pt>
                <c:pt idx="2900">
                  <c:v>1.6399999999999998E-2</c:v>
                </c:pt>
                <c:pt idx="2901">
                  <c:v>1.6200000000000003E-2</c:v>
                </c:pt>
                <c:pt idx="2902">
                  <c:v>1.6200000000000003E-2</c:v>
                </c:pt>
                <c:pt idx="2903">
                  <c:v>1.6299999999999999E-2</c:v>
                </c:pt>
                <c:pt idx="2904">
                  <c:v>1.7100000000000001E-2</c:v>
                </c:pt>
                <c:pt idx="2905">
                  <c:v>1.7399999999999999E-2</c:v>
                </c:pt>
                <c:pt idx="2906">
                  <c:v>1.6899999999999998E-2</c:v>
                </c:pt>
                <c:pt idx="2907">
                  <c:v>1.6299999999999999E-2</c:v>
                </c:pt>
                <c:pt idx="2908">
                  <c:v>1.6200000000000003E-2</c:v>
                </c:pt>
                <c:pt idx="2909">
                  <c:v>1.6299999999999999E-2</c:v>
                </c:pt>
                <c:pt idx="2910">
                  <c:v>1.67E-2</c:v>
                </c:pt>
                <c:pt idx="2911">
                  <c:v>1.7299999999999999E-2</c:v>
                </c:pt>
                <c:pt idx="2912">
                  <c:v>1.7299999999999999E-2</c:v>
                </c:pt>
                <c:pt idx="2913">
                  <c:v>1.7399999999999999E-2</c:v>
                </c:pt>
                <c:pt idx="2914">
                  <c:v>1.6899999999999998E-2</c:v>
                </c:pt>
                <c:pt idx="2915">
                  <c:v>1.72E-2</c:v>
                </c:pt>
                <c:pt idx="2916">
                  <c:v>1.7299999999999999E-2</c:v>
                </c:pt>
                <c:pt idx="2917">
                  <c:v>1.67E-2</c:v>
                </c:pt>
                <c:pt idx="2918">
                  <c:v>1.6799999999999999E-2</c:v>
                </c:pt>
                <c:pt idx="2919">
                  <c:v>1.6399999999999998E-2</c:v>
                </c:pt>
                <c:pt idx="2920">
                  <c:v>1.67E-2</c:v>
                </c:pt>
                <c:pt idx="2921">
                  <c:v>1.6899999999999998E-2</c:v>
                </c:pt>
                <c:pt idx="2922">
                  <c:v>1.6399999999999998E-2</c:v>
                </c:pt>
                <c:pt idx="2923">
                  <c:v>1.6399999999999998E-2</c:v>
                </c:pt>
                <c:pt idx="2924">
                  <c:v>1.5600000000000001E-2</c:v>
                </c:pt>
                <c:pt idx="2925">
                  <c:v>1.5900000000000001E-2</c:v>
                </c:pt>
                <c:pt idx="2926">
                  <c:v>1.61E-2</c:v>
                </c:pt>
                <c:pt idx="2927">
                  <c:v>1.5800000000000002E-2</c:v>
                </c:pt>
                <c:pt idx="2928">
                  <c:v>1.5700000000000002E-2</c:v>
                </c:pt>
                <c:pt idx="2929">
                  <c:v>1.5700000000000002E-2</c:v>
                </c:pt>
                <c:pt idx="2930">
                  <c:v>1.5800000000000002E-2</c:v>
                </c:pt>
                <c:pt idx="2931">
                  <c:v>1.5800000000000002E-2</c:v>
                </c:pt>
                <c:pt idx="2932">
                  <c:v>1.6299999999999999E-2</c:v>
                </c:pt>
                <c:pt idx="2933">
                  <c:v>1.6299999999999999E-2</c:v>
                </c:pt>
                <c:pt idx="2934">
                  <c:v>1.6500000000000001E-2</c:v>
                </c:pt>
                <c:pt idx="2935">
                  <c:v>1.6500000000000001E-2</c:v>
                </c:pt>
                <c:pt idx="2936">
                  <c:v>1.6299999999999999E-2</c:v>
                </c:pt>
                <c:pt idx="2937">
                  <c:v>1.61E-2</c:v>
                </c:pt>
                <c:pt idx="2938">
                  <c:v>1.5900000000000001E-2</c:v>
                </c:pt>
                <c:pt idx="2939">
                  <c:v>1.5800000000000002E-2</c:v>
                </c:pt>
                <c:pt idx="2940">
                  <c:v>1.6E-2</c:v>
                </c:pt>
                <c:pt idx="2941">
                  <c:v>1.6299999999999999E-2</c:v>
                </c:pt>
                <c:pt idx="2942">
                  <c:v>1.6399999999999998E-2</c:v>
                </c:pt>
                <c:pt idx="2943">
                  <c:v>1.6899999999999998E-2</c:v>
                </c:pt>
                <c:pt idx="2944">
                  <c:v>1.66E-2</c:v>
                </c:pt>
                <c:pt idx="2945">
                  <c:v>1.6299999999999999E-2</c:v>
                </c:pt>
                <c:pt idx="2946">
                  <c:v>1.6399999999999998E-2</c:v>
                </c:pt>
                <c:pt idx="2947">
                  <c:v>1.6399999999999998E-2</c:v>
                </c:pt>
                <c:pt idx="2948">
                  <c:v>1.6799999999999999E-2</c:v>
                </c:pt>
                <c:pt idx="2949">
                  <c:v>1.6299999999999999E-2</c:v>
                </c:pt>
                <c:pt idx="2950">
                  <c:v>1.6299999999999999E-2</c:v>
                </c:pt>
                <c:pt idx="2951">
                  <c:v>1.61E-2</c:v>
                </c:pt>
                <c:pt idx="2952">
                  <c:v>1.5600000000000001E-2</c:v>
                </c:pt>
                <c:pt idx="2953">
                  <c:v>1.5800000000000002E-2</c:v>
                </c:pt>
                <c:pt idx="2954">
                  <c:v>1.61E-2</c:v>
                </c:pt>
                <c:pt idx="2955">
                  <c:v>1.5800000000000002E-2</c:v>
                </c:pt>
                <c:pt idx="2956">
                  <c:v>1.5800000000000002E-2</c:v>
                </c:pt>
                <c:pt idx="2957">
                  <c:v>1.6200000000000003E-2</c:v>
                </c:pt>
                <c:pt idx="2958">
                  <c:v>1.5900000000000001E-2</c:v>
                </c:pt>
                <c:pt idx="2959">
                  <c:v>1.6299999999999999E-2</c:v>
                </c:pt>
                <c:pt idx="2960">
                  <c:v>1.5600000000000001E-2</c:v>
                </c:pt>
                <c:pt idx="2961">
                  <c:v>1.5700000000000002E-2</c:v>
                </c:pt>
                <c:pt idx="2962">
                  <c:v>1.5300000000000001E-2</c:v>
                </c:pt>
                <c:pt idx="2963">
                  <c:v>1.4999999999999999E-2</c:v>
                </c:pt>
                <c:pt idx="2964">
                  <c:v>1.4499999999999999E-2</c:v>
                </c:pt>
                <c:pt idx="2965">
                  <c:v>1.47E-2</c:v>
                </c:pt>
                <c:pt idx="2966">
                  <c:v>1.5100000000000001E-2</c:v>
                </c:pt>
                <c:pt idx="2967">
                  <c:v>1.5100000000000001E-2</c:v>
                </c:pt>
                <c:pt idx="2968">
                  <c:v>1.5700000000000002E-2</c:v>
                </c:pt>
                <c:pt idx="2969">
                  <c:v>1.52E-2</c:v>
                </c:pt>
                <c:pt idx="2970">
                  <c:v>1.4499999999999999E-2</c:v>
                </c:pt>
                <c:pt idx="2971">
                  <c:v>1.4999999999999999E-2</c:v>
                </c:pt>
                <c:pt idx="2972">
                  <c:v>1.4800000000000001E-2</c:v>
                </c:pt>
                <c:pt idx="2973">
                  <c:v>1.4999999999999999E-2</c:v>
                </c:pt>
                <c:pt idx="2974">
                  <c:v>1.49E-2</c:v>
                </c:pt>
                <c:pt idx="2975">
                  <c:v>1.54E-2</c:v>
                </c:pt>
                <c:pt idx="2976">
                  <c:v>1.49E-2</c:v>
                </c:pt>
                <c:pt idx="2977">
                  <c:v>1.49E-2</c:v>
                </c:pt>
                <c:pt idx="2978">
                  <c:v>1.4499999999999999E-2</c:v>
                </c:pt>
                <c:pt idx="2979">
                  <c:v>1.4800000000000001E-2</c:v>
                </c:pt>
                <c:pt idx="2980">
                  <c:v>1.44E-2</c:v>
                </c:pt>
                <c:pt idx="2981">
                  <c:v>1.44E-2</c:v>
                </c:pt>
                <c:pt idx="2982">
                  <c:v>1.37E-2</c:v>
                </c:pt>
                <c:pt idx="2983">
                  <c:v>1.3300000000000001E-2</c:v>
                </c:pt>
                <c:pt idx="2984">
                  <c:v>1.3000000000000001E-2</c:v>
                </c:pt>
                <c:pt idx="2985">
                  <c:v>1.37E-2</c:v>
                </c:pt>
                <c:pt idx="2986">
                  <c:v>1.38E-2</c:v>
                </c:pt>
                <c:pt idx="2987">
                  <c:v>1.4199999999999999E-2</c:v>
                </c:pt>
                <c:pt idx="2988">
                  <c:v>1.37E-2</c:v>
                </c:pt>
                <c:pt idx="2989">
                  <c:v>1.3100000000000001E-2</c:v>
                </c:pt>
                <c:pt idx="2990">
                  <c:v>1.3100000000000001E-2</c:v>
                </c:pt>
                <c:pt idx="2991">
                  <c:v>1.1899999999999999E-2</c:v>
                </c:pt>
                <c:pt idx="2992">
                  <c:v>1.23E-2</c:v>
                </c:pt>
                <c:pt idx="2993">
                  <c:v>1.3000000000000001E-2</c:v>
                </c:pt>
                <c:pt idx="2994">
                  <c:v>1.2699999999999999E-2</c:v>
                </c:pt>
                <c:pt idx="2995">
                  <c:v>1.3000000000000001E-2</c:v>
                </c:pt>
                <c:pt idx="2996">
                  <c:v>1.29E-2</c:v>
                </c:pt>
                <c:pt idx="2997">
                  <c:v>1.2500000000000001E-2</c:v>
                </c:pt>
                <c:pt idx="2998">
                  <c:v>1.26E-2</c:v>
                </c:pt>
                <c:pt idx="2999">
                  <c:v>1.2800000000000001E-2</c:v>
                </c:pt>
                <c:pt idx="3000">
                  <c:v>1.24E-2</c:v>
                </c:pt>
                <c:pt idx="3001">
                  <c:v>1.2E-2</c:v>
                </c:pt>
                <c:pt idx="3002">
                  <c:v>1.1899999999999999E-2</c:v>
                </c:pt>
                <c:pt idx="3003">
                  <c:v>1.1899999999999999E-2</c:v>
                </c:pt>
                <c:pt idx="3004">
                  <c:v>1.23E-2</c:v>
                </c:pt>
                <c:pt idx="3005">
                  <c:v>1.3100000000000001E-2</c:v>
                </c:pt>
                <c:pt idx="3006">
                  <c:v>1.3300000000000001E-2</c:v>
                </c:pt>
                <c:pt idx="3007">
                  <c:v>1.3600000000000001E-2</c:v>
                </c:pt>
                <c:pt idx="3008">
                  <c:v>1.3500000000000002E-2</c:v>
                </c:pt>
                <c:pt idx="3009">
                  <c:v>1.3600000000000001E-2</c:v>
                </c:pt>
                <c:pt idx="3010">
                  <c:v>1.29E-2</c:v>
                </c:pt>
                <c:pt idx="3011">
                  <c:v>1.26E-2</c:v>
                </c:pt>
                <c:pt idx="3012">
                  <c:v>1.26E-2</c:v>
                </c:pt>
                <c:pt idx="3013">
                  <c:v>1.2699999999999999E-2</c:v>
                </c:pt>
                <c:pt idx="3014">
                  <c:v>1.24E-2</c:v>
                </c:pt>
                <c:pt idx="3015">
                  <c:v>1.26E-2</c:v>
                </c:pt>
                <c:pt idx="3016">
                  <c:v>1.2500000000000001E-2</c:v>
                </c:pt>
                <c:pt idx="3017">
                  <c:v>1.29E-2</c:v>
                </c:pt>
                <c:pt idx="3018">
                  <c:v>1.3500000000000002E-2</c:v>
                </c:pt>
                <c:pt idx="3019">
                  <c:v>1.34E-2</c:v>
                </c:pt>
                <c:pt idx="3020">
                  <c:v>1.3100000000000001E-2</c:v>
                </c:pt>
                <c:pt idx="3021">
                  <c:v>1.29E-2</c:v>
                </c:pt>
                <c:pt idx="3022">
                  <c:v>1.3000000000000001E-2</c:v>
                </c:pt>
                <c:pt idx="3023">
                  <c:v>1.3100000000000001E-2</c:v>
                </c:pt>
                <c:pt idx="3024">
                  <c:v>1.29E-2</c:v>
                </c:pt>
                <c:pt idx="3025">
                  <c:v>1.3300000000000001E-2</c:v>
                </c:pt>
                <c:pt idx="3026">
                  <c:v>1.3300000000000001E-2</c:v>
                </c:pt>
                <c:pt idx="3027">
                  <c:v>1.38E-2</c:v>
                </c:pt>
                <c:pt idx="3028">
                  <c:v>1.3500000000000002E-2</c:v>
                </c:pt>
                <c:pt idx="3029">
                  <c:v>1.3000000000000001E-2</c:v>
                </c:pt>
                <c:pt idx="3030">
                  <c:v>1.3500000000000002E-2</c:v>
                </c:pt>
                <c:pt idx="3031">
                  <c:v>1.3300000000000001E-2</c:v>
                </c:pt>
                <c:pt idx="3032">
                  <c:v>1.2800000000000001E-2</c:v>
                </c:pt>
                <c:pt idx="3033">
                  <c:v>1.3100000000000001E-2</c:v>
                </c:pt>
                <c:pt idx="3034">
                  <c:v>1.34E-2</c:v>
                </c:pt>
                <c:pt idx="3035">
                  <c:v>1.37E-2</c:v>
                </c:pt>
                <c:pt idx="3036">
                  <c:v>1.3100000000000001E-2</c:v>
                </c:pt>
                <c:pt idx="3037">
                  <c:v>1.3300000000000001E-2</c:v>
                </c:pt>
                <c:pt idx="3038">
                  <c:v>1.32E-2</c:v>
                </c:pt>
                <c:pt idx="3039">
                  <c:v>1.41E-2</c:v>
                </c:pt>
                <c:pt idx="3040">
                  <c:v>1.47E-2</c:v>
                </c:pt>
                <c:pt idx="3041">
                  <c:v>1.4800000000000001E-2</c:v>
                </c:pt>
                <c:pt idx="3042">
                  <c:v>1.54E-2</c:v>
                </c:pt>
                <c:pt idx="3043">
                  <c:v>1.55E-2</c:v>
                </c:pt>
                <c:pt idx="3044">
                  <c:v>1.52E-2</c:v>
                </c:pt>
                <c:pt idx="3045">
                  <c:v>1.4800000000000001E-2</c:v>
                </c:pt>
                <c:pt idx="3046">
                  <c:v>1.49E-2</c:v>
                </c:pt>
                <c:pt idx="3047">
                  <c:v>1.54E-2</c:v>
                </c:pt>
                <c:pt idx="3048">
                  <c:v>1.5300000000000001E-2</c:v>
                </c:pt>
                <c:pt idx="3049">
                  <c:v>1.5800000000000002E-2</c:v>
                </c:pt>
                <c:pt idx="3050">
                  <c:v>1.61E-2</c:v>
                </c:pt>
                <c:pt idx="3051">
                  <c:v>1.61E-2</c:v>
                </c:pt>
                <c:pt idx="3052">
                  <c:v>1.5900000000000001E-2</c:v>
                </c:pt>
                <c:pt idx="3053">
                  <c:v>1.5600000000000001E-2</c:v>
                </c:pt>
                <c:pt idx="3054">
                  <c:v>1.52E-2</c:v>
                </c:pt>
                <c:pt idx="3055">
                  <c:v>1.5900000000000001E-2</c:v>
                </c:pt>
                <c:pt idx="3056">
                  <c:v>1.5900000000000001E-2</c:v>
                </c:pt>
                <c:pt idx="3057">
                  <c:v>1.6500000000000001E-2</c:v>
                </c:pt>
                <c:pt idx="3058">
                  <c:v>1.6500000000000001E-2</c:v>
                </c:pt>
                <c:pt idx="3059">
                  <c:v>1.6799999999999999E-2</c:v>
                </c:pt>
                <c:pt idx="3060">
                  <c:v>1.66E-2</c:v>
                </c:pt>
                <c:pt idx="3061">
                  <c:v>1.6399999999999998E-2</c:v>
                </c:pt>
                <c:pt idx="3062">
                  <c:v>1.6299999999999999E-2</c:v>
                </c:pt>
                <c:pt idx="3063">
                  <c:v>1.54E-2</c:v>
                </c:pt>
                <c:pt idx="3064">
                  <c:v>1.5700000000000002E-2</c:v>
                </c:pt>
                <c:pt idx="3065">
                  <c:v>1.55E-2</c:v>
                </c:pt>
                <c:pt idx="3066">
                  <c:v>1.5800000000000002E-2</c:v>
                </c:pt>
                <c:pt idx="3067">
                  <c:v>1.5600000000000001E-2</c:v>
                </c:pt>
                <c:pt idx="3068">
                  <c:v>1.6E-2</c:v>
                </c:pt>
                <c:pt idx="3069">
                  <c:v>1.5300000000000001E-2</c:v>
                </c:pt>
                <c:pt idx="3070">
                  <c:v>1.4499999999999999E-2</c:v>
                </c:pt>
                <c:pt idx="3071">
                  <c:v>1.5100000000000001E-2</c:v>
                </c:pt>
                <c:pt idx="3072">
                  <c:v>1.46E-2</c:v>
                </c:pt>
                <c:pt idx="3073">
                  <c:v>1.5600000000000001E-2</c:v>
                </c:pt>
                <c:pt idx="3074">
                  <c:v>1.5600000000000001E-2</c:v>
                </c:pt>
                <c:pt idx="3075">
                  <c:v>1.5800000000000002E-2</c:v>
                </c:pt>
                <c:pt idx="3076">
                  <c:v>1.6299999999999999E-2</c:v>
                </c:pt>
                <c:pt idx="3077">
                  <c:v>1.6299999999999999E-2</c:v>
                </c:pt>
                <c:pt idx="3078">
                  <c:v>1.6E-2</c:v>
                </c:pt>
                <c:pt idx="3079">
                  <c:v>1.5900000000000001E-2</c:v>
                </c:pt>
                <c:pt idx="3080">
                  <c:v>1.54E-2</c:v>
                </c:pt>
                <c:pt idx="3081">
                  <c:v>1.6299999999999999E-2</c:v>
                </c:pt>
                <c:pt idx="3082">
                  <c:v>1.67E-2</c:v>
                </c:pt>
                <c:pt idx="3083">
                  <c:v>1.6399999999999998E-2</c:v>
                </c:pt>
                <c:pt idx="3084">
                  <c:v>1.6399999999999998E-2</c:v>
                </c:pt>
                <c:pt idx="3085">
                  <c:v>1.4800000000000001E-2</c:v>
                </c:pt>
                <c:pt idx="3086">
                  <c:v>1.52E-2</c:v>
                </c:pt>
                <c:pt idx="3087">
                  <c:v>1.43E-2</c:v>
                </c:pt>
                <c:pt idx="3088">
                  <c:v>1.43E-2</c:v>
                </c:pt>
                <c:pt idx="3089">
                  <c:v>1.44E-2</c:v>
                </c:pt>
                <c:pt idx="3090">
                  <c:v>1.3500000000000002E-2</c:v>
                </c:pt>
                <c:pt idx="3091">
                  <c:v>1.43E-2</c:v>
                </c:pt>
                <c:pt idx="3092">
                  <c:v>1.4800000000000001E-2</c:v>
                </c:pt>
                <c:pt idx="3093">
                  <c:v>1.52E-2</c:v>
                </c:pt>
                <c:pt idx="3094">
                  <c:v>1.49E-2</c:v>
                </c:pt>
                <c:pt idx="3095">
                  <c:v>1.4800000000000001E-2</c:v>
                </c:pt>
                <c:pt idx="3096">
                  <c:v>1.4199999999999999E-2</c:v>
                </c:pt>
                <c:pt idx="3097">
                  <c:v>1.44E-2</c:v>
                </c:pt>
                <c:pt idx="3098">
                  <c:v>1.47E-2</c:v>
                </c:pt>
                <c:pt idx="3099">
                  <c:v>1.44E-2</c:v>
                </c:pt>
                <c:pt idx="3100">
                  <c:v>1.41E-2</c:v>
                </c:pt>
                <c:pt idx="3101">
                  <c:v>1.43E-2</c:v>
                </c:pt>
                <c:pt idx="3102">
                  <c:v>1.4800000000000001E-2</c:v>
                </c:pt>
                <c:pt idx="3103">
                  <c:v>1.46E-2</c:v>
                </c:pt>
                <c:pt idx="3104">
                  <c:v>1.4999999999999999E-2</c:v>
                </c:pt>
                <c:pt idx="3105">
                  <c:v>1.4999999999999999E-2</c:v>
                </c:pt>
                <c:pt idx="3106">
                  <c:v>1.4800000000000001E-2</c:v>
                </c:pt>
                <c:pt idx="3107">
                  <c:v>1.49E-2</c:v>
                </c:pt>
                <c:pt idx="3108">
                  <c:v>1.55E-2</c:v>
                </c:pt>
                <c:pt idx="3109">
                  <c:v>1.52E-2</c:v>
                </c:pt>
                <c:pt idx="3110">
                  <c:v>1.52E-2</c:v>
                </c:pt>
                <c:pt idx="3111">
                  <c:v>1.6299999999999999E-2</c:v>
                </c:pt>
                <c:pt idx="3112">
                  <c:v>1.66E-2</c:v>
                </c:pt>
                <c:pt idx="3113">
                  <c:v>1.7100000000000001E-2</c:v>
                </c:pt>
                <c:pt idx="3114">
                  <c:v>1.7299999999999999E-2</c:v>
                </c:pt>
                <c:pt idx="3115">
                  <c:v>1.7600000000000001E-2</c:v>
                </c:pt>
                <c:pt idx="3116">
                  <c:v>1.78E-2</c:v>
                </c:pt>
                <c:pt idx="3117">
                  <c:v>1.7500000000000002E-2</c:v>
                </c:pt>
                <c:pt idx="3118">
                  <c:v>1.7399999999999999E-2</c:v>
                </c:pt>
                <c:pt idx="3119">
                  <c:v>1.7000000000000001E-2</c:v>
                </c:pt>
                <c:pt idx="3120">
                  <c:v>1.78E-2</c:v>
                </c:pt>
                <c:pt idx="3121">
                  <c:v>1.78E-2</c:v>
                </c:pt>
                <c:pt idx="3122">
                  <c:v>1.8700000000000001E-2</c:v>
                </c:pt>
                <c:pt idx="3123">
                  <c:v>1.83E-2</c:v>
                </c:pt>
                <c:pt idx="3124">
                  <c:v>1.83E-2</c:v>
                </c:pt>
                <c:pt idx="3125">
                  <c:v>1.7500000000000002E-2</c:v>
                </c:pt>
                <c:pt idx="3126">
                  <c:v>1.7500000000000002E-2</c:v>
                </c:pt>
                <c:pt idx="3127">
                  <c:v>1.78E-2</c:v>
                </c:pt>
                <c:pt idx="3128">
                  <c:v>1.8500000000000003E-2</c:v>
                </c:pt>
                <c:pt idx="3129">
                  <c:v>1.8100000000000002E-2</c:v>
                </c:pt>
                <c:pt idx="3130">
                  <c:v>1.78E-2</c:v>
                </c:pt>
                <c:pt idx="3131">
                  <c:v>1.7899999999999999E-2</c:v>
                </c:pt>
                <c:pt idx="3132">
                  <c:v>1.8100000000000002E-2</c:v>
                </c:pt>
                <c:pt idx="3133">
                  <c:v>1.78E-2</c:v>
                </c:pt>
                <c:pt idx="3134">
                  <c:v>1.8200000000000001E-2</c:v>
                </c:pt>
                <c:pt idx="3135">
                  <c:v>1.9299999999999998E-2</c:v>
                </c:pt>
                <c:pt idx="3136">
                  <c:v>1.9199999999999998E-2</c:v>
                </c:pt>
                <c:pt idx="3137">
                  <c:v>1.9599999999999999E-2</c:v>
                </c:pt>
                <c:pt idx="3138">
                  <c:v>1.9400000000000001E-2</c:v>
                </c:pt>
                <c:pt idx="3139">
                  <c:v>2.0299999999999999E-2</c:v>
                </c:pt>
                <c:pt idx="3140">
                  <c:v>1.9199999999999998E-2</c:v>
                </c:pt>
                <c:pt idx="3141">
                  <c:v>1.9799999999999998E-2</c:v>
                </c:pt>
                <c:pt idx="3142">
                  <c:v>2.0499999999999997E-2</c:v>
                </c:pt>
                <c:pt idx="3143">
                  <c:v>2.0299999999999999E-2</c:v>
                </c:pt>
                <c:pt idx="3144">
                  <c:v>1.9699999999999999E-2</c:v>
                </c:pt>
                <c:pt idx="3145">
                  <c:v>1.9199999999999998E-2</c:v>
                </c:pt>
                <c:pt idx="3146">
                  <c:v>1.9199999999999998E-2</c:v>
                </c:pt>
                <c:pt idx="3147">
                  <c:v>1.9400000000000001E-2</c:v>
                </c:pt>
                <c:pt idx="3148">
                  <c:v>1.9900000000000001E-2</c:v>
                </c:pt>
                <c:pt idx="3149">
                  <c:v>1.9599999999999999E-2</c:v>
                </c:pt>
                <c:pt idx="3150">
                  <c:v>1.9699999999999999E-2</c:v>
                </c:pt>
                <c:pt idx="3151">
                  <c:v>1.83E-2</c:v>
                </c:pt>
                <c:pt idx="3152">
                  <c:v>1.72E-2</c:v>
                </c:pt>
                <c:pt idx="3153">
                  <c:v>1.8600000000000002E-2</c:v>
                </c:pt>
                <c:pt idx="3154">
                  <c:v>1.8600000000000002E-2</c:v>
                </c:pt>
                <c:pt idx="3155">
                  <c:v>1.7399999999999999E-2</c:v>
                </c:pt>
                <c:pt idx="3156">
                  <c:v>1.78E-2</c:v>
                </c:pt>
                <c:pt idx="3157">
                  <c:v>1.8600000000000002E-2</c:v>
                </c:pt>
                <c:pt idx="3158">
                  <c:v>1.9400000000000001E-2</c:v>
                </c:pt>
                <c:pt idx="3159">
                  <c:v>1.9799999999999998E-2</c:v>
                </c:pt>
                <c:pt idx="3160">
                  <c:v>0.02</c:v>
                </c:pt>
                <c:pt idx="3161">
                  <c:v>2.1400000000000002E-2</c:v>
                </c:pt>
                <c:pt idx="3162">
                  <c:v>2.1499999999999998E-2</c:v>
                </c:pt>
                <c:pt idx="3163">
                  <c:v>2.1899999999999999E-2</c:v>
                </c:pt>
                <c:pt idx="3164">
                  <c:v>2.2000000000000002E-2</c:v>
                </c:pt>
                <c:pt idx="3165">
                  <c:v>2.1400000000000002E-2</c:v>
                </c:pt>
                <c:pt idx="3166">
                  <c:v>2.3199999999999998E-2</c:v>
                </c:pt>
                <c:pt idx="3167">
                  <c:v>2.3799999999999998E-2</c:v>
                </c:pt>
                <c:pt idx="3168">
                  <c:v>2.3199999999999998E-2</c:v>
                </c:pt>
                <c:pt idx="3169">
                  <c:v>2.3399999999999997E-2</c:v>
                </c:pt>
                <c:pt idx="3170">
                  <c:v>2.4799999999999999E-2</c:v>
                </c:pt>
                <c:pt idx="3171">
                  <c:v>2.46E-2</c:v>
                </c:pt>
                <c:pt idx="3172">
                  <c:v>2.41E-2</c:v>
                </c:pt>
                <c:pt idx="3173">
                  <c:v>2.35E-2</c:v>
                </c:pt>
                <c:pt idx="3174">
                  <c:v>2.3199999999999998E-2</c:v>
                </c:pt>
                <c:pt idx="3175">
                  <c:v>2.3900000000000001E-2</c:v>
                </c:pt>
                <c:pt idx="3176">
                  <c:v>2.4199999999999999E-2</c:v>
                </c:pt>
                <c:pt idx="3177">
                  <c:v>2.5399999999999999E-2</c:v>
                </c:pt>
                <c:pt idx="3178">
                  <c:v>2.6099999999999998E-2</c:v>
                </c:pt>
                <c:pt idx="3179">
                  <c:v>2.6600000000000002E-2</c:v>
                </c:pt>
                <c:pt idx="3180">
                  <c:v>2.7200000000000002E-2</c:v>
                </c:pt>
                <c:pt idx="3181">
                  <c:v>2.7900000000000001E-2</c:v>
                </c:pt>
                <c:pt idx="3182">
                  <c:v>2.7200000000000002E-2</c:v>
                </c:pt>
                <c:pt idx="3183">
                  <c:v>2.7000000000000003E-2</c:v>
                </c:pt>
                <c:pt idx="3184">
                  <c:v>2.8300000000000002E-2</c:v>
                </c:pt>
                <c:pt idx="3185">
                  <c:v>2.8300000000000002E-2</c:v>
                </c:pt>
                <c:pt idx="3186">
                  <c:v>2.8500000000000001E-2</c:v>
                </c:pt>
                <c:pt idx="3187">
                  <c:v>2.9300000000000003E-2</c:v>
                </c:pt>
                <c:pt idx="3188">
                  <c:v>2.8500000000000001E-2</c:v>
                </c:pt>
                <c:pt idx="3189">
                  <c:v>2.8999999999999998E-2</c:v>
                </c:pt>
                <c:pt idx="3190">
                  <c:v>2.8999999999999998E-2</c:v>
                </c:pt>
                <c:pt idx="3191">
                  <c:v>2.81E-2</c:v>
                </c:pt>
                <c:pt idx="3192">
                  <c:v>2.7699999999999999E-2</c:v>
                </c:pt>
                <c:pt idx="3193">
                  <c:v>2.8199999999999999E-2</c:v>
                </c:pt>
                <c:pt idx="3194">
                  <c:v>2.8500000000000001E-2</c:v>
                </c:pt>
                <c:pt idx="3195">
                  <c:v>2.8900000000000002E-2</c:v>
                </c:pt>
                <c:pt idx="3196">
                  <c:v>2.9900000000000003E-2</c:v>
                </c:pt>
                <c:pt idx="3197">
                  <c:v>2.9700000000000001E-2</c:v>
                </c:pt>
                <c:pt idx="3198">
                  <c:v>2.9300000000000003E-2</c:v>
                </c:pt>
                <c:pt idx="3199">
                  <c:v>3.0499999999999999E-2</c:v>
                </c:pt>
                <c:pt idx="3200">
                  <c:v>3.1200000000000002E-2</c:v>
                </c:pt>
                <c:pt idx="3201">
                  <c:v>3.0499999999999999E-2</c:v>
                </c:pt>
                <c:pt idx="3202">
                  <c:v>2.9900000000000003E-2</c:v>
                </c:pt>
                <c:pt idx="3203">
                  <c:v>2.9100000000000001E-2</c:v>
                </c:pt>
                <c:pt idx="3204">
                  <c:v>2.8399999999999998E-2</c:v>
                </c:pt>
                <c:pt idx="3205">
                  <c:v>2.9300000000000003E-2</c:v>
                </c:pt>
                <c:pt idx="3206">
                  <c:v>2.8799999999999999E-2</c:v>
                </c:pt>
                <c:pt idx="3207">
                  <c:v>2.98E-2</c:v>
                </c:pt>
                <c:pt idx="3208">
                  <c:v>2.8900000000000002E-2</c:v>
                </c:pt>
                <c:pt idx="3209">
                  <c:v>2.8399999999999998E-2</c:v>
                </c:pt>
                <c:pt idx="3210">
                  <c:v>2.7799999999999998E-2</c:v>
                </c:pt>
                <c:pt idx="3211">
                  <c:v>2.86E-2</c:v>
                </c:pt>
                <c:pt idx="3212">
                  <c:v>2.76E-2</c:v>
                </c:pt>
                <c:pt idx="3213">
                  <c:v>2.75E-2</c:v>
                </c:pt>
                <c:pt idx="3214">
                  <c:v>2.75E-2</c:v>
                </c:pt>
                <c:pt idx="3215">
                  <c:v>2.7400000000000001E-2</c:v>
                </c:pt>
                <c:pt idx="3216">
                  <c:v>2.7400000000000001E-2</c:v>
                </c:pt>
                <c:pt idx="3217">
                  <c:v>2.8500000000000001E-2</c:v>
                </c:pt>
                <c:pt idx="3218">
                  <c:v>2.9399999999999999E-2</c:v>
                </c:pt>
                <c:pt idx="3219">
                  <c:v>2.92E-2</c:v>
                </c:pt>
                <c:pt idx="3220">
                  <c:v>2.9600000000000001E-2</c:v>
                </c:pt>
                <c:pt idx="3221">
                  <c:v>3.04E-2</c:v>
                </c:pt>
                <c:pt idx="3222">
                  <c:v>2.98E-2</c:v>
                </c:pt>
                <c:pt idx="3223">
                  <c:v>3.0299999999999997E-2</c:v>
                </c:pt>
                <c:pt idx="3224">
                  <c:v>3.04E-2</c:v>
                </c:pt>
                <c:pt idx="3225">
                  <c:v>3.15E-2</c:v>
                </c:pt>
                <c:pt idx="3226">
                  <c:v>3.4300000000000004E-2</c:v>
                </c:pt>
                <c:pt idx="3227">
                  <c:v>3.49E-2</c:v>
                </c:pt>
                <c:pt idx="3228">
                  <c:v>3.3300000000000003E-2</c:v>
                </c:pt>
                <c:pt idx="3229">
                  <c:v>3.2799999999999996E-2</c:v>
                </c:pt>
                <c:pt idx="3230">
                  <c:v>3.2500000000000001E-2</c:v>
                </c:pt>
                <c:pt idx="3231">
                  <c:v>3.2500000000000001E-2</c:v>
                </c:pt>
                <c:pt idx="3232">
                  <c:v>3.3099999999999997E-2</c:v>
                </c:pt>
                <c:pt idx="3233">
                  <c:v>3.1600000000000003E-2</c:v>
                </c:pt>
                <c:pt idx="3234">
                  <c:v>3.0899999999999997E-2</c:v>
                </c:pt>
                <c:pt idx="3235">
                  <c:v>3.1300000000000001E-2</c:v>
                </c:pt>
                <c:pt idx="3236">
                  <c:v>3.2000000000000001E-2</c:v>
                </c:pt>
                <c:pt idx="3237">
                  <c:v>3.2000000000000001E-2</c:v>
                </c:pt>
                <c:pt idx="3238">
                  <c:v>3.1E-2</c:v>
                </c:pt>
                <c:pt idx="3239">
                  <c:v>2.98E-2</c:v>
                </c:pt>
                <c:pt idx="3240">
                  <c:v>2.8799999999999999E-2</c:v>
                </c:pt>
                <c:pt idx="3241">
                  <c:v>2.8799999999999999E-2</c:v>
                </c:pt>
                <c:pt idx="3242">
                  <c:v>2.8199999999999999E-2</c:v>
                </c:pt>
                <c:pt idx="3243">
                  <c:v>2.9300000000000003E-2</c:v>
                </c:pt>
                <c:pt idx="3244">
                  <c:v>3.0099999999999998E-2</c:v>
                </c:pt>
                <c:pt idx="3245">
                  <c:v>3.0899999999999997E-2</c:v>
                </c:pt>
                <c:pt idx="3246">
                  <c:v>2.9900000000000003E-2</c:v>
                </c:pt>
                <c:pt idx="3247">
                  <c:v>2.9600000000000001E-2</c:v>
                </c:pt>
                <c:pt idx="3248">
                  <c:v>2.9100000000000001E-2</c:v>
                </c:pt>
                <c:pt idx="3249">
                  <c:v>2.9600000000000001E-2</c:v>
                </c:pt>
                <c:pt idx="3250">
                  <c:v>2.9300000000000003E-2</c:v>
                </c:pt>
                <c:pt idx="3251">
                  <c:v>2.9600000000000001E-2</c:v>
                </c:pt>
                <c:pt idx="3252">
                  <c:v>3.0099999999999998E-2</c:v>
                </c:pt>
                <c:pt idx="3253">
                  <c:v>3.04E-2</c:v>
                </c:pt>
                <c:pt idx="3254">
                  <c:v>2.9100000000000001E-2</c:v>
                </c:pt>
                <c:pt idx="3255">
                  <c:v>2.7699999999999999E-2</c:v>
                </c:pt>
                <c:pt idx="3256">
                  <c:v>2.81E-2</c:v>
                </c:pt>
                <c:pt idx="3257">
                  <c:v>2.81E-2</c:v>
                </c:pt>
                <c:pt idx="3258">
                  <c:v>2.7799999999999998E-2</c:v>
                </c:pt>
                <c:pt idx="3259">
                  <c:v>2.6800000000000001E-2</c:v>
                </c:pt>
                <c:pt idx="3260">
                  <c:v>2.6699999999999998E-2</c:v>
                </c:pt>
                <c:pt idx="3261">
                  <c:v>2.6000000000000002E-2</c:v>
                </c:pt>
                <c:pt idx="3262">
                  <c:v>2.75E-2</c:v>
                </c:pt>
                <c:pt idx="3263">
                  <c:v>2.7300000000000001E-2</c:v>
                </c:pt>
                <c:pt idx="3264">
                  <c:v>2.6800000000000001E-2</c:v>
                </c:pt>
                <c:pt idx="3265">
                  <c:v>2.8300000000000002E-2</c:v>
                </c:pt>
                <c:pt idx="3266">
                  <c:v>2.7699999999999999E-2</c:v>
                </c:pt>
                <c:pt idx="3267">
                  <c:v>2.7999999999999997E-2</c:v>
                </c:pt>
                <c:pt idx="3268">
                  <c:v>2.7799999999999998E-2</c:v>
                </c:pt>
                <c:pt idx="3269">
                  <c:v>2.87E-2</c:v>
                </c:pt>
                <c:pt idx="3270">
                  <c:v>2.8399999999999998E-2</c:v>
                </c:pt>
                <c:pt idx="3271">
                  <c:v>2.7900000000000001E-2</c:v>
                </c:pt>
                <c:pt idx="3272">
                  <c:v>2.8199999999999999E-2</c:v>
                </c:pt>
                <c:pt idx="3273">
                  <c:v>2.8900000000000002E-2</c:v>
                </c:pt>
                <c:pt idx="3274">
                  <c:v>2.8799999999999999E-2</c:v>
                </c:pt>
                <c:pt idx="3275">
                  <c:v>2.98E-2</c:v>
                </c:pt>
                <c:pt idx="3276">
                  <c:v>3.0299999999999997E-2</c:v>
                </c:pt>
                <c:pt idx="3277">
                  <c:v>3.0499999999999999E-2</c:v>
                </c:pt>
                <c:pt idx="3278">
                  <c:v>3.1099999999999999E-2</c:v>
                </c:pt>
                <c:pt idx="3279">
                  <c:v>3.0299999999999997E-2</c:v>
                </c:pt>
                <c:pt idx="3280">
                  <c:v>3.04E-2</c:v>
                </c:pt>
                <c:pt idx="3281">
                  <c:v>3.1200000000000002E-2</c:v>
                </c:pt>
                <c:pt idx="3282">
                  <c:v>3.1099999999999999E-2</c:v>
                </c:pt>
                <c:pt idx="3283">
                  <c:v>3.15E-2</c:v>
                </c:pt>
                <c:pt idx="3284">
                  <c:v>3.2599999999999997E-2</c:v>
                </c:pt>
                <c:pt idx="3285">
                  <c:v>3.2000000000000001E-2</c:v>
                </c:pt>
                <c:pt idx="3286">
                  <c:v>3.2000000000000001E-2</c:v>
                </c:pt>
                <c:pt idx="3287">
                  <c:v>3.3300000000000003E-2</c:v>
                </c:pt>
                <c:pt idx="3288">
                  <c:v>3.27E-2</c:v>
                </c:pt>
                <c:pt idx="3289">
                  <c:v>3.2899999999999999E-2</c:v>
                </c:pt>
                <c:pt idx="3290">
                  <c:v>3.3300000000000003E-2</c:v>
                </c:pt>
                <c:pt idx="3291">
                  <c:v>3.3700000000000001E-2</c:v>
                </c:pt>
                <c:pt idx="3292">
                  <c:v>3.4200000000000001E-2</c:v>
                </c:pt>
                <c:pt idx="3293">
                  <c:v>3.4099999999999998E-2</c:v>
                </c:pt>
                <c:pt idx="3294">
                  <c:v>3.4500000000000003E-2</c:v>
                </c:pt>
                <c:pt idx="3295">
                  <c:v>3.4500000000000003E-2</c:v>
                </c:pt>
                <c:pt idx="3296">
                  <c:v>3.49E-2</c:v>
                </c:pt>
                <c:pt idx="3297">
                  <c:v>3.5699999999999996E-2</c:v>
                </c:pt>
                <c:pt idx="3298">
                  <c:v>3.5099999999999999E-2</c:v>
                </c:pt>
                <c:pt idx="3299">
                  <c:v>3.7000000000000005E-2</c:v>
                </c:pt>
                <c:pt idx="3300">
                  <c:v>3.6900000000000002E-2</c:v>
                </c:pt>
                <c:pt idx="3301">
                  <c:v>3.8800000000000001E-2</c:v>
                </c:pt>
                <c:pt idx="3302">
                  <c:v>3.9699999999999999E-2</c:v>
                </c:pt>
                <c:pt idx="3303">
                  <c:v>3.7200000000000004E-2</c:v>
                </c:pt>
                <c:pt idx="3304">
                  <c:v>3.7599999999999995E-2</c:v>
                </c:pt>
                <c:pt idx="3305">
                  <c:v>3.8300000000000001E-2</c:v>
                </c:pt>
                <c:pt idx="3306">
                  <c:v>3.6699999999999997E-2</c:v>
                </c:pt>
                <c:pt idx="3307">
                  <c:v>3.6200000000000003E-2</c:v>
                </c:pt>
                <c:pt idx="3308">
                  <c:v>3.7599999999999995E-2</c:v>
                </c:pt>
                <c:pt idx="3309">
                  <c:v>3.8300000000000001E-2</c:v>
                </c:pt>
                <c:pt idx="3310">
                  <c:v>3.8900000000000004E-2</c:v>
                </c:pt>
                <c:pt idx="3311">
                  <c:v>3.8900000000000004E-2</c:v>
                </c:pt>
                <c:pt idx="3312">
                  <c:v>3.9300000000000002E-2</c:v>
                </c:pt>
                <c:pt idx="3313">
                  <c:v>3.9100000000000003E-2</c:v>
                </c:pt>
                <c:pt idx="3314">
                  <c:v>3.9699999999999999E-2</c:v>
                </c:pt>
                <c:pt idx="3315">
                  <c:v>0.04</c:v>
                </c:pt>
                <c:pt idx="3316">
                  <c:v>4.0199999999999993E-2</c:v>
                </c:pt>
                <c:pt idx="3317">
                  <c:v>4.0099999999999997E-2</c:v>
                </c:pt>
                <c:pt idx="3318">
                  <c:v>4.1399999999999999E-2</c:v>
                </c:pt>
                <c:pt idx="3319">
                  <c:v>4.24E-2</c:v>
                </c:pt>
                <c:pt idx="3320">
                  <c:v>4.2099999999999999E-2</c:v>
                </c:pt>
                <c:pt idx="3321">
                  <c:v>4.2500000000000003E-2</c:v>
                </c:pt>
                <c:pt idx="3322">
                  <c:v>4.0999999999999995E-2</c:v>
                </c:pt>
                <c:pt idx="3323">
                  <c:v>4.0399999999999998E-2</c:v>
                </c:pt>
                <c:pt idx="3324">
                  <c:v>3.9599999999999996E-2</c:v>
                </c:pt>
                <c:pt idx="3325">
                  <c:v>4.0199999999999993E-2</c:v>
                </c:pt>
                <c:pt idx="3326">
                  <c:v>4.0999999999999995E-2</c:v>
                </c:pt>
                <c:pt idx="3327">
                  <c:v>4.07E-2</c:v>
                </c:pt>
                <c:pt idx="3328">
                  <c:v>4.0999999999999995E-2</c:v>
                </c:pt>
                <c:pt idx="3329">
                  <c:v>4.1399999999999999E-2</c:v>
                </c:pt>
                <c:pt idx="3330">
                  <c:v>4.1700000000000001E-2</c:v>
                </c:pt>
                <c:pt idx="3331">
                  <c:v>4.2199999999999994E-2</c:v>
                </c:pt>
                <c:pt idx="3332">
                  <c:v>4.1399999999999999E-2</c:v>
                </c:pt>
                <c:pt idx="3333">
                  <c:v>4.1200000000000001E-2</c:v>
                </c:pt>
                <c:pt idx="3334">
                  <c:v>3.8199999999999998E-2</c:v>
                </c:pt>
                <c:pt idx="3335">
                  <c:v>3.8199999999999998E-2</c:v>
                </c:pt>
                <c:pt idx="3336">
                  <c:v>3.8800000000000001E-2</c:v>
                </c:pt>
                <c:pt idx="3337">
                  <c:v>3.7999999999999999E-2</c:v>
                </c:pt>
                <c:pt idx="3338">
                  <c:v>3.6699999999999997E-2</c:v>
                </c:pt>
                <c:pt idx="3339">
                  <c:v>3.7699999999999997E-2</c:v>
                </c:pt>
                <c:pt idx="3340">
                  <c:v>3.8199999999999998E-2</c:v>
                </c:pt>
                <c:pt idx="3341">
                  <c:v>3.8300000000000001E-2</c:v>
                </c:pt>
                <c:pt idx="3342">
                  <c:v>3.7599999999999995E-2</c:v>
                </c:pt>
                <c:pt idx="3343">
                  <c:v>3.7100000000000001E-2</c:v>
                </c:pt>
                <c:pt idx="3344">
                  <c:v>3.7100000000000001E-2</c:v>
                </c:pt>
                <c:pt idx="3345">
                  <c:v>3.6799999999999999E-2</c:v>
                </c:pt>
                <c:pt idx="3346">
                  <c:v>3.6900000000000002E-2</c:v>
                </c:pt>
                <c:pt idx="3347">
                  <c:v>3.7499999999999999E-2</c:v>
                </c:pt>
                <c:pt idx="3348">
                  <c:v>3.6799999999999999E-2</c:v>
                </c:pt>
                <c:pt idx="3349">
                  <c:v>3.5299999999999998E-2</c:v>
                </c:pt>
                <c:pt idx="3350">
                  <c:v>3.5099999999999999E-2</c:v>
                </c:pt>
                <c:pt idx="3351">
                  <c:v>3.6000000000000004E-2</c:v>
                </c:pt>
                <c:pt idx="3352">
                  <c:v>3.5099999999999999E-2</c:v>
                </c:pt>
                <c:pt idx="3353">
                  <c:v>3.4200000000000001E-2</c:v>
                </c:pt>
                <c:pt idx="3354">
                  <c:v>3.4799999999999998E-2</c:v>
                </c:pt>
                <c:pt idx="3355">
                  <c:v>3.5699999999999996E-2</c:v>
                </c:pt>
                <c:pt idx="3356">
                  <c:v>3.61E-2</c:v>
                </c:pt>
                <c:pt idx="3357">
                  <c:v>3.5099999999999999E-2</c:v>
                </c:pt>
                <c:pt idx="3358">
                  <c:v>3.49E-2</c:v>
                </c:pt>
                <c:pt idx="3359">
                  <c:v>3.44E-2</c:v>
                </c:pt>
                <c:pt idx="3360">
                  <c:v>3.4799999999999998E-2</c:v>
                </c:pt>
                <c:pt idx="3361">
                  <c:v>3.5699999999999996E-2</c:v>
                </c:pt>
                <c:pt idx="3362">
                  <c:v>3.6900000000000002E-2</c:v>
                </c:pt>
                <c:pt idx="3363">
                  <c:v>3.6799999999999999E-2</c:v>
                </c:pt>
                <c:pt idx="3364">
                  <c:v>3.6699999999999997E-2</c:v>
                </c:pt>
                <c:pt idx="3365">
                  <c:v>3.7499999999999999E-2</c:v>
                </c:pt>
                <c:pt idx="3366">
                  <c:v>3.7499999999999999E-2</c:v>
                </c:pt>
                <c:pt idx="3367">
                  <c:v>3.8399999999999997E-2</c:v>
                </c:pt>
                <c:pt idx="3368">
                  <c:v>3.8800000000000001E-2</c:v>
                </c:pt>
                <c:pt idx="3369">
                  <c:v>3.8300000000000001E-2</c:v>
                </c:pt>
                <c:pt idx="3370">
                  <c:v>3.8800000000000001E-2</c:v>
                </c:pt>
                <c:pt idx="3371">
                  <c:v>3.8800000000000001E-2</c:v>
                </c:pt>
                <c:pt idx="3372">
                  <c:v>3.7900000000000003E-2</c:v>
                </c:pt>
                <c:pt idx="3373">
                  <c:v>3.6900000000000002E-2</c:v>
                </c:pt>
                <c:pt idx="3374">
                  <c:v>3.7100000000000001E-2</c:v>
                </c:pt>
                <c:pt idx="3375">
                  <c:v>3.5499999999999997E-2</c:v>
                </c:pt>
                <c:pt idx="3376">
                  <c:v>3.5299999999999998E-2</c:v>
                </c:pt>
                <c:pt idx="3377">
                  <c:v>3.61E-2</c:v>
                </c:pt>
                <c:pt idx="3378">
                  <c:v>3.5400000000000001E-2</c:v>
                </c:pt>
                <c:pt idx="3379">
                  <c:v>3.4300000000000004E-2</c:v>
                </c:pt>
                <c:pt idx="3380">
                  <c:v>3.49E-2</c:v>
                </c:pt>
                <c:pt idx="3381">
                  <c:v>3.49E-2</c:v>
                </c:pt>
                <c:pt idx="3382">
                  <c:v>3.5299999999999998E-2</c:v>
                </c:pt>
                <c:pt idx="3383">
                  <c:v>3.3700000000000001E-2</c:v>
                </c:pt>
                <c:pt idx="3384">
                  <c:v>3.39E-2</c:v>
                </c:pt>
                <c:pt idx="3385">
                  <c:v>3.4799999999999998E-2</c:v>
                </c:pt>
                <c:pt idx="3386">
                  <c:v>3.5200000000000002E-2</c:v>
                </c:pt>
                <c:pt idx="3387">
                  <c:v>3.4599999999999999E-2</c:v>
                </c:pt>
                <c:pt idx="3388">
                  <c:v>3.4599999999999999E-2</c:v>
                </c:pt>
                <c:pt idx="3389">
                  <c:v>3.49E-2</c:v>
                </c:pt>
                <c:pt idx="3390">
                  <c:v>3.5200000000000002E-2</c:v>
                </c:pt>
                <c:pt idx="3391">
                  <c:v>3.5499999999999997E-2</c:v>
                </c:pt>
                <c:pt idx="3392">
                  <c:v>3.5200000000000002E-2</c:v>
                </c:pt>
                <c:pt idx="3393">
                  <c:v>3.39E-2</c:v>
                </c:pt>
                <c:pt idx="3394">
                  <c:v>3.4000000000000002E-2</c:v>
                </c:pt>
                <c:pt idx="3395">
                  <c:v>3.5299999999999998E-2</c:v>
                </c:pt>
                <c:pt idx="3396">
                  <c:v>3.6299999999999999E-2</c:v>
                </c:pt>
                <c:pt idx="3397">
                  <c:v>3.6699999999999997E-2</c:v>
                </c:pt>
                <c:pt idx="3398">
                  <c:v>3.6299999999999999E-2</c:v>
                </c:pt>
                <c:pt idx="3399">
                  <c:v>3.6699999999999997E-2</c:v>
                </c:pt>
                <c:pt idx="3400">
                  <c:v>3.7400000000000003E-2</c:v>
                </c:pt>
                <c:pt idx="3401">
                  <c:v>3.7200000000000004E-2</c:v>
                </c:pt>
                <c:pt idx="3402">
                  <c:v>3.7699999999999997E-2</c:v>
                </c:pt>
                <c:pt idx="3403">
                  <c:v>3.8100000000000002E-2</c:v>
                </c:pt>
                <c:pt idx="3404">
                  <c:v>3.8599999999999995E-2</c:v>
                </c:pt>
                <c:pt idx="3405">
                  <c:v>3.8199999999999998E-2</c:v>
                </c:pt>
                <c:pt idx="3406">
                  <c:v>3.8199999999999998E-2</c:v>
                </c:pt>
                <c:pt idx="3407">
                  <c:v>3.95E-2</c:v>
                </c:pt>
                <c:pt idx="3408">
                  <c:v>3.9300000000000002E-2</c:v>
                </c:pt>
                <c:pt idx="3409">
                  <c:v>3.8800000000000001E-2</c:v>
                </c:pt>
                <c:pt idx="3410">
                  <c:v>3.95E-2</c:v>
                </c:pt>
                <c:pt idx="3411">
                  <c:v>3.9199999999999999E-2</c:v>
                </c:pt>
                <c:pt idx="3412">
                  <c:v>3.9199999999999999E-2</c:v>
                </c:pt>
                <c:pt idx="3413">
                  <c:v>4.0099999999999997E-2</c:v>
                </c:pt>
                <c:pt idx="3414">
                  <c:v>4.0800000000000003E-2</c:v>
                </c:pt>
                <c:pt idx="3415">
                  <c:v>3.9699999999999999E-2</c:v>
                </c:pt>
                <c:pt idx="3416">
                  <c:v>3.9800000000000002E-2</c:v>
                </c:pt>
                <c:pt idx="3417">
                  <c:v>3.9699999999999999E-2</c:v>
                </c:pt>
                <c:pt idx="3418">
                  <c:v>3.9800000000000002E-2</c:v>
                </c:pt>
                <c:pt idx="3419">
                  <c:v>3.9300000000000002E-2</c:v>
                </c:pt>
                <c:pt idx="3420">
                  <c:v>3.7000000000000005E-2</c:v>
                </c:pt>
                <c:pt idx="3421">
                  <c:v>3.5499999999999997E-2</c:v>
                </c:pt>
                <c:pt idx="3422">
                  <c:v>3.6400000000000002E-2</c:v>
                </c:pt>
                <c:pt idx="3423">
                  <c:v>3.5099999999999999E-2</c:v>
                </c:pt>
                <c:pt idx="3424">
                  <c:v>3.56E-2</c:v>
                </c:pt>
                <c:pt idx="3425">
                  <c:v>3.39E-2</c:v>
                </c:pt>
                <c:pt idx="3426">
                  <c:v>3.4700000000000002E-2</c:v>
                </c:pt>
                <c:pt idx="3427">
                  <c:v>3.5900000000000001E-2</c:v>
                </c:pt>
                <c:pt idx="3428">
                  <c:v>3.4799999999999998E-2</c:v>
                </c:pt>
                <c:pt idx="3429">
                  <c:v>3.3799999999999997E-2</c:v>
                </c:pt>
                <c:pt idx="3430">
                  <c:v>3.3799999999999997E-2</c:v>
                </c:pt>
                <c:pt idx="3431">
                  <c:v>3.5299999999999998E-2</c:v>
                </c:pt>
                <c:pt idx="3432">
                  <c:v>3.5499999999999997E-2</c:v>
                </c:pt>
                <c:pt idx="3433">
                  <c:v>3.5699999999999996E-2</c:v>
                </c:pt>
                <c:pt idx="3434">
                  <c:v>3.5499999999999997E-2</c:v>
                </c:pt>
                <c:pt idx="3435">
                  <c:v>3.4799999999999998E-2</c:v>
                </c:pt>
                <c:pt idx="3436">
                  <c:v>3.4300000000000004E-2</c:v>
                </c:pt>
                <c:pt idx="3437">
                  <c:v>3.3500000000000002E-2</c:v>
                </c:pt>
                <c:pt idx="3438">
                  <c:v>3.3000000000000002E-2</c:v>
                </c:pt>
                <c:pt idx="3439">
                  <c:v>3.3000000000000002E-2</c:v>
                </c:pt>
                <c:pt idx="3440">
                  <c:v>3.39E-2</c:v>
                </c:pt>
                <c:pt idx="3441">
                  <c:v>3.4099999999999998E-2</c:v>
                </c:pt>
                <c:pt idx="3442">
                  <c:v>3.4300000000000004E-2</c:v>
                </c:pt>
                <c:pt idx="3443">
                  <c:v>3.4099999999999998E-2</c:v>
                </c:pt>
                <c:pt idx="3444">
                  <c:v>3.4500000000000003E-2</c:v>
                </c:pt>
                <c:pt idx="3445">
                  <c:v>3.5200000000000002E-2</c:v>
                </c:pt>
                <c:pt idx="3446">
                  <c:v>3.6000000000000004E-2</c:v>
                </c:pt>
                <c:pt idx="3447">
                  <c:v>3.5799999999999998E-2</c:v>
                </c:pt>
                <c:pt idx="3448">
                  <c:v>3.6000000000000004E-2</c:v>
                </c:pt>
                <c:pt idx="3449">
                  <c:v>3.5400000000000001E-2</c:v>
                </c:pt>
                <c:pt idx="3450">
                  <c:v>3.5699999999999996E-2</c:v>
                </c:pt>
                <c:pt idx="3451">
                  <c:v>3.5200000000000002E-2</c:v>
                </c:pt>
                <c:pt idx="3452">
                  <c:v>3.4000000000000002E-2</c:v>
                </c:pt>
                <c:pt idx="3453">
                  <c:v>3.4300000000000004E-2</c:v>
                </c:pt>
                <c:pt idx="3454">
                  <c:v>3.5299999999999998E-2</c:v>
                </c:pt>
                <c:pt idx="3455">
                  <c:v>3.44E-2</c:v>
                </c:pt>
                <c:pt idx="3456">
                  <c:v>3.5900000000000001E-2</c:v>
                </c:pt>
                <c:pt idx="3457">
                  <c:v>3.44E-2</c:v>
                </c:pt>
                <c:pt idx="3458">
                  <c:v>3.3799999999999997E-2</c:v>
                </c:pt>
                <c:pt idx="3459">
                  <c:v>3.3700000000000001E-2</c:v>
                </c:pt>
                <c:pt idx="3460">
                  <c:v>3.44E-2</c:v>
                </c:pt>
                <c:pt idx="3461">
                  <c:v>3.5200000000000002E-2</c:v>
                </c:pt>
                <c:pt idx="3462">
                  <c:v>3.5299999999999998E-2</c:v>
                </c:pt>
                <c:pt idx="3463">
                  <c:v>3.4300000000000004E-2</c:v>
                </c:pt>
                <c:pt idx="3464">
                  <c:v>3.39E-2</c:v>
                </c:pt>
                <c:pt idx="3465">
                  <c:v>3.4599999999999999E-2</c:v>
                </c:pt>
                <c:pt idx="3466">
                  <c:v>3.5000000000000003E-2</c:v>
                </c:pt>
                <c:pt idx="3467">
                  <c:v>3.5400000000000001E-2</c:v>
                </c:pt>
                <c:pt idx="3468">
                  <c:v>3.5699999999999996E-2</c:v>
                </c:pt>
                <c:pt idx="3469">
                  <c:v>3.6499999999999998E-2</c:v>
                </c:pt>
                <c:pt idx="3470">
                  <c:v>3.7000000000000005E-2</c:v>
                </c:pt>
                <c:pt idx="3471">
                  <c:v>3.7200000000000004E-2</c:v>
                </c:pt>
                <c:pt idx="3472">
                  <c:v>3.7000000000000005E-2</c:v>
                </c:pt>
                <c:pt idx="3473">
                  <c:v>3.73E-2</c:v>
                </c:pt>
                <c:pt idx="3474">
                  <c:v>3.8300000000000001E-2</c:v>
                </c:pt>
                <c:pt idx="3475">
                  <c:v>3.7999999999999999E-2</c:v>
                </c:pt>
                <c:pt idx="3476">
                  <c:v>3.7999999999999999E-2</c:v>
                </c:pt>
                <c:pt idx="3477">
                  <c:v>3.6900000000000002E-2</c:v>
                </c:pt>
                <c:pt idx="3478">
                  <c:v>3.6400000000000002E-2</c:v>
                </c:pt>
                <c:pt idx="3479">
                  <c:v>3.61E-2</c:v>
                </c:pt>
                <c:pt idx="3480">
                  <c:v>3.6900000000000002E-2</c:v>
                </c:pt>
                <c:pt idx="3481">
                  <c:v>3.6900000000000002E-2</c:v>
                </c:pt>
                <c:pt idx="3482">
                  <c:v>3.7000000000000005E-2</c:v>
                </c:pt>
                <c:pt idx="3483">
                  <c:v>3.7900000000000003E-2</c:v>
                </c:pt>
                <c:pt idx="3484">
                  <c:v>3.73E-2</c:v>
                </c:pt>
                <c:pt idx="3485">
                  <c:v>3.7499999999999999E-2</c:v>
                </c:pt>
                <c:pt idx="3486">
                  <c:v>3.73E-2</c:v>
                </c:pt>
                <c:pt idx="3487">
                  <c:v>3.8399999999999997E-2</c:v>
                </c:pt>
                <c:pt idx="3488">
                  <c:v>3.8300000000000001E-2</c:v>
                </c:pt>
                <c:pt idx="3489">
                  <c:v>3.7200000000000004E-2</c:v>
                </c:pt>
                <c:pt idx="3490">
                  <c:v>3.7699999999999997E-2</c:v>
                </c:pt>
                <c:pt idx="3491">
                  <c:v>3.7699999999999997E-2</c:v>
                </c:pt>
                <c:pt idx="3492">
                  <c:v>3.7400000000000003E-2</c:v>
                </c:pt>
                <c:pt idx="3493">
                  <c:v>3.7200000000000004E-2</c:v>
                </c:pt>
                <c:pt idx="3494">
                  <c:v>3.7999999999999999E-2</c:v>
                </c:pt>
                <c:pt idx="3495">
                  <c:v>3.7400000000000003E-2</c:v>
                </c:pt>
                <c:pt idx="3496">
                  <c:v>3.7200000000000004E-2</c:v>
                </c:pt>
                <c:pt idx="3497">
                  <c:v>3.7699999999999997E-2</c:v>
                </c:pt>
                <c:pt idx="3498">
                  <c:v>3.7100000000000001E-2</c:v>
                </c:pt>
                <c:pt idx="3499">
                  <c:v>3.85E-2</c:v>
                </c:pt>
                <c:pt idx="3500">
                  <c:v>3.8100000000000002E-2</c:v>
                </c:pt>
                <c:pt idx="3501">
                  <c:v>3.8599999999999995E-2</c:v>
                </c:pt>
                <c:pt idx="3502">
                  <c:v>3.8599999999999995E-2</c:v>
                </c:pt>
                <c:pt idx="3503">
                  <c:v>3.95E-2</c:v>
                </c:pt>
                <c:pt idx="3504">
                  <c:v>4.0500000000000001E-2</c:v>
                </c:pt>
                <c:pt idx="3505">
                  <c:v>4.0599999999999997E-2</c:v>
                </c:pt>
                <c:pt idx="3506">
                  <c:v>4.0099999999999997E-2</c:v>
                </c:pt>
                <c:pt idx="3507">
                  <c:v>3.9900000000000005E-2</c:v>
                </c:pt>
                <c:pt idx="3508">
                  <c:v>3.8599999999999995E-2</c:v>
                </c:pt>
                <c:pt idx="3509">
                  <c:v>3.7599999999999995E-2</c:v>
                </c:pt>
                <c:pt idx="3510">
                  <c:v>3.8300000000000001E-2</c:v>
                </c:pt>
                <c:pt idx="3511">
                  <c:v>3.8100000000000002E-2</c:v>
                </c:pt>
                <c:pt idx="3512">
                  <c:v>3.7999999999999999E-2</c:v>
                </c:pt>
                <c:pt idx="3513">
                  <c:v>3.7499999999999999E-2</c:v>
                </c:pt>
                <c:pt idx="3514">
                  <c:v>3.85E-2</c:v>
                </c:pt>
                <c:pt idx="3515">
                  <c:v>3.8399999999999997E-2</c:v>
                </c:pt>
                <c:pt idx="3516">
                  <c:v>3.8599999999999995E-2</c:v>
                </c:pt>
                <c:pt idx="3517">
                  <c:v>3.9100000000000003E-2</c:v>
                </c:pt>
                <c:pt idx="3518">
                  <c:v>3.8599999999999995E-2</c:v>
                </c:pt>
                <c:pt idx="3519">
                  <c:v>4.0099999999999997E-2</c:v>
                </c:pt>
                <c:pt idx="3520">
                  <c:v>3.9599999999999996E-2</c:v>
                </c:pt>
                <c:pt idx="3521">
                  <c:v>3.9699999999999999E-2</c:v>
                </c:pt>
                <c:pt idx="3522">
                  <c:v>4.0500000000000001E-2</c:v>
                </c:pt>
                <c:pt idx="3523">
                  <c:v>4.0800000000000003E-2</c:v>
                </c:pt>
                <c:pt idx="3524">
                  <c:v>4.2000000000000003E-2</c:v>
                </c:pt>
                <c:pt idx="3525">
                  <c:v>4.0500000000000001E-2</c:v>
                </c:pt>
                <c:pt idx="3526">
                  <c:v>4.0899999999999999E-2</c:v>
                </c:pt>
                <c:pt idx="3527">
                  <c:v>4.0199999999999993E-2</c:v>
                </c:pt>
                <c:pt idx="3528">
                  <c:v>0.04</c:v>
                </c:pt>
                <c:pt idx="3529">
                  <c:v>4.0899999999999999E-2</c:v>
                </c:pt>
                <c:pt idx="3530">
                  <c:v>4.1599999999999998E-2</c:v>
                </c:pt>
                <c:pt idx="3531">
                  <c:v>4.1900000000000007E-2</c:v>
                </c:pt>
                <c:pt idx="3532">
                  <c:v>4.2099999999999999E-2</c:v>
                </c:pt>
                <c:pt idx="3533">
                  <c:v>4.2800000000000005E-2</c:v>
                </c:pt>
                <c:pt idx="3534">
                  <c:v>4.2999999999999997E-2</c:v>
                </c:pt>
                <c:pt idx="3535">
                  <c:v>4.2599999999999999E-2</c:v>
                </c:pt>
                <c:pt idx="3536">
                  <c:v>4.3400000000000001E-2</c:v>
                </c:pt>
                <c:pt idx="3537">
                  <c:v>4.3400000000000001E-2</c:v>
                </c:pt>
                <c:pt idx="3538">
                  <c:v>4.1900000000000007E-2</c:v>
                </c:pt>
                <c:pt idx="3539">
                  <c:v>4.2300000000000004E-2</c:v>
                </c:pt>
                <c:pt idx="3540">
                  <c:v>4.2500000000000003E-2</c:v>
                </c:pt>
                <c:pt idx="3541">
                  <c:v>4.2000000000000003E-2</c:v>
                </c:pt>
                <c:pt idx="3542">
                  <c:v>4.1200000000000001E-2</c:v>
                </c:pt>
                <c:pt idx="3543">
                  <c:v>4.1200000000000001E-2</c:v>
                </c:pt>
                <c:pt idx="3544">
                  <c:v>4.0899999999999999E-2</c:v>
                </c:pt>
                <c:pt idx="3545">
                  <c:v>4.1799999999999997E-2</c:v>
                </c:pt>
                <c:pt idx="3546">
                  <c:v>4.1799999999999997E-2</c:v>
                </c:pt>
                <c:pt idx="3547">
                  <c:v>4.2699999999999995E-2</c:v>
                </c:pt>
                <c:pt idx="3548">
                  <c:v>4.2999999999999997E-2</c:v>
                </c:pt>
                <c:pt idx="3549">
                  <c:v>4.2699999999999995E-2</c:v>
                </c:pt>
                <c:pt idx="3550">
                  <c:v>4.2599999999999999E-2</c:v>
                </c:pt>
                <c:pt idx="3551">
                  <c:v>4.2900000000000001E-2</c:v>
                </c:pt>
                <c:pt idx="3552">
                  <c:v>4.2699999999999995E-2</c:v>
                </c:pt>
                <c:pt idx="3553">
                  <c:v>4.2500000000000003E-2</c:v>
                </c:pt>
                <c:pt idx="3554">
                  <c:v>4.2900000000000001E-2</c:v>
                </c:pt>
                <c:pt idx="3555">
                  <c:v>4.3299999999999998E-2</c:v>
                </c:pt>
                <c:pt idx="3556">
                  <c:v>4.3200000000000002E-2</c:v>
                </c:pt>
                <c:pt idx="3557">
                  <c:v>4.3700000000000003E-2</c:v>
                </c:pt>
                <c:pt idx="3558">
                  <c:v>4.3499999999999997E-2</c:v>
                </c:pt>
                <c:pt idx="3559">
                  <c:v>4.4900000000000002E-2</c:v>
                </c:pt>
                <c:pt idx="3560">
                  <c:v>4.4400000000000002E-2</c:v>
                </c:pt>
                <c:pt idx="3561">
                  <c:v>4.5499999999999999E-2</c:v>
                </c:pt>
                <c:pt idx="3562">
                  <c:v>4.5599999999999995E-2</c:v>
                </c:pt>
                <c:pt idx="3563">
                  <c:v>4.6100000000000002E-2</c:v>
                </c:pt>
                <c:pt idx="3564">
                  <c:v>4.5899999999999996E-2</c:v>
                </c:pt>
                <c:pt idx="3565">
                  <c:v>4.5899999999999996E-2</c:v>
                </c:pt>
                <c:pt idx="3566">
                  <c:v>4.6900000000000004E-2</c:v>
                </c:pt>
                <c:pt idx="3567">
                  <c:v>4.8099999999999997E-2</c:v>
                </c:pt>
                <c:pt idx="3568">
                  <c:v>4.7300000000000002E-2</c:v>
                </c:pt>
                <c:pt idx="3569">
                  <c:v>4.7199999999999999E-2</c:v>
                </c:pt>
                <c:pt idx="3570">
                  <c:v>4.7800000000000002E-2</c:v>
                </c:pt>
                <c:pt idx="3571">
                  <c:v>4.7800000000000002E-2</c:v>
                </c:pt>
                <c:pt idx="3572">
                  <c:v>4.6600000000000003E-2</c:v>
                </c:pt>
                <c:pt idx="3573">
                  <c:v>4.58E-2</c:v>
                </c:pt>
                <c:pt idx="3574">
                  <c:v>4.7E-2</c:v>
                </c:pt>
                <c:pt idx="3575">
                  <c:v>4.6300000000000001E-2</c:v>
                </c:pt>
                <c:pt idx="3576">
                  <c:v>4.7100000000000003E-2</c:v>
                </c:pt>
                <c:pt idx="3577">
                  <c:v>4.8300000000000003E-2</c:v>
                </c:pt>
                <c:pt idx="3578">
                  <c:v>4.9100000000000005E-2</c:v>
                </c:pt>
                <c:pt idx="3579">
                  <c:v>4.9800000000000004E-2</c:v>
                </c:pt>
                <c:pt idx="3580">
                  <c:v>4.9299999999999997E-2</c:v>
                </c:pt>
                <c:pt idx="3581">
                  <c:v>4.8600000000000004E-2</c:v>
                </c:pt>
                <c:pt idx="3582">
                  <c:v>4.8300000000000003E-2</c:v>
                </c:pt>
                <c:pt idx="3583">
                  <c:v>4.9500000000000002E-2</c:v>
                </c:pt>
                <c:pt idx="3584">
                  <c:v>4.8600000000000004E-2</c:v>
                </c:pt>
                <c:pt idx="3585">
                  <c:v>4.8399999999999999E-2</c:v>
                </c:pt>
                <c:pt idx="3586">
                  <c:v>4.8799999999999996E-2</c:v>
                </c:pt>
                <c:pt idx="3587">
                  <c:v>4.8799999999999996E-2</c:v>
                </c:pt>
                <c:pt idx="3588">
                  <c:v>4.7699999999999992E-2</c:v>
                </c:pt>
                <c:pt idx="3589">
                  <c:v>4.6699999999999998E-2</c:v>
                </c:pt>
                <c:pt idx="3590">
                  <c:v>4.5700000000000005E-2</c:v>
                </c:pt>
                <c:pt idx="3591">
                  <c:v>4.6699999999999998E-2</c:v>
                </c:pt>
                <c:pt idx="3592">
                  <c:v>4.58E-2</c:v>
                </c:pt>
                <c:pt idx="3593">
                  <c:v>4.4900000000000002E-2</c:v>
                </c:pt>
                <c:pt idx="3594">
                  <c:v>4.6199999999999998E-2</c:v>
                </c:pt>
                <c:pt idx="3595">
                  <c:v>4.6100000000000002E-2</c:v>
                </c:pt>
                <c:pt idx="3596">
                  <c:v>4.6300000000000001E-2</c:v>
                </c:pt>
                <c:pt idx="3597">
                  <c:v>4.4400000000000002E-2</c:v>
                </c:pt>
                <c:pt idx="3598">
                  <c:v>4.53E-2</c:v>
                </c:pt>
                <c:pt idx="3599">
                  <c:v>4.4500000000000005E-2</c:v>
                </c:pt>
                <c:pt idx="3600">
                  <c:v>4.4400000000000002E-2</c:v>
                </c:pt>
                <c:pt idx="3601">
                  <c:v>4.4199999999999996E-2</c:v>
                </c:pt>
                <c:pt idx="3602">
                  <c:v>4.41E-2</c:v>
                </c:pt>
                <c:pt idx="3603">
                  <c:v>4.4199999999999996E-2</c:v>
                </c:pt>
                <c:pt idx="3604">
                  <c:v>4.4199999999999996E-2</c:v>
                </c:pt>
                <c:pt idx="3605">
                  <c:v>4.4699999999999997E-2</c:v>
                </c:pt>
                <c:pt idx="3606">
                  <c:v>4.3899999999999995E-2</c:v>
                </c:pt>
                <c:pt idx="3607">
                  <c:v>4.3400000000000001E-2</c:v>
                </c:pt>
                <c:pt idx="3608">
                  <c:v>4.2699999999999995E-2</c:v>
                </c:pt>
                <c:pt idx="3609">
                  <c:v>4.3700000000000003E-2</c:v>
                </c:pt>
                <c:pt idx="3610">
                  <c:v>4.2199999999999994E-2</c:v>
                </c:pt>
                <c:pt idx="3611">
                  <c:v>4.2800000000000005E-2</c:v>
                </c:pt>
                <c:pt idx="3612">
                  <c:v>4.1799999999999997E-2</c:v>
                </c:pt>
                <c:pt idx="3613">
                  <c:v>4.1200000000000001E-2</c:v>
                </c:pt>
                <c:pt idx="3614">
                  <c:v>4.1399999999999999E-2</c:v>
                </c:pt>
                <c:pt idx="3615">
                  <c:v>4.2300000000000004E-2</c:v>
                </c:pt>
                <c:pt idx="3616">
                  <c:v>4.2300000000000004E-2</c:v>
                </c:pt>
                <c:pt idx="3617">
                  <c:v>4.2000000000000003E-2</c:v>
                </c:pt>
                <c:pt idx="3618">
                  <c:v>4.0399999999999998E-2</c:v>
                </c:pt>
                <c:pt idx="3619">
                  <c:v>3.9199999999999999E-2</c:v>
                </c:pt>
                <c:pt idx="3620">
                  <c:v>3.9100000000000003E-2</c:v>
                </c:pt>
                <c:pt idx="3621">
                  <c:v>3.95E-2</c:v>
                </c:pt>
                <c:pt idx="3622">
                  <c:v>3.9300000000000002E-2</c:v>
                </c:pt>
                <c:pt idx="3623">
                  <c:v>3.8599999999999995E-2</c:v>
                </c:pt>
                <c:pt idx="3624">
                  <c:v>3.8900000000000004E-2</c:v>
                </c:pt>
                <c:pt idx="3625">
                  <c:v>3.9E-2</c:v>
                </c:pt>
                <c:pt idx="3626">
                  <c:v>3.9E-2</c:v>
                </c:pt>
                <c:pt idx="3627">
                  <c:v>3.8900000000000004E-2</c:v>
                </c:pt>
                <c:pt idx="3628">
                  <c:v>3.7900000000000003E-2</c:v>
                </c:pt>
                <c:pt idx="3629">
                  <c:v>3.8399999999999997E-2</c:v>
                </c:pt>
                <c:pt idx="3630">
                  <c:v>3.8800000000000001E-2</c:v>
                </c:pt>
                <c:pt idx="3631">
                  <c:v>3.8800000000000001E-2</c:v>
                </c:pt>
                <c:pt idx="3632">
                  <c:v>3.95E-2</c:v>
                </c:pt>
                <c:pt idx="3633">
                  <c:v>3.9100000000000003E-2</c:v>
                </c:pt>
                <c:pt idx="3634">
                  <c:v>3.9900000000000005E-2</c:v>
                </c:pt>
                <c:pt idx="3635">
                  <c:v>4.0500000000000001E-2</c:v>
                </c:pt>
                <c:pt idx="3636">
                  <c:v>4.0099999999999997E-2</c:v>
                </c:pt>
                <c:pt idx="3637">
                  <c:v>4.0199999999999993E-2</c:v>
                </c:pt>
                <c:pt idx="3638">
                  <c:v>4.0399999999999998E-2</c:v>
                </c:pt>
                <c:pt idx="3639">
                  <c:v>3.9800000000000002E-2</c:v>
                </c:pt>
                <c:pt idx="3640">
                  <c:v>3.9599999999999996E-2</c:v>
                </c:pt>
                <c:pt idx="3641">
                  <c:v>3.9599999999999996E-2</c:v>
                </c:pt>
                <c:pt idx="3642">
                  <c:v>4.07E-2</c:v>
                </c:pt>
                <c:pt idx="3643">
                  <c:v>4.0999999999999995E-2</c:v>
                </c:pt>
                <c:pt idx="3644">
                  <c:v>4.1399999999999999E-2</c:v>
                </c:pt>
                <c:pt idx="3645">
                  <c:v>4.1500000000000002E-2</c:v>
                </c:pt>
                <c:pt idx="3646">
                  <c:v>4.1100000000000005E-2</c:v>
                </c:pt>
                <c:pt idx="3647">
                  <c:v>4.1399999999999999E-2</c:v>
                </c:pt>
                <c:pt idx="3648">
                  <c:v>4.1799999999999997E-2</c:v>
                </c:pt>
                <c:pt idx="3649">
                  <c:v>4.1399999999999999E-2</c:v>
                </c:pt>
                <c:pt idx="3650">
                  <c:v>4.1500000000000002E-2</c:v>
                </c:pt>
                <c:pt idx="3651">
                  <c:v>4.0800000000000003E-2</c:v>
                </c:pt>
                <c:pt idx="3652">
                  <c:v>4.0599999999999997E-2</c:v>
                </c:pt>
                <c:pt idx="3653">
                  <c:v>3.9900000000000005E-2</c:v>
                </c:pt>
                <c:pt idx="3654">
                  <c:v>3.8699999999999998E-2</c:v>
                </c:pt>
                <c:pt idx="3655">
                  <c:v>4.0300000000000002E-2</c:v>
                </c:pt>
                <c:pt idx="3656">
                  <c:v>4.1700000000000001E-2</c:v>
                </c:pt>
                <c:pt idx="3657">
                  <c:v>4.0899999999999999E-2</c:v>
                </c:pt>
                <c:pt idx="3658">
                  <c:v>4.0899999999999999E-2</c:v>
                </c:pt>
                <c:pt idx="3659">
                  <c:v>4.1500000000000002E-2</c:v>
                </c:pt>
                <c:pt idx="3660">
                  <c:v>4.1700000000000001E-2</c:v>
                </c:pt>
                <c:pt idx="3661">
                  <c:v>4.1700000000000001E-2</c:v>
                </c:pt>
                <c:pt idx="3662">
                  <c:v>4.3099999999999999E-2</c:v>
                </c:pt>
                <c:pt idx="3663">
                  <c:v>4.2699999999999995E-2</c:v>
                </c:pt>
                <c:pt idx="3664">
                  <c:v>4.24E-2</c:v>
                </c:pt>
                <c:pt idx="3665">
                  <c:v>4.2999999999999997E-2</c:v>
                </c:pt>
                <c:pt idx="3666">
                  <c:v>4.2999999999999997E-2</c:v>
                </c:pt>
                <c:pt idx="3667">
                  <c:v>4.2699999999999995E-2</c:v>
                </c:pt>
                <c:pt idx="3668">
                  <c:v>4.3200000000000002E-2</c:v>
                </c:pt>
                <c:pt idx="3669">
                  <c:v>4.3299999999999998E-2</c:v>
                </c:pt>
                <c:pt idx="3670">
                  <c:v>4.2599999999999999E-2</c:v>
                </c:pt>
                <c:pt idx="3671">
                  <c:v>4.2800000000000005E-2</c:v>
                </c:pt>
                <c:pt idx="3672">
                  <c:v>4.3099999999999999E-2</c:v>
                </c:pt>
                <c:pt idx="3673">
                  <c:v>4.2699999999999995E-2</c:v>
                </c:pt>
                <c:pt idx="3674">
                  <c:v>4.2500000000000003E-2</c:v>
                </c:pt>
                <c:pt idx="3675">
                  <c:v>4.1900000000000007E-2</c:v>
                </c:pt>
                <c:pt idx="3676">
                  <c:v>4.2199999999999994E-2</c:v>
                </c:pt>
                <c:pt idx="3677">
                  <c:v>4.1299999999999996E-2</c:v>
                </c:pt>
                <c:pt idx="3678">
                  <c:v>4.1100000000000005E-2</c:v>
                </c:pt>
                <c:pt idx="3679">
                  <c:v>4.0899999999999999E-2</c:v>
                </c:pt>
                <c:pt idx="3680">
                  <c:v>4.0899999999999999E-2</c:v>
                </c:pt>
                <c:pt idx="3681">
                  <c:v>4.0999999999999995E-2</c:v>
                </c:pt>
                <c:pt idx="3682">
                  <c:v>4.1599999999999998E-2</c:v>
                </c:pt>
                <c:pt idx="3683">
                  <c:v>4.1900000000000007E-2</c:v>
                </c:pt>
                <c:pt idx="3684">
                  <c:v>4.2900000000000001E-2</c:v>
                </c:pt>
                <c:pt idx="3685">
                  <c:v>4.3099999999999999E-2</c:v>
                </c:pt>
                <c:pt idx="3686">
                  <c:v>4.3400000000000001E-2</c:v>
                </c:pt>
                <c:pt idx="3687">
                  <c:v>4.2999999999999997E-2</c:v>
                </c:pt>
                <c:pt idx="3688">
                  <c:v>4.2699999999999995E-2</c:v>
                </c:pt>
                <c:pt idx="3689">
                  <c:v>4.2699999999999995E-2</c:v>
                </c:pt>
                <c:pt idx="3690">
                  <c:v>4.2199999999999994E-2</c:v>
                </c:pt>
                <c:pt idx="3691">
                  <c:v>4.2500000000000003E-2</c:v>
                </c:pt>
                <c:pt idx="3692">
                  <c:v>4.24E-2</c:v>
                </c:pt>
                <c:pt idx="3693">
                  <c:v>4.2000000000000003E-2</c:v>
                </c:pt>
                <c:pt idx="3694">
                  <c:v>4.2000000000000003E-2</c:v>
                </c:pt>
                <c:pt idx="3695">
                  <c:v>4.2000000000000003E-2</c:v>
                </c:pt>
                <c:pt idx="3696">
                  <c:v>4.3299999999999998E-2</c:v>
                </c:pt>
                <c:pt idx="3697">
                  <c:v>4.36E-2</c:v>
                </c:pt>
                <c:pt idx="3698">
                  <c:v>4.36E-2</c:v>
                </c:pt>
                <c:pt idx="3699">
                  <c:v>4.3099999999999999E-2</c:v>
                </c:pt>
                <c:pt idx="3700">
                  <c:v>4.3899999999999995E-2</c:v>
                </c:pt>
                <c:pt idx="3701">
                  <c:v>4.4199999999999996E-2</c:v>
                </c:pt>
                <c:pt idx="3702">
                  <c:v>4.36E-2</c:v>
                </c:pt>
                <c:pt idx="3703">
                  <c:v>4.5499999999999999E-2</c:v>
                </c:pt>
                <c:pt idx="3704">
                  <c:v>4.5599999999999995E-2</c:v>
                </c:pt>
                <c:pt idx="3705">
                  <c:v>4.4999999999999998E-2</c:v>
                </c:pt>
                <c:pt idx="3706">
                  <c:v>4.6300000000000001E-2</c:v>
                </c:pt>
                <c:pt idx="3707">
                  <c:v>4.6699999999999998E-2</c:v>
                </c:pt>
                <c:pt idx="3708">
                  <c:v>4.5899999999999996E-2</c:v>
                </c:pt>
                <c:pt idx="3709">
                  <c:v>4.6399999999999997E-2</c:v>
                </c:pt>
                <c:pt idx="3710">
                  <c:v>4.6199999999999998E-2</c:v>
                </c:pt>
                <c:pt idx="3711">
                  <c:v>4.6199999999999998E-2</c:v>
                </c:pt>
                <c:pt idx="3712">
                  <c:v>4.6100000000000002E-2</c:v>
                </c:pt>
                <c:pt idx="3713">
                  <c:v>4.6500000000000007E-2</c:v>
                </c:pt>
                <c:pt idx="3714">
                  <c:v>4.7E-2</c:v>
                </c:pt>
                <c:pt idx="3715">
                  <c:v>4.6699999999999998E-2</c:v>
                </c:pt>
                <c:pt idx="3716">
                  <c:v>4.6300000000000001E-2</c:v>
                </c:pt>
                <c:pt idx="3717">
                  <c:v>4.6900000000000004E-2</c:v>
                </c:pt>
                <c:pt idx="3718">
                  <c:v>4.6300000000000001E-2</c:v>
                </c:pt>
                <c:pt idx="3719">
                  <c:v>4.58E-2</c:v>
                </c:pt>
                <c:pt idx="3720">
                  <c:v>4.4999999999999998E-2</c:v>
                </c:pt>
                <c:pt idx="3721">
                  <c:v>4.4900000000000002E-2</c:v>
                </c:pt>
                <c:pt idx="3722">
                  <c:v>4.4699999999999997E-2</c:v>
                </c:pt>
                <c:pt idx="3723">
                  <c:v>4.4800000000000006E-2</c:v>
                </c:pt>
                <c:pt idx="3724">
                  <c:v>4.4500000000000005E-2</c:v>
                </c:pt>
                <c:pt idx="3725">
                  <c:v>4.4999999999999998E-2</c:v>
                </c:pt>
                <c:pt idx="3726">
                  <c:v>4.4800000000000006E-2</c:v>
                </c:pt>
                <c:pt idx="3727">
                  <c:v>4.4500000000000005E-2</c:v>
                </c:pt>
                <c:pt idx="3728">
                  <c:v>4.36E-2</c:v>
                </c:pt>
                <c:pt idx="3729">
                  <c:v>4.3799999999999999E-2</c:v>
                </c:pt>
                <c:pt idx="3730">
                  <c:v>4.4199999999999996E-2</c:v>
                </c:pt>
                <c:pt idx="3731">
                  <c:v>4.4400000000000002E-2</c:v>
                </c:pt>
                <c:pt idx="3732">
                  <c:v>4.41E-2</c:v>
                </c:pt>
                <c:pt idx="3733">
                  <c:v>4.4299999999999999E-2</c:v>
                </c:pt>
                <c:pt idx="3734">
                  <c:v>4.4699999999999997E-2</c:v>
                </c:pt>
                <c:pt idx="3735">
                  <c:v>4.4600000000000001E-2</c:v>
                </c:pt>
                <c:pt idx="3736">
                  <c:v>4.4600000000000001E-2</c:v>
                </c:pt>
                <c:pt idx="3737">
                  <c:v>4.5400000000000003E-2</c:v>
                </c:pt>
                <c:pt idx="3738">
                  <c:v>4.6100000000000002E-2</c:v>
                </c:pt>
                <c:pt idx="3739">
                  <c:v>4.5499999999999999E-2</c:v>
                </c:pt>
                <c:pt idx="3740">
                  <c:v>4.5100000000000001E-2</c:v>
                </c:pt>
                <c:pt idx="3741">
                  <c:v>4.41E-2</c:v>
                </c:pt>
                <c:pt idx="3742">
                  <c:v>4.3299999999999998E-2</c:v>
                </c:pt>
                <c:pt idx="3743">
                  <c:v>4.2900000000000001E-2</c:v>
                </c:pt>
                <c:pt idx="3744">
                  <c:v>4.2800000000000005E-2</c:v>
                </c:pt>
                <c:pt idx="3745">
                  <c:v>4.4299999999999999E-2</c:v>
                </c:pt>
                <c:pt idx="3746">
                  <c:v>4.4699999999999997E-2</c:v>
                </c:pt>
                <c:pt idx="3747">
                  <c:v>4.3899999999999995E-2</c:v>
                </c:pt>
                <c:pt idx="3748">
                  <c:v>4.3099999999999999E-2</c:v>
                </c:pt>
                <c:pt idx="3749">
                  <c:v>4.24E-2</c:v>
                </c:pt>
                <c:pt idx="3750">
                  <c:v>4.2000000000000003E-2</c:v>
                </c:pt>
                <c:pt idx="3751">
                  <c:v>4.2800000000000005E-2</c:v>
                </c:pt>
                <c:pt idx="3752">
                  <c:v>4.2199999999999994E-2</c:v>
                </c:pt>
                <c:pt idx="3753">
                  <c:v>4.2199999999999994E-2</c:v>
                </c:pt>
                <c:pt idx="3754">
                  <c:v>4.2500000000000003E-2</c:v>
                </c:pt>
                <c:pt idx="3755">
                  <c:v>4.2500000000000003E-2</c:v>
                </c:pt>
                <c:pt idx="3756">
                  <c:v>4.2500000000000003E-2</c:v>
                </c:pt>
                <c:pt idx="3757">
                  <c:v>4.2300000000000004E-2</c:v>
                </c:pt>
                <c:pt idx="3758">
                  <c:v>4.3200000000000002E-2</c:v>
                </c:pt>
                <c:pt idx="3759">
                  <c:v>4.2900000000000001E-2</c:v>
                </c:pt>
                <c:pt idx="3760">
                  <c:v>4.36E-2</c:v>
                </c:pt>
                <c:pt idx="3761">
                  <c:v>4.4800000000000006E-2</c:v>
                </c:pt>
                <c:pt idx="3762">
                  <c:v>4.4299999999999999E-2</c:v>
                </c:pt>
                <c:pt idx="3763">
                  <c:v>4.36E-2</c:v>
                </c:pt>
                <c:pt idx="3764">
                  <c:v>4.36E-2</c:v>
                </c:pt>
                <c:pt idx="3765">
                  <c:v>4.2800000000000005E-2</c:v>
                </c:pt>
                <c:pt idx="3766">
                  <c:v>4.2800000000000005E-2</c:v>
                </c:pt>
                <c:pt idx="3767">
                  <c:v>4.2999999999999997E-2</c:v>
                </c:pt>
                <c:pt idx="3768">
                  <c:v>4.2800000000000005E-2</c:v>
                </c:pt>
                <c:pt idx="3769">
                  <c:v>4.2000000000000003E-2</c:v>
                </c:pt>
                <c:pt idx="3770">
                  <c:v>4.1799999999999997E-2</c:v>
                </c:pt>
                <c:pt idx="3771">
                  <c:v>4.2300000000000004E-2</c:v>
                </c:pt>
                <c:pt idx="3772">
                  <c:v>4.1700000000000001E-2</c:v>
                </c:pt>
                <c:pt idx="3773">
                  <c:v>4.1599999999999998E-2</c:v>
                </c:pt>
                <c:pt idx="3774">
                  <c:v>4.2000000000000003E-2</c:v>
                </c:pt>
                <c:pt idx="3775">
                  <c:v>4.2500000000000003E-2</c:v>
                </c:pt>
                <c:pt idx="3776">
                  <c:v>4.2599999999999999E-2</c:v>
                </c:pt>
                <c:pt idx="3777">
                  <c:v>4.2500000000000003E-2</c:v>
                </c:pt>
                <c:pt idx="3778">
                  <c:v>4.2800000000000005E-2</c:v>
                </c:pt>
                <c:pt idx="3779">
                  <c:v>4.2699999999999995E-2</c:v>
                </c:pt>
                <c:pt idx="3780">
                  <c:v>4.2000000000000003E-2</c:v>
                </c:pt>
                <c:pt idx="3781">
                  <c:v>4.1700000000000001E-2</c:v>
                </c:pt>
                <c:pt idx="3782">
                  <c:v>4.1500000000000002E-2</c:v>
                </c:pt>
                <c:pt idx="3783">
                  <c:v>4.0899999999999999E-2</c:v>
                </c:pt>
                <c:pt idx="3784">
                  <c:v>3.9900000000000005E-2</c:v>
                </c:pt>
                <c:pt idx="3785">
                  <c:v>3.7999999999999999E-2</c:v>
                </c:pt>
                <c:pt idx="3786">
                  <c:v>3.78E-2</c:v>
                </c:pt>
                <c:pt idx="3787">
                  <c:v>3.9E-2</c:v>
                </c:pt>
                <c:pt idx="3788">
                  <c:v>3.9599999999999996E-2</c:v>
                </c:pt>
                <c:pt idx="3789">
                  <c:v>3.9900000000000005E-2</c:v>
                </c:pt>
                <c:pt idx="3790">
                  <c:v>3.9399999999999998E-2</c:v>
                </c:pt>
                <c:pt idx="3791">
                  <c:v>3.9E-2</c:v>
                </c:pt>
                <c:pt idx="3792">
                  <c:v>3.85E-2</c:v>
                </c:pt>
                <c:pt idx="3793">
                  <c:v>3.8300000000000001E-2</c:v>
                </c:pt>
                <c:pt idx="3794">
                  <c:v>3.9199999999999999E-2</c:v>
                </c:pt>
                <c:pt idx="3795">
                  <c:v>3.8900000000000004E-2</c:v>
                </c:pt>
                <c:pt idx="3796">
                  <c:v>3.8599999999999995E-2</c:v>
                </c:pt>
                <c:pt idx="3797">
                  <c:v>3.8199999999999998E-2</c:v>
                </c:pt>
                <c:pt idx="3798">
                  <c:v>3.7900000000000003E-2</c:v>
                </c:pt>
                <c:pt idx="3799">
                  <c:v>3.8599999999999995E-2</c:v>
                </c:pt>
                <c:pt idx="3800">
                  <c:v>3.8100000000000002E-2</c:v>
                </c:pt>
                <c:pt idx="3801">
                  <c:v>3.8199999999999998E-2</c:v>
                </c:pt>
                <c:pt idx="3802">
                  <c:v>3.8300000000000001E-2</c:v>
                </c:pt>
                <c:pt idx="3803">
                  <c:v>3.8399999999999997E-2</c:v>
                </c:pt>
                <c:pt idx="3804">
                  <c:v>3.8699999999999998E-2</c:v>
                </c:pt>
                <c:pt idx="3805">
                  <c:v>3.9100000000000003E-2</c:v>
                </c:pt>
                <c:pt idx="3806">
                  <c:v>3.9100000000000003E-2</c:v>
                </c:pt>
                <c:pt idx="3807">
                  <c:v>3.8399999999999997E-2</c:v>
                </c:pt>
                <c:pt idx="3808">
                  <c:v>3.7699999999999997E-2</c:v>
                </c:pt>
                <c:pt idx="3809">
                  <c:v>3.73E-2</c:v>
                </c:pt>
                <c:pt idx="3810">
                  <c:v>3.7200000000000004E-2</c:v>
                </c:pt>
                <c:pt idx="3811">
                  <c:v>3.7000000000000005E-2</c:v>
                </c:pt>
                <c:pt idx="3812">
                  <c:v>3.6499999999999998E-2</c:v>
                </c:pt>
                <c:pt idx="3813">
                  <c:v>3.6499999999999998E-2</c:v>
                </c:pt>
                <c:pt idx="3814">
                  <c:v>3.6799999999999999E-2</c:v>
                </c:pt>
                <c:pt idx="3815">
                  <c:v>3.6600000000000001E-2</c:v>
                </c:pt>
                <c:pt idx="3816">
                  <c:v>3.6299999999999999E-2</c:v>
                </c:pt>
                <c:pt idx="3817">
                  <c:v>3.6499999999999998E-2</c:v>
                </c:pt>
                <c:pt idx="3818">
                  <c:v>3.7000000000000005E-2</c:v>
                </c:pt>
                <c:pt idx="3819">
                  <c:v>3.73E-2</c:v>
                </c:pt>
                <c:pt idx="3820">
                  <c:v>3.73E-2</c:v>
                </c:pt>
                <c:pt idx="3821">
                  <c:v>3.7499999999999999E-2</c:v>
                </c:pt>
                <c:pt idx="3822">
                  <c:v>3.7400000000000003E-2</c:v>
                </c:pt>
                <c:pt idx="3823">
                  <c:v>3.7900000000000003E-2</c:v>
                </c:pt>
                <c:pt idx="3824">
                  <c:v>3.7900000000000003E-2</c:v>
                </c:pt>
                <c:pt idx="3825">
                  <c:v>3.7499999999999999E-2</c:v>
                </c:pt>
                <c:pt idx="3826">
                  <c:v>3.8100000000000002E-2</c:v>
                </c:pt>
                <c:pt idx="3827">
                  <c:v>3.7400000000000003E-2</c:v>
                </c:pt>
                <c:pt idx="3828">
                  <c:v>3.7900000000000003E-2</c:v>
                </c:pt>
                <c:pt idx="3829">
                  <c:v>3.85E-2</c:v>
                </c:pt>
                <c:pt idx="3830">
                  <c:v>3.9800000000000002E-2</c:v>
                </c:pt>
                <c:pt idx="3831">
                  <c:v>4.0300000000000002E-2</c:v>
                </c:pt>
                <c:pt idx="3832">
                  <c:v>4.0399999999999998E-2</c:v>
                </c:pt>
                <c:pt idx="3833">
                  <c:v>4.0599999999999997E-2</c:v>
                </c:pt>
                <c:pt idx="3834">
                  <c:v>4.0899999999999999E-2</c:v>
                </c:pt>
                <c:pt idx="3835">
                  <c:v>4.0800000000000003E-2</c:v>
                </c:pt>
                <c:pt idx="3836">
                  <c:v>4.0800000000000003E-2</c:v>
                </c:pt>
                <c:pt idx="3837">
                  <c:v>4.0300000000000002E-2</c:v>
                </c:pt>
                <c:pt idx="3838">
                  <c:v>4.0199999999999993E-2</c:v>
                </c:pt>
                <c:pt idx="3839">
                  <c:v>4.0899999999999999E-2</c:v>
                </c:pt>
                <c:pt idx="3840">
                  <c:v>4.0800000000000003E-2</c:v>
                </c:pt>
                <c:pt idx="3841">
                  <c:v>4.1900000000000007E-2</c:v>
                </c:pt>
                <c:pt idx="3842">
                  <c:v>4.2000000000000003E-2</c:v>
                </c:pt>
                <c:pt idx="3843">
                  <c:v>4.24E-2</c:v>
                </c:pt>
                <c:pt idx="3844">
                  <c:v>4.2099999999999999E-2</c:v>
                </c:pt>
                <c:pt idx="3845">
                  <c:v>4.2500000000000003E-2</c:v>
                </c:pt>
                <c:pt idx="3846">
                  <c:v>4.2800000000000005E-2</c:v>
                </c:pt>
                <c:pt idx="3847">
                  <c:v>4.2800000000000005E-2</c:v>
                </c:pt>
                <c:pt idx="3848">
                  <c:v>4.2900000000000001E-2</c:v>
                </c:pt>
                <c:pt idx="3849">
                  <c:v>4.2800000000000005E-2</c:v>
                </c:pt>
                <c:pt idx="3850">
                  <c:v>4.3700000000000003E-2</c:v>
                </c:pt>
                <c:pt idx="3851">
                  <c:v>4.3099999999999999E-2</c:v>
                </c:pt>
                <c:pt idx="3852">
                  <c:v>4.2599999999999999E-2</c:v>
                </c:pt>
                <c:pt idx="3853">
                  <c:v>4.4199999999999996E-2</c:v>
                </c:pt>
                <c:pt idx="3854">
                  <c:v>4.3099999999999999E-2</c:v>
                </c:pt>
                <c:pt idx="3855">
                  <c:v>4.2999999999999997E-2</c:v>
                </c:pt>
                <c:pt idx="3856">
                  <c:v>4.2999999999999997E-2</c:v>
                </c:pt>
                <c:pt idx="3857">
                  <c:v>4.4299999999999999E-2</c:v>
                </c:pt>
                <c:pt idx="3858">
                  <c:v>4.4400000000000002E-2</c:v>
                </c:pt>
                <c:pt idx="3859">
                  <c:v>4.4299999999999999E-2</c:v>
                </c:pt>
                <c:pt idx="3860">
                  <c:v>4.4299999999999999E-2</c:v>
                </c:pt>
                <c:pt idx="3861">
                  <c:v>4.4199999999999996E-2</c:v>
                </c:pt>
                <c:pt idx="3862">
                  <c:v>4.3899999999999995E-2</c:v>
                </c:pt>
                <c:pt idx="3863">
                  <c:v>4.41E-2</c:v>
                </c:pt>
                <c:pt idx="3864">
                  <c:v>4.4299999999999999E-2</c:v>
                </c:pt>
                <c:pt idx="3865">
                  <c:v>4.41E-2</c:v>
                </c:pt>
                <c:pt idx="3866">
                  <c:v>4.2699999999999995E-2</c:v>
                </c:pt>
                <c:pt idx="3867">
                  <c:v>4.2999999999999997E-2</c:v>
                </c:pt>
                <c:pt idx="3868">
                  <c:v>4.2500000000000003E-2</c:v>
                </c:pt>
                <c:pt idx="3869">
                  <c:v>4.2500000000000003E-2</c:v>
                </c:pt>
                <c:pt idx="3870">
                  <c:v>4.1799999999999997E-2</c:v>
                </c:pt>
                <c:pt idx="3871">
                  <c:v>4.1900000000000007E-2</c:v>
                </c:pt>
                <c:pt idx="3872">
                  <c:v>4.2300000000000004E-2</c:v>
                </c:pt>
                <c:pt idx="3873">
                  <c:v>4.1900000000000007E-2</c:v>
                </c:pt>
                <c:pt idx="3874">
                  <c:v>4.1700000000000001E-2</c:v>
                </c:pt>
                <c:pt idx="3875">
                  <c:v>4.1500000000000002E-2</c:v>
                </c:pt>
                <c:pt idx="3876">
                  <c:v>4.2000000000000003E-2</c:v>
                </c:pt>
                <c:pt idx="3877">
                  <c:v>4.2199999999999994E-2</c:v>
                </c:pt>
                <c:pt idx="3878">
                  <c:v>4.2599999999999999E-2</c:v>
                </c:pt>
                <c:pt idx="3879">
                  <c:v>4.3200000000000002E-2</c:v>
                </c:pt>
                <c:pt idx="3880">
                  <c:v>4.4000000000000004E-2</c:v>
                </c:pt>
                <c:pt idx="3881">
                  <c:v>4.3899999999999995E-2</c:v>
                </c:pt>
                <c:pt idx="3882">
                  <c:v>4.4000000000000004E-2</c:v>
                </c:pt>
                <c:pt idx="3883">
                  <c:v>4.4999999999999998E-2</c:v>
                </c:pt>
                <c:pt idx="3884">
                  <c:v>4.5700000000000005E-2</c:v>
                </c:pt>
                <c:pt idx="3885">
                  <c:v>4.5199999999999997E-2</c:v>
                </c:pt>
                <c:pt idx="3886">
                  <c:v>4.5899999999999996E-2</c:v>
                </c:pt>
                <c:pt idx="3887">
                  <c:v>4.5899999999999996E-2</c:v>
                </c:pt>
                <c:pt idx="3888">
                  <c:v>4.5899999999999996E-2</c:v>
                </c:pt>
                <c:pt idx="3889">
                  <c:v>4.58E-2</c:v>
                </c:pt>
                <c:pt idx="3890">
                  <c:v>4.6199999999999998E-2</c:v>
                </c:pt>
                <c:pt idx="3891">
                  <c:v>4.5499999999999999E-2</c:v>
                </c:pt>
                <c:pt idx="3892">
                  <c:v>4.58E-2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C-4A1E-8000-31A01C97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446400"/>
        <c:axId val="255997440"/>
      </c:lineChart>
      <c:dateAx>
        <c:axId val="255446400"/>
        <c:scaling>
          <c:orientation val="minMax"/>
        </c:scaling>
        <c:delete val="0"/>
        <c:axPos val="b"/>
        <c:title>
          <c:tx>
            <c:strRef>
              <c:f>'V. 10Y Daily'!$C$22</c:f>
              <c:strCache>
                <c:ptCount val="1"/>
                <c:pt idx="0">
                  <c:v>Source:  U.S. Federal Reserve</c:v>
                </c:pt>
              </c:strCache>
            </c:strRef>
          </c:tx>
          <c:overlay val="0"/>
          <c:txPr>
            <a:bodyPr/>
            <a:lstStyle/>
            <a:p>
              <a:pPr>
                <a:defRPr sz="800">
                  <a:solidFill>
                    <a:schemeClr val="bg1">
                      <a:lumMod val="50000"/>
                    </a:schemeClr>
                  </a:solidFill>
                </a:defRPr>
              </a:pPr>
              <a:endParaRPr lang="en-US"/>
            </a:p>
          </c:txPr>
        </c:title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55997440"/>
        <c:crosses val="autoZero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25599744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5446400"/>
        <c:crosses val="autoZero"/>
        <c:crossBetween val="between"/>
        <c:majorUnit val="1.0000000000000002E-2"/>
        <c:minorUnit val="5.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ranklin Gothic Book"/>
          <a:ea typeface="Franklin Gothic Book"/>
          <a:cs typeface="Franklin Gothic Book"/>
        </a:defRPr>
      </a:pPr>
      <a:endParaRPr lang="en-US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'VIII. Returns by Quarter'!$B$2</c:f>
          <c:strCache>
            <c:ptCount val="1"/>
            <c:pt idx="0">
              <c:v>VIII. Returns by Quarter</c:v>
            </c:pt>
          </c:strCache>
        </c:strRef>
      </c:tx>
      <c:layout>
        <c:manualLayout>
          <c:xMode val="edge"/>
          <c:yMode val="edge"/>
          <c:x val="0.446508502210786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68586390834581E-2"/>
          <c:y val="0.13456167218312634"/>
          <c:w val="0.92041112887591237"/>
          <c:h val="0.58106383047294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'VIII. Returns by Quarter'!$B$7</c:f>
              <c:strCache>
                <c:ptCount val="1"/>
                <c:pt idx="0">
                  <c:v>EEI Index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multiLvlStrRef>
              <c:f>'VIII. Returns by Quarter'!$C$5:$V$6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2022</c:v>
                  </c:pt>
                  <c:pt idx="10">
                    <c:v>2022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  <c:pt idx="15">
                    <c:v>2023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</c:lvl>
              </c:multiLvlStrCache>
            </c:multiLvlStrRef>
          </c:cat>
          <c:val>
            <c:numRef>
              <c:f>'VIII. Returns by Quarter'!$C$7:$V$7</c:f>
              <c:numCache>
                <c:formatCode>_(* #,##0.0_);_(* \(#,##0.0\);_(* "-"??_);_(@_)</c:formatCode>
                <c:ptCount val="20"/>
                <c:pt idx="0">
                  <c:v>-13.59</c:v>
                </c:pt>
                <c:pt idx="1">
                  <c:v>1.7822011341279875</c:v>
                </c:pt>
                <c:pt idx="2">
                  <c:v>5.5713473564525202</c:v>
                </c:pt>
                <c:pt idx="3">
                  <c:v>6.4512654819601494</c:v>
                </c:pt>
                <c:pt idx="4">
                  <c:v>2.98</c:v>
                </c:pt>
                <c:pt idx="5">
                  <c:v>-0.70887550980773995</c:v>
                </c:pt>
                <c:pt idx="6">
                  <c:v>1.4180929095354315</c:v>
                </c:pt>
                <c:pt idx="7">
                  <c:v>12.941176470588275</c:v>
                </c:pt>
                <c:pt idx="8" formatCode="0.00_);\(0.00\)">
                  <c:v>4.8099999999999996</c:v>
                </c:pt>
                <c:pt idx="9">
                  <c:v>-4.9327354260089749</c:v>
                </c:pt>
                <c:pt idx="10">
                  <c:v>-6.6740264953833872</c:v>
                </c:pt>
                <c:pt idx="11">
                  <c:v>8.7751371115173811</c:v>
                </c:pt>
                <c:pt idx="12">
                  <c:v>-2.88</c:v>
                </c:pt>
                <c:pt idx="13">
                  <c:v>-2.9962932454695164</c:v>
                </c:pt>
                <c:pt idx="14">
                  <c:v>-10.264303152531582</c:v>
                </c:pt>
                <c:pt idx="15">
                  <c:v>8</c:v>
                </c:pt>
                <c:pt idx="16">
                  <c:v>2.35</c:v>
                </c:pt>
                <c:pt idx="17">
                  <c:v>3.9179286761113872</c:v>
                </c:pt>
                <c:pt idx="18">
                  <c:v>17.591199699134989</c:v>
                </c:pt>
                <c:pt idx="19">
                  <c:v>-4.7733269369153106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F-4BC2-9613-1B9677C55B97}"/>
            </c:ext>
          </c:extLst>
        </c:ser>
        <c:ser>
          <c:idx val="1"/>
          <c:order val="1"/>
          <c:tx>
            <c:strRef>
              <c:f>'VIII. Returns by Quarter'!$B$8</c:f>
              <c:strCache>
                <c:ptCount val="1"/>
                <c:pt idx="0">
                  <c:v>Dow Jones Industrial Average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multiLvlStrRef>
              <c:f>'VIII. Returns by Quarter'!$C$5:$V$6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2022</c:v>
                  </c:pt>
                  <c:pt idx="10">
                    <c:v>2022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  <c:pt idx="15">
                    <c:v>2023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</c:lvl>
              </c:multiLvlStrCache>
            </c:multiLvlStrRef>
          </c:cat>
          <c:val>
            <c:numRef>
              <c:f>'VIII. Returns by Quarter'!$C$8:$V$8</c:f>
              <c:numCache>
                <c:formatCode>_(* #,##0.0_);_(* \(#,##0.0\);_(* "-"??_);_(@_)</c:formatCode>
                <c:ptCount val="20"/>
                <c:pt idx="0">
                  <c:v>-22.73</c:v>
                </c:pt>
                <c:pt idx="1">
                  <c:v>18.506535524783231</c:v>
                </c:pt>
                <c:pt idx="2">
                  <c:v>8.2122966036911578</c:v>
                </c:pt>
                <c:pt idx="3">
                  <c:v>10.72762135432437</c:v>
                </c:pt>
                <c:pt idx="4">
                  <c:v>8.2899999999999991</c:v>
                </c:pt>
                <c:pt idx="5">
                  <c:v>5.0789546587865857</c:v>
                </c:pt>
                <c:pt idx="6">
                  <c:v>-1.4676157834607579</c:v>
                </c:pt>
                <c:pt idx="7">
                  <c:v>7.8754905458437321</c:v>
                </c:pt>
                <c:pt idx="8" formatCode="0.00_);\(0.00\)">
                  <c:v>-4</c:v>
                </c:pt>
                <c:pt idx="9">
                  <c:v>-10.875</c:v>
                </c:pt>
                <c:pt idx="10">
                  <c:v>-6.1711079943899136</c:v>
                </c:pt>
                <c:pt idx="11">
                  <c:v>15.819631290483315</c:v>
                </c:pt>
                <c:pt idx="12">
                  <c:v>0.93</c:v>
                </c:pt>
                <c:pt idx="13">
                  <c:v>3.9730506291489291</c:v>
                </c:pt>
                <c:pt idx="14">
                  <c:v>-2.1059653135124989</c:v>
                </c:pt>
                <c:pt idx="15">
                  <c:v>13.1</c:v>
                </c:pt>
                <c:pt idx="16">
                  <c:v>6.14</c:v>
                </c:pt>
                <c:pt idx="17">
                  <c:v>-1.2719050310910092</c:v>
                </c:pt>
                <c:pt idx="18">
                  <c:v>8.7222063173967115</c:v>
                </c:pt>
                <c:pt idx="19">
                  <c:v>0.93039585710523909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F-4BC2-9613-1B9677C55B97}"/>
            </c:ext>
          </c:extLst>
        </c:ser>
        <c:ser>
          <c:idx val="2"/>
          <c:order val="2"/>
          <c:tx>
            <c:strRef>
              <c:f>'VIII. Returns by Quarter'!$B$9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multiLvlStrRef>
              <c:f>'VIII. Returns by Quarter'!$C$5:$V$6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2022</c:v>
                  </c:pt>
                  <c:pt idx="10">
                    <c:v>2022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  <c:pt idx="15">
                    <c:v>2023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</c:lvl>
              </c:multiLvlStrCache>
            </c:multiLvlStrRef>
          </c:cat>
          <c:val>
            <c:numRef>
              <c:f>'VIII. Returns by Quarter'!$C$9:$V$9</c:f>
              <c:numCache>
                <c:formatCode>_(* #,##0.0_);_(* \(#,##0.0\);_(* "-"??_);_(@_)</c:formatCode>
                <c:ptCount val="20"/>
                <c:pt idx="0">
                  <c:v>-19.600000000000001</c:v>
                </c:pt>
                <c:pt idx="1">
                  <c:v>20.547263681592028</c:v>
                </c:pt>
                <c:pt idx="2">
                  <c:v>8.9248865043334717</c:v>
                </c:pt>
                <c:pt idx="3">
                  <c:v>12.15307378990245</c:v>
                </c:pt>
                <c:pt idx="4">
                  <c:v>6.17</c:v>
                </c:pt>
                <c:pt idx="5">
                  <c:v>8.5523217481397751</c:v>
                </c:pt>
                <c:pt idx="6">
                  <c:v>0.58134490238610681</c:v>
                </c:pt>
                <c:pt idx="7">
                  <c:v>11.03347135955832</c:v>
                </c:pt>
                <c:pt idx="8" formatCode="0.00_);\(0.00\)">
                  <c:v>-4.5999999999999996</c:v>
                </c:pt>
                <c:pt idx="9">
                  <c:v>-16.100628930817606</c:v>
                </c:pt>
                <c:pt idx="10">
                  <c:v>-4.8850574712643606</c:v>
                </c:pt>
                <c:pt idx="11">
                  <c:v>7.2901615657428067</c:v>
                </c:pt>
                <c:pt idx="12">
                  <c:v>7.5</c:v>
                </c:pt>
                <c:pt idx="13">
                  <c:v>8.7348837209302275</c:v>
                </c:pt>
                <c:pt idx="14">
                  <c:v>-3.2680297715801174</c:v>
                </c:pt>
                <c:pt idx="15">
                  <c:v>11.7</c:v>
                </c:pt>
                <c:pt idx="16">
                  <c:v>10.56</c:v>
                </c:pt>
                <c:pt idx="17">
                  <c:v>4.2782199710564441</c:v>
                </c:pt>
                <c:pt idx="18">
                  <c:v>5.8894960534304914</c:v>
                </c:pt>
                <c:pt idx="19">
                  <c:v>2.4082568807339442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5F-4BC2-9613-1B9677C55B97}"/>
            </c:ext>
          </c:extLst>
        </c:ser>
        <c:ser>
          <c:idx val="3"/>
          <c:order val="3"/>
          <c:tx>
            <c:strRef>
              <c:f>'VIII. Returns by Quarter'!$B$10</c:f>
              <c:strCache>
                <c:ptCount val="1"/>
                <c:pt idx="0">
                  <c:v>Nasdaq Composite*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multiLvlStrRef>
              <c:f>'VIII. Returns by Quarter'!$C$5:$V$6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2022</c:v>
                  </c:pt>
                  <c:pt idx="10">
                    <c:v>2022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  <c:pt idx="15">
                    <c:v>2023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</c:lvl>
              </c:multiLvlStrCache>
            </c:multiLvlStrRef>
          </c:cat>
          <c:val>
            <c:numRef>
              <c:f>'VIII. Returns by Quarter'!$C$10:$V$10</c:f>
              <c:numCache>
                <c:formatCode>_(* #,##0.0_);_(* \(#,##0.0\);_(* "-"??_);_(@_)</c:formatCode>
                <c:ptCount val="20"/>
                <c:pt idx="0">
                  <c:v>-14.18</c:v>
                </c:pt>
                <c:pt idx="1">
                  <c:v>30.633884875320433</c:v>
                </c:pt>
                <c:pt idx="2">
                  <c:v>11.015966461511013</c:v>
                </c:pt>
                <c:pt idx="3">
                  <c:v>15.41057367829022</c:v>
                </c:pt>
                <c:pt idx="4">
                  <c:v>2.78</c:v>
                </c:pt>
                <c:pt idx="5">
                  <c:v>9.4960108970616659</c:v>
                </c:pt>
                <c:pt idx="6">
                  <c:v>-0.3820863692909171</c:v>
                </c:pt>
                <c:pt idx="7">
                  <c:v>8.2775845152082752</c:v>
                </c:pt>
                <c:pt idx="8" formatCode="_(* #,##0.00_);_(* \(#,##0.00\);_(* &quot;-&quot;??_);_(@_)">
                  <c:v>-9</c:v>
                </c:pt>
                <c:pt idx="9">
                  <c:v>-23.010989010989007</c:v>
                </c:pt>
                <c:pt idx="10">
                  <c:v>-3.511276049100772</c:v>
                </c:pt>
                <c:pt idx="11">
                  <c:v>-1.6420118343195185</c:v>
                </c:pt>
                <c:pt idx="12">
                  <c:v>16.77</c:v>
                </c:pt>
                <c:pt idx="13">
                  <c:v>12.81150980560075</c:v>
                </c:pt>
                <c:pt idx="14">
                  <c:v>-4.1220678660897363</c:v>
                </c:pt>
                <c:pt idx="15">
                  <c:v>13.4</c:v>
                </c:pt>
                <c:pt idx="16">
                  <c:v>9.11</c:v>
                </c:pt>
                <c:pt idx="17">
                  <c:v>8.2668866281734097</c:v>
                </c:pt>
                <c:pt idx="18">
                  <c:v>2.5734360450351232</c:v>
                </c:pt>
                <c:pt idx="19">
                  <c:v>6.1648923000742712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F-4BC2-9613-1B9677C5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42656"/>
        <c:axId val="256344448"/>
      </c:barChart>
      <c:catAx>
        <c:axId val="25634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6344448"/>
        <c:crosses val="autoZero"/>
        <c:auto val="1"/>
        <c:lblAlgn val="ctr"/>
        <c:lblOffset val="100"/>
        <c:noMultiLvlLbl val="0"/>
      </c:catAx>
      <c:valAx>
        <c:axId val="256344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 Return</a:t>
                </a:r>
              </a:p>
            </c:rich>
          </c:tx>
          <c:layout>
            <c:manualLayout>
              <c:xMode val="edge"/>
              <c:yMode val="edge"/>
              <c:x val="6.8587150073220835E-3"/>
              <c:y val="6.3746092650153713E-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>
            <a:noFill/>
          </a:ln>
        </c:spPr>
        <c:crossAx val="25634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16568801516661"/>
          <c:y val="0.91289529395421665"/>
          <c:w val="0.62816394934477326"/>
          <c:h val="8.37171916010498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'XII. EEI Market Cap'!$B$2</c:f>
          <c:strCache>
            <c:ptCount val="1"/>
            <c:pt idx="0">
              <c:v>XII. EEI Index Market Capitalization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43681641445939E-2"/>
          <c:y val="0.15750167640305388"/>
          <c:w val="0.88786877855384294"/>
          <c:h val="0.663452671898977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'XII. EEI Market Cap'!$B$22:$B$118</c:f>
              <c:strCache>
                <c:ptCount val="97"/>
                <c:pt idx="0">
                  <c:v> 2000-Q4 </c:v>
                </c:pt>
                <c:pt idx="1">
                  <c:v> 2001-Q1 </c:v>
                </c:pt>
                <c:pt idx="2">
                  <c:v> 2001-Q2 </c:v>
                </c:pt>
                <c:pt idx="3">
                  <c:v> 2001-Q3 </c:v>
                </c:pt>
                <c:pt idx="4">
                  <c:v> 2001-Q4 </c:v>
                </c:pt>
                <c:pt idx="5">
                  <c:v> 2002-Q1 </c:v>
                </c:pt>
                <c:pt idx="6">
                  <c:v> 2002-Q2 </c:v>
                </c:pt>
                <c:pt idx="7">
                  <c:v> 2002-Q3 </c:v>
                </c:pt>
                <c:pt idx="8">
                  <c:v> 2002-Q4 </c:v>
                </c:pt>
                <c:pt idx="9">
                  <c:v> 2003-Q1 </c:v>
                </c:pt>
                <c:pt idx="10">
                  <c:v> 2003-Q2 </c:v>
                </c:pt>
                <c:pt idx="11">
                  <c:v> 2003-Q3 </c:v>
                </c:pt>
                <c:pt idx="12">
                  <c:v> 2003-Q4 </c:v>
                </c:pt>
                <c:pt idx="13">
                  <c:v> 2004-Q1 </c:v>
                </c:pt>
                <c:pt idx="14">
                  <c:v> 2004-Q2 </c:v>
                </c:pt>
                <c:pt idx="15">
                  <c:v> 2004-Q3 </c:v>
                </c:pt>
                <c:pt idx="16">
                  <c:v> 2004-Q4 </c:v>
                </c:pt>
                <c:pt idx="17">
                  <c:v> 2005-Q1 </c:v>
                </c:pt>
                <c:pt idx="18">
                  <c:v> 2005-Q2 </c:v>
                </c:pt>
                <c:pt idx="19">
                  <c:v> 2005-Q3 </c:v>
                </c:pt>
                <c:pt idx="20">
                  <c:v> 2005-Q4 </c:v>
                </c:pt>
                <c:pt idx="21">
                  <c:v> 2006-Q1 </c:v>
                </c:pt>
                <c:pt idx="22">
                  <c:v> 2006-Q2 </c:v>
                </c:pt>
                <c:pt idx="23">
                  <c:v> 2006-Q3 </c:v>
                </c:pt>
                <c:pt idx="24">
                  <c:v> 2006-Q4 </c:v>
                </c:pt>
                <c:pt idx="25">
                  <c:v> 2007-Q1 </c:v>
                </c:pt>
                <c:pt idx="26">
                  <c:v> 2007-Q2 </c:v>
                </c:pt>
                <c:pt idx="27">
                  <c:v> 2007-Q3 </c:v>
                </c:pt>
                <c:pt idx="28">
                  <c:v> 2007-Q4 </c:v>
                </c:pt>
                <c:pt idx="29">
                  <c:v> 2008-Q1 </c:v>
                </c:pt>
                <c:pt idx="30">
                  <c:v> 2008-Q2 </c:v>
                </c:pt>
                <c:pt idx="31">
                  <c:v> 2008-Q3 </c:v>
                </c:pt>
                <c:pt idx="32">
                  <c:v> 2008-Q4 </c:v>
                </c:pt>
                <c:pt idx="33">
                  <c:v> 2009-Q1 </c:v>
                </c:pt>
                <c:pt idx="34">
                  <c:v> 2009-Q2 </c:v>
                </c:pt>
                <c:pt idx="35">
                  <c:v> 2009-Q3 </c:v>
                </c:pt>
                <c:pt idx="36">
                  <c:v> 2009-Q4 </c:v>
                </c:pt>
                <c:pt idx="37">
                  <c:v> 2010-Q1 </c:v>
                </c:pt>
                <c:pt idx="38">
                  <c:v> 2010-Q2 </c:v>
                </c:pt>
                <c:pt idx="39">
                  <c:v> 2010-Q3 </c:v>
                </c:pt>
                <c:pt idx="40">
                  <c:v> 2010-Q4 </c:v>
                </c:pt>
                <c:pt idx="41">
                  <c:v> 2011-Q1 </c:v>
                </c:pt>
                <c:pt idx="42">
                  <c:v> 2011-Q2 </c:v>
                </c:pt>
                <c:pt idx="43">
                  <c:v> 2011-Q3 </c:v>
                </c:pt>
                <c:pt idx="44">
                  <c:v> 2011-Q4 </c:v>
                </c:pt>
                <c:pt idx="45">
                  <c:v> 2012-Q1 </c:v>
                </c:pt>
                <c:pt idx="46">
                  <c:v> 2012-Q2 </c:v>
                </c:pt>
                <c:pt idx="47">
                  <c:v> 2012-Q3 </c:v>
                </c:pt>
                <c:pt idx="48">
                  <c:v> 2012-Q4 </c:v>
                </c:pt>
                <c:pt idx="49">
                  <c:v> 2013-Q1 </c:v>
                </c:pt>
                <c:pt idx="50">
                  <c:v> 2013-Q2 </c:v>
                </c:pt>
                <c:pt idx="51">
                  <c:v> 2013-Q3 </c:v>
                </c:pt>
                <c:pt idx="52">
                  <c:v> 2013-Q4 </c:v>
                </c:pt>
                <c:pt idx="53">
                  <c:v> 2014-Q1 </c:v>
                </c:pt>
                <c:pt idx="54">
                  <c:v> 2014-Q2 </c:v>
                </c:pt>
                <c:pt idx="55">
                  <c:v> 2014-Q3 </c:v>
                </c:pt>
                <c:pt idx="56">
                  <c:v> 2014-Q4 </c:v>
                </c:pt>
                <c:pt idx="57">
                  <c:v> 2015-Q1 </c:v>
                </c:pt>
                <c:pt idx="58">
                  <c:v> 2015-Q2 </c:v>
                </c:pt>
                <c:pt idx="59">
                  <c:v> 2015-Q3 </c:v>
                </c:pt>
                <c:pt idx="60">
                  <c:v> 2015-Q4 </c:v>
                </c:pt>
                <c:pt idx="61">
                  <c:v> 2016-Q1 </c:v>
                </c:pt>
                <c:pt idx="62">
                  <c:v> 2016-Q2 </c:v>
                </c:pt>
                <c:pt idx="63">
                  <c:v> 2016-Q3 </c:v>
                </c:pt>
                <c:pt idx="64">
                  <c:v> 2016-Q4 </c:v>
                </c:pt>
                <c:pt idx="65">
                  <c:v> 2017-Q1 </c:v>
                </c:pt>
                <c:pt idx="66">
                  <c:v> 2017-Q2 </c:v>
                </c:pt>
                <c:pt idx="67">
                  <c:v> 2017-Q3 </c:v>
                </c:pt>
                <c:pt idx="68">
                  <c:v> 2017-Q4 </c:v>
                </c:pt>
                <c:pt idx="69">
                  <c:v> 2018-Q1 </c:v>
                </c:pt>
                <c:pt idx="70">
                  <c:v> 2018-Q2 </c:v>
                </c:pt>
                <c:pt idx="71">
                  <c:v> 2018-Q3 </c:v>
                </c:pt>
                <c:pt idx="72">
                  <c:v> 2018-Q4 </c:v>
                </c:pt>
                <c:pt idx="73">
                  <c:v> 2019-Q1 </c:v>
                </c:pt>
                <c:pt idx="74">
                  <c:v> 2019-Q2 </c:v>
                </c:pt>
                <c:pt idx="75">
                  <c:v> 2019-Q3 </c:v>
                </c:pt>
                <c:pt idx="76">
                  <c:v> 2019-Q4 </c:v>
                </c:pt>
                <c:pt idx="77">
                  <c:v> 2020-Q1 </c:v>
                </c:pt>
                <c:pt idx="78">
                  <c:v> 2020-Q2 </c:v>
                </c:pt>
                <c:pt idx="79">
                  <c:v> 2020-Q3 </c:v>
                </c:pt>
                <c:pt idx="80">
                  <c:v> 2020-Q4 </c:v>
                </c:pt>
                <c:pt idx="81">
                  <c:v> 2021-Q1 </c:v>
                </c:pt>
                <c:pt idx="82">
                  <c:v> 2021-Q2 </c:v>
                </c:pt>
                <c:pt idx="83">
                  <c:v> 2021-Q3 </c:v>
                </c:pt>
                <c:pt idx="84">
                  <c:v> 2021-Q4 </c:v>
                </c:pt>
                <c:pt idx="85">
                  <c:v> 2022-Q1 </c:v>
                </c:pt>
                <c:pt idx="86">
                  <c:v> 2022-Q2 </c:v>
                </c:pt>
                <c:pt idx="87">
                  <c:v> 2022-Q3 </c:v>
                </c:pt>
                <c:pt idx="88">
                  <c:v> 2022-Q4 </c:v>
                </c:pt>
                <c:pt idx="89">
                  <c:v> 2023-Q1 </c:v>
                </c:pt>
                <c:pt idx="90">
                  <c:v> 2023-Q2 </c:v>
                </c:pt>
                <c:pt idx="91">
                  <c:v> 2023-Q3 </c:v>
                </c:pt>
                <c:pt idx="92">
                  <c:v> 2023-Q4 </c:v>
                </c:pt>
                <c:pt idx="93">
                  <c:v> 2024-Q1 </c:v>
                </c:pt>
                <c:pt idx="94">
                  <c:v> 2024-Q2 </c:v>
                </c:pt>
                <c:pt idx="95">
                  <c:v> 2024-Q3 </c:v>
                </c:pt>
                <c:pt idx="96">
                  <c:v> 2024-Q4 </c:v>
                </c:pt>
              </c:strCache>
            </c:strRef>
          </c:cat>
          <c:val>
            <c:numRef>
              <c:f>'XII. EEI Market Cap'!$D$22:$D$118</c:f>
              <c:numCache>
                <c:formatCode>_(* #,##0.0_);_(* \(#,##0.0\);_(* "-"_);_(@_)</c:formatCode>
                <c:ptCount val="97"/>
                <c:pt idx="0">
                  <c:v>327.80759999999998</c:v>
                </c:pt>
                <c:pt idx="1">
                  <c:v>319.48349999999999</c:v>
                </c:pt>
                <c:pt idx="2">
                  <c:v>317.54599999999999</c:v>
                </c:pt>
                <c:pt idx="3">
                  <c:v>291.03469999999999</c:v>
                </c:pt>
                <c:pt idx="4">
                  <c:v>300.19970000000001</c:v>
                </c:pt>
                <c:pt idx="5">
                  <c:v>317.66770000000002</c:v>
                </c:pt>
                <c:pt idx="6">
                  <c:v>292.23779999999999</c:v>
                </c:pt>
                <c:pt idx="7">
                  <c:v>238.33070000000001</c:v>
                </c:pt>
                <c:pt idx="8">
                  <c:v>249.55260000000001</c:v>
                </c:pt>
                <c:pt idx="9">
                  <c:v>240.5977</c:v>
                </c:pt>
                <c:pt idx="10">
                  <c:v>289.45400000000001</c:v>
                </c:pt>
                <c:pt idx="11">
                  <c:v>288.07299999999998</c:v>
                </c:pt>
                <c:pt idx="12">
                  <c:v>314.3236</c:v>
                </c:pt>
                <c:pt idx="13">
                  <c:v>329.60122019444987</c:v>
                </c:pt>
                <c:pt idx="14">
                  <c:v>323.19265701436007</c:v>
                </c:pt>
                <c:pt idx="15">
                  <c:v>342.45984326309008</c:v>
                </c:pt>
                <c:pt idx="16">
                  <c:v>380.30504999999999</c:v>
                </c:pt>
                <c:pt idx="17">
                  <c:v>395.66262093468993</c:v>
                </c:pt>
                <c:pt idx="18">
                  <c:v>425.98933684204985</c:v>
                </c:pt>
                <c:pt idx="19">
                  <c:v>454.72691181868981</c:v>
                </c:pt>
                <c:pt idx="20">
                  <c:v>428.8246435670701</c:v>
                </c:pt>
                <c:pt idx="21">
                  <c:v>422.89912853534014</c:v>
                </c:pt>
                <c:pt idx="22">
                  <c:v>432.84842539027011</c:v>
                </c:pt>
                <c:pt idx="23">
                  <c:v>464.28136085105979</c:v>
                </c:pt>
                <c:pt idx="24">
                  <c:v>503.85810332096997</c:v>
                </c:pt>
                <c:pt idx="25">
                  <c:v>525.08842571174989</c:v>
                </c:pt>
                <c:pt idx="26">
                  <c:v>515.56500000000005</c:v>
                </c:pt>
                <c:pt idx="27">
                  <c:v>514.94639532535007</c:v>
                </c:pt>
                <c:pt idx="28">
                  <c:v>514.48599349637004</c:v>
                </c:pt>
                <c:pt idx="29">
                  <c:v>456.71113444769986</c:v>
                </c:pt>
                <c:pt idx="30">
                  <c:v>482.02426450020994</c:v>
                </c:pt>
                <c:pt idx="31">
                  <c:v>404.47156037237988</c:v>
                </c:pt>
                <c:pt idx="32">
                  <c:v>361.92098126997985</c:v>
                </c:pt>
                <c:pt idx="33">
                  <c:v>316.06977204999998</c:v>
                </c:pt>
                <c:pt idx="34">
                  <c:v>343.84449533299988</c:v>
                </c:pt>
                <c:pt idx="35">
                  <c:v>363.18548616191003</c:v>
                </c:pt>
                <c:pt idx="36">
                  <c:v>389.67151094029992</c:v>
                </c:pt>
                <c:pt idx="37">
                  <c:v>377.28094793894985</c:v>
                </c:pt>
                <c:pt idx="38">
                  <c:v>360.04369155345995</c:v>
                </c:pt>
                <c:pt idx="39">
                  <c:v>402.01386640883999</c:v>
                </c:pt>
                <c:pt idx="40">
                  <c:v>407.2745321821601</c:v>
                </c:pt>
                <c:pt idx="41">
                  <c:v>411.16350945867993</c:v>
                </c:pt>
                <c:pt idx="42">
                  <c:v>433.23563623772998</c:v>
                </c:pt>
                <c:pt idx="43">
                  <c:v>442.35213418901986</c:v>
                </c:pt>
                <c:pt idx="44">
                  <c:v>471.63482986866001</c:v>
                </c:pt>
                <c:pt idx="45">
                  <c:v>450.59740062660018</c:v>
                </c:pt>
                <c:pt idx="46">
                  <c:v>475.08341590257317</c:v>
                </c:pt>
                <c:pt idx="47">
                  <c:v>479.53989036317</c:v>
                </c:pt>
                <c:pt idx="48">
                  <c:v>463.91586649211013</c:v>
                </c:pt>
                <c:pt idx="49">
                  <c:v>507.16305109525001</c:v>
                </c:pt>
                <c:pt idx="50">
                  <c:v>505.09149956703988</c:v>
                </c:pt>
                <c:pt idx="51">
                  <c:v>499.77648118901004</c:v>
                </c:pt>
                <c:pt idx="52">
                  <c:v>504.36452230437999</c:v>
                </c:pt>
                <c:pt idx="53">
                  <c:v>548.00635600041994</c:v>
                </c:pt>
                <c:pt idx="54">
                  <c:v>587.73478540314989</c:v>
                </c:pt>
                <c:pt idx="55">
                  <c:v>557.47248832412004</c:v>
                </c:pt>
                <c:pt idx="56">
                  <c:v>632.18549245675968</c:v>
                </c:pt>
                <c:pt idx="57">
                  <c:v>596.85132125075984</c:v>
                </c:pt>
                <c:pt idx="58">
                  <c:v>549.16410636400985</c:v>
                </c:pt>
                <c:pt idx="59">
                  <c:v>568.2503335737099</c:v>
                </c:pt>
                <c:pt idx="60">
                  <c:v>576.8189467972901</c:v>
                </c:pt>
                <c:pt idx="61">
                  <c:v>662.57410528503033</c:v>
                </c:pt>
                <c:pt idx="62">
                  <c:v>706.36649706886021</c:v>
                </c:pt>
                <c:pt idx="63">
                  <c:v>658.72837961059679</c:v>
                </c:pt>
                <c:pt idx="64">
                  <c:v>659.84541104898005</c:v>
                </c:pt>
                <c:pt idx="65">
                  <c:v>690.20538069674012</c:v>
                </c:pt>
                <c:pt idx="66">
                  <c:v>708.3291681707102</c:v>
                </c:pt>
                <c:pt idx="67">
                  <c:v>722.42290231951017</c:v>
                </c:pt>
                <c:pt idx="68">
                  <c:v>720.42704633623021</c:v>
                </c:pt>
                <c:pt idx="69">
                  <c:v>692.2823331615798</c:v>
                </c:pt>
                <c:pt idx="70">
                  <c:v>716.34984834647025</c:v>
                </c:pt>
                <c:pt idx="71">
                  <c:v>724.76568537327023</c:v>
                </c:pt>
                <c:pt idx="72">
                  <c:v>731.31277571297994</c:v>
                </c:pt>
                <c:pt idx="73">
                  <c:v>790.29084938115</c:v>
                </c:pt>
                <c:pt idx="74">
                  <c:v>838.25604277361026</c:v>
                </c:pt>
                <c:pt idx="75">
                  <c:v>902.42812045604001</c:v>
                </c:pt>
                <c:pt idx="76">
                  <c:v>905.00872347773009</c:v>
                </c:pt>
                <c:pt idx="77">
                  <c:v>773.53561783613998</c:v>
                </c:pt>
                <c:pt idx="78">
                  <c:v>792.34884574573971</c:v>
                </c:pt>
                <c:pt idx="79">
                  <c:v>829.76361905296005</c:v>
                </c:pt>
                <c:pt idx="80">
                  <c:v>894.49031166527982</c:v>
                </c:pt>
                <c:pt idx="81">
                  <c:v>904.45381443917017</c:v>
                </c:pt>
                <c:pt idx="82">
                  <c:v>906.53879407432999</c:v>
                </c:pt>
                <c:pt idx="83">
                  <c:v>912.71653530721005</c:v>
                </c:pt>
                <c:pt idx="84">
                  <c:v>1028.4802681685701</c:v>
                </c:pt>
                <c:pt idx="85">
                  <c:v>1047.4590771702296</c:v>
                </c:pt>
                <c:pt idx="86">
                  <c:v>995.05792523380012</c:v>
                </c:pt>
                <c:pt idx="87">
                  <c:v>924.08692276392003</c:v>
                </c:pt>
                <c:pt idx="88">
                  <c:v>999.9041496502997</c:v>
                </c:pt>
                <c:pt idx="89">
                  <c:v>961.97749834058027</c:v>
                </c:pt>
                <c:pt idx="90">
                  <c:v>930.91428293016975</c:v>
                </c:pt>
                <c:pt idx="91">
                  <c:v>828.70449417999976</c:v>
                </c:pt>
                <c:pt idx="92">
                  <c:v>890.00258069833046</c:v>
                </c:pt>
                <c:pt idx="93">
                  <c:v>905.59847632000003</c:v>
                </c:pt>
                <c:pt idx="94">
                  <c:v>935.07368079796026</c:v>
                </c:pt>
                <c:pt idx="95">
                  <c:v>1092.9447843757105</c:v>
                </c:pt>
                <c:pt idx="96">
                  <c:v>1017.1793413862599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D-4FA5-BD3A-094AC4D6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6479616"/>
        <c:axId val="256481152"/>
      </c:barChart>
      <c:catAx>
        <c:axId val="25647961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564811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56481152"/>
        <c:scaling>
          <c:orientation val="minMax"/>
          <c:max val="1100"/>
          <c:min val="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 b="1"/>
                </a:pPr>
                <a:r>
                  <a:rPr lang="en-US" sz="800" b="1"/>
                  <a:t>$ Billions</a:t>
                </a:r>
              </a:p>
            </c:rich>
          </c:tx>
          <c:layout>
            <c:manualLayout>
              <c:xMode val="edge"/>
              <c:yMode val="edge"/>
              <c:x val="1.2507115268331795E-2"/>
              <c:y val="6.3663487216481601E-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47961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ranklin Gothic Book"/>
          <a:ea typeface="Franklin Gothic Book"/>
          <a:cs typeface="Franklin Gothic Book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7540263543194E-2"/>
          <c:y val="0.16000024038497654"/>
          <c:w val="0.93118594436310465"/>
          <c:h val="0.64923174463903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'XIII. Comp Category Return'!$B$33</c:f>
              <c:strCache>
                <c:ptCount val="1"/>
                <c:pt idx="0">
                  <c:v>EEI Index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Return'!$E$32:$J$32</c15:sqref>
                  </c15:fullRef>
                </c:ext>
              </c:extLst>
              <c:f>'XIII. Comp Category Return'!$F$32:$J$32</c:f>
              <c:numCache>
                <c:formatCode>m/d/yyyy</c:formatCode>
                <c:ptCount val="5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Return'!$E$34:$J$34</c15:sqref>
                  </c15:fullRef>
                </c:ext>
              </c:extLst>
              <c:f>'XIII. Comp Category Return'!$F$34:$J$34</c:f>
              <c:numCache>
                <c:formatCode>_(* #,##0.00_);_(* \(#,##0.00\);_(* "-"??_);_(@_)</c:formatCode>
                <c:ptCount val="5"/>
                <c:pt idx="0">
                  <c:v>91.925064150409469</c:v>
                </c:pt>
                <c:pt idx="1">
                  <c:v>108.11989325141627</c:v>
                </c:pt>
                <c:pt idx="2">
                  <c:v>111.08231927089314</c:v>
                </c:pt>
                <c:pt idx="3">
                  <c:v>104.08413315682688</c:v>
                </c:pt>
                <c:pt idx="4">
                  <c:v>122.72752053374109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A3B-9743-8D4E727FCBE8}"/>
            </c:ext>
          </c:extLst>
        </c:ser>
        <c:ser>
          <c:idx val="1"/>
          <c:order val="1"/>
          <c:tx>
            <c:strRef>
              <c:f>'XIII. Comp Category Return'!$B$35</c:f>
              <c:strCache>
                <c:ptCount val="1"/>
                <c:pt idx="0">
                  <c:v>Regulated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Return'!$E$32:$J$32</c15:sqref>
                  </c15:fullRef>
                </c:ext>
              </c:extLst>
              <c:f>'XIII. Comp Category Return'!$F$32:$J$32</c:f>
              <c:numCache>
                <c:formatCode>m/d/yyyy</c:formatCode>
                <c:ptCount val="5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Return'!$E$36:$J$36</c15:sqref>
                  </c15:fullRef>
                </c:ext>
              </c:extLst>
              <c:f>'XIII. Comp Category Return'!$F$36:$J$36</c:f>
              <c:numCache>
                <c:formatCode>_(* #,##0.00_);_(* \(#,##0.00\);_(* "-"??_);_(@_)</c:formatCode>
                <c:ptCount val="5"/>
                <c:pt idx="0">
                  <c:v>90.986242461374232</c:v>
                </c:pt>
                <c:pt idx="1">
                  <c:v>106.20019171238485</c:v>
                </c:pt>
                <c:pt idx="2">
                  <c:v>110.01273231615934</c:v>
                </c:pt>
                <c:pt idx="3">
                  <c:v>105.70320355313844</c:v>
                </c:pt>
                <c:pt idx="4">
                  <c:v>125.51352675098651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0-4A3B-9743-8D4E727FCBE8}"/>
            </c:ext>
          </c:extLst>
        </c:ser>
        <c:ser>
          <c:idx val="2"/>
          <c:order val="2"/>
          <c:tx>
            <c:strRef>
              <c:f>'XIII. Comp Category Return'!$B$37</c:f>
              <c:strCache>
                <c:ptCount val="1"/>
                <c:pt idx="0">
                  <c:v>Mostly Regulated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Return'!$E$32:$J$32</c15:sqref>
                  </c15:fullRef>
                </c:ext>
              </c:extLst>
              <c:f>'XIII. Comp Category Return'!$F$32:$J$32</c:f>
              <c:numCache>
                <c:formatCode>m/d/yyyy</c:formatCode>
                <c:ptCount val="5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'XIII. Comp Category Return'!$E$38:$J$38</c15:sqref>
                  </c15:fullRef>
                </c:ext>
              </c:extLst>
              <c:f>'XIII. Comp Category Return'!$F$38:$J$38</c:f>
              <c:numCache>
                <c:formatCode>_(* #,##0.00_);_(* \(#,##0.00\);_(* "-"??_);_(@_)</c:formatCode>
                <c:ptCount val="5"/>
                <c:pt idx="0">
                  <c:v>95.054469780526887</c:v>
                </c:pt>
                <c:pt idx="1">
                  <c:v>115.10191032166813</c:v>
                </c:pt>
                <c:pt idx="2">
                  <c:v>113.78305031334273</c:v>
                </c:pt>
                <c:pt idx="3">
                  <c:v>88.180271030136225</c:v>
                </c:pt>
                <c:pt idx="4">
                  <c:v>99.146704315758569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0-4A3B-9743-8D4E727FC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701952"/>
        <c:axId val="256703488"/>
        <c:extLst/>
      </c:barChart>
      <c:catAx>
        <c:axId val="256701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70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703488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701952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96613853273619"/>
          <c:y val="0.90657440056915262"/>
          <c:w val="0.69072465997426691"/>
          <c:h val="6.653484787316034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anklin Gothic Book"/>
          <a:ea typeface="Franklin Gothic Book"/>
          <a:cs typeface="Franklin Gothic Book"/>
        </a:defRPr>
      </a:pPr>
      <a:endParaRPr lang="en-US"/>
    </a:p>
  </c:txPr>
  <c:printSettings>
    <c:headerFooter alignWithMargins="0"/>
    <c:pageMargins b="1" l="0.75000000000000488" r="0.75000000000000488" t="1" header="0.5" footer="0.5"/>
    <c:pageSetup orientation="landscape" horizontalDpi="12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29B9C8C-61CA-4C03-9748-4CEEDDA7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57150</xdr:rowOff>
    </xdr:from>
    <xdr:to>
      <xdr:col>4</xdr:col>
      <xdr:colOff>514350</xdr:colOff>
      <xdr:row>17</xdr:row>
      <xdr:rowOff>38100</xdr:rowOff>
    </xdr:to>
    <xdr:graphicFrame macro="">
      <xdr:nvGraphicFramePr>
        <xdr:cNvPr id="19504" name="Chart 1">
          <a:extLst>
            <a:ext uri="{FF2B5EF4-FFF2-40B4-BE49-F238E27FC236}">
              <a16:creationId xmlns:a16="http://schemas.microsoft.com/office/drawing/2014/main" id="{00000000-0008-0000-0400-000030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3</xdr:row>
      <xdr:rowOff>71967</xdr:rowOff>
    </xdr:from>
    <xdr:to>
      <xdr:col>14</xdr:col>
      <xdr:colOff>104775</xdr:colOff>
      <xdr:row>19</xdr:row>
      <xdr:rowOff>84667</xdr:rowOff>
    </xdr:to>
    <xdr:graphicFrame macro="">
      <xdr:nvGraphicFramePr>
        <xdr:cNvPr id="21552" name="Chart 1">
          <a:extLst>
            <a:ext uri="{FF2B5EF4-FFF2-40B4-BE49-F238E27FC236}">
              <a16:creationId xmlns:a16="http://schemas.microsoft.com/office/drawing/2014/main" id="{00000000-0008-0000-0500-000030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</xdr:row>
      <xdr:rowOff>26893</xdr:rowOff>
    </xdr:from>
    <xdr:to>
      <xdr:col>16</xdr:col>
      <xdr:colOff>114300</xdr:colOff>
      <xdr:row>20</xdr:row>
      <xdr:rowOff>122144</xdr:rowOff>
    </xdr:to>
    <xdr:graphicFrame macro="">
      <xdr:nvGraphicFramePr>
        <xdr:cNvPr id="23600" name="Chart 5">
          <a:extLst>
            <a:ext uri="{FF2B5EF4-FFF2-40B4-BE49-F238E27FC236}">
              <a16:creationId xmlns:a16="http://schemas.microsoft.com/office/drawing/2014/main" id="{00000000-0008-0000-0600-000030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50806</xdr:rowOff>
    </xdr:from>
    <xdr:to>
      <xdr:col>18</xdr:col>
      <xdr:colOff>38100</xdr:colOff>
      <xdr:row>52</xdr:row>
      <xdr:rowOff>92075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78269</xdr:colOff>
      <xdr:row>2</xdr:row>
      <xdr:rowOff>82411</xdr:rowOff>
    </xdr:from>
    <xdr:to>
      <xdr:col>13</xdr:col>
      <xdr:colOff>286370</xdr:colOff>
      <xdr:row>15</xdr:row>
      <xdr:rowOff>200025</xdr:rowOff>
    </xdr:to>
    <xdr:graphicFrame macro="">
      <xdr:nvGraphicFramePr>
        <xdr:cNvPr id="25648" name="Chart 3">
          <a:extLst>
            <a:ext uri="{FF2B5EF4-FFF2-40B4-BE49-F238E27FC236}">
              <a16:creationId xmlns:a16="http://schemas.microsoft.com/office/drawing/2014/main" id="{00000000-0008-0000-0C00-000030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964406</xdr:colOff>
      <xdr:row>7</xdr:row>
      <xdr:rowOff>130968</xdr:rowOff>
    </xdr:from>
    <xdr:to>
      <xdr:col>8</xdr:col>
      <xdr:colOff>195262</xdr:colOff>
      <xdr:row>25</xdr:row>
      <xdr:rowOff>50006</xdr:rowOff>
    </xdr:to>
    <xdr:graphicFrame macro="">
      <xdr:nvGraphicFramePr>
        <xdr:cNvPr id="27697" name="Chart 1">
          <a:extLst>
            <a:ext uri="{FF2B5EF4-FFF2-40B4-BE49-F238E27FC236}">
              <a16:creationId xmlns:a16="http://schemas.microsoft.com/office/drawing/2014/main" id="{00000000-0008-0000-0D00-00003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0.0758</cdr:x>
      <cdr:y>0.87293</cdr:y>
    </cdr:from>
    <cdr:to>
      <cdr:x>0.0758</cdr:x>
      <cdr:y>0.87293</cdr:y>
    </cdr:to>
    <cdr:sp macro="" textlink="">
      <cdr:nvSpPr>
        <cdr:cNvPr id="2662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239" y="26588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0.06373</cdr:x>
      <cdr:y>0.01582</cdr:y>
    </cdr:from>
    <cdr:to>
      <cdr:x>0.06373</cdr:x>
      <cdr:y>0.01582</cdr:y>
    </cdr:to>
    <cdr:sp macro="" textlink="">
      <cdr:nvSpPr>
        <cdr:cNvPr id="26626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596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Franklin Gothic Book"/>
            </a:rPr>
            <a:t>Dollars</a:t>
          </a:r>
        </a:p>
      </cdr:txBody>
    </cdr:sp>
  </cdr:relSizeAnchor>
  <cdr:relSizeAnchor xmlns:cdr="http://schemas.openxmlformats.org/drawingml/2006/chartDrawing">
    <cdr:from>
      <cdr:x>0.19429</cdr:x>
      <cdr:y>0.87293</cdr:y>
    </cdr:from>
    <cdr:to>
      <cdr:x>0.19429</cdr:x>
      <cdr:y>0.87293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016" y="26588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Franklin Gothic Book"/>
            </a:rPr>
            <a:t> * All returns are annual except for 2005, which reflects 9 months ending 9/30/05. </a:t>
          </a:r>
        </a:p>
        <a:p xmlns:a="http://schemas.openxmlformats.org/drawingml/2006/main"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Franklin Gothic Book"/>
            </a:rPr>
            <a:t>    Note:  All returns assume $100 invested at closing prices on December 31, 1999.</a:t>
          </a:r>
        </a:p>
        <a:p xmlns:a="http://schemas.openxmlformats.org/drawingml/2006/main"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Franklin Gothic Book"/>
          </a:endParaRPr>
        </a:p>
        <a:p xmlns:a="http://schemas.openxmlformats.org/drawingml/2006/main"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Franklin Gothic Book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Credit_Ratings.xlsx" TargetMode="External"/><Relationship Id="rId1" Type="http://schemas.openxmlformats.org/officeDocument/2006/relationships/externalLinkPath" Target="2024_Q4_Credit_Ratin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Dividends.xlsx" TargetMode="External"/><Relationship Id="rId1" Type="http://schemas.openxmlformats.org/officeDocument/2006/relationships/externalLinkPath" Target="2024_Q4_Divid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CR"/>
      <sheetName val="Company List"/>
      <sheetName val="I. S&amp;P Ratings Distribution"/>
      <sheetName val="II. Upgrades &amp; Downgrades"/>
      <sheetName val="III. Total Ratings Actions"/>
      <sheetName val="IV. Direction Ratings Actions"/>
      <sheetName val="V. S&amp;P Ratings by Category"/>
      <sheetName val="VI. Credit Ratings Scales"/>
      <sheetName val="S&amp;P Scale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C6" t="str">
            <v>2024</v>
          </cell>
          <cell r="F6">
            <v>45657</v>
          </cell>
          <cell r="I6" t="str">
            <v>Q4</v>
          </cell>
        </row>
        <row r="7">
          <cell r="C7">
            <v>45291</v>
          </cell>
          <cell r="I7" t="str">
            <v>2024 Q4</v>
          </cell>
        </row>
        <row r="9">
          <cell r="I9" t="str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DV"/>
      <sheetName val="Company List"/>
      <sheetName val="I. Sector Payout Ratio"/>
      <sheetName val="II. Sector Yield"/>
      <sheetName val="III. Dividend Patterns"/>
      <sheetName val="IV. Category Payout Ratio"/>
      <sheetName val="V. Category Yield"/>
      <sheetName val="VI. Dividend Summary"/>
      <sheetName val="VII. Free Cash Flow "/>
      <sheetName val="SPDR Payout"/>
      <sheetName val="SPDR Yield"/>
      <sheetName val="Patterns Worksheet"/>
      <sheetName val="Settings"/>
      <sheetName val="E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C6" t="str">
            <v>2024</v>
          </cell>
        </row>
        <row r="7">
          <cell r="F7">
            <v>45565</v>
          </cell>
        </row>
        <row r="9">
          <cell r="F9" t="str">
            <v>Yes</v>
          </cell>
        </row>
        <row r="11">
          <cell r="I11" t="str">
            <v>2024 Q1</v>
          </cell>
        </row>
        <row r="12">
          <cell r="I12" t="str">
            <v>2024 Q2</v>
          </cell>
        </row>
        <row r="13">
          <cell r="I13" t="str">
            <v>2024 Q3</v>
          </cell>
        </row>
        <row r="14">
          <cell r="I14" t="str">
            <v>2024 Q4</v>
          </cell>
        </row>
        <row r="16">
          <cell r="I16">
            <v>45565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federalreserve.gov/datadownload/Output.aspx?rel=H15&amp;series=0809abf197c17f1ff0b2180fe7015cc3&amp;lastObs=&amp;from=&amp;to=&amp;filetype=csv&amp;label=include&amp;layout=seriescolum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federalreserve.gov/datadownload/Output.aspx?rel=H15&amp;series=bcb44e57fb57efbe90002369321bfb3f&amp;lastObs=&amp;from=&amp;to=&amp;filetype=csv&amp;label=include&amp;layout=seriescolu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5ED1-8723-41FF-9B4F-399D49437EBD}">
  <sheetPr>
    <tabColor rgb="FF345680"/>
  </sheetPr>
  <dimension ref="A1:D75"/>
  <sheetViews>
    <sheetView showGridLines="0" tabSelected="1" workbookViewId="0"/>
  </sheetViews>
  <sheetFormatPr defaultColWidth="0" defaultRowHeight="11.1" customHeight="1" zeroHeight="1"/>
  <cols>
    <col min="1" max="2" width="4.7109375" style="629" customWidth="1"/>
    <col min="3" max="3" width="12.7109375" style="629" customWidth="1"/>
    <col min="4" max="4" width="58.7109375" style="629" customWidth="1"/>
    <col min="5" max="16384" width="9.140625" style="629" hidden="1"/>
  </cols>
  <sheetData>
    <row r="1" spans="1:4" ht="11.1" customHeight="1">
      <c r="A1" s="628"/>
      <c r="B1" s="628"/>
      <c r="C1" s="628"/>
      <c r="D1" s="628"/>
    </row>
    <row r="2" spans="1:4" ht="11.1" customHeight="1"/>
    <row r="3" spans="1:4" ht="11.1" customHeight="1"/>
    <row r="4" spans="1:4" ht="11.1" customHeight="1">
      <c r="D4" s="630" t="s">
        <v>665</v>
      </c>
    </row>
    <row r="5" spans="1:4" ht="11.1" customHeight="1">
      <c r="D5" s="630"/>
    </row>
    <row r="6" spans="1:4" ht="11.1" customHeight="1">
      <c r="D6" s="630"/>
    </row>
    <row r="7" spans="1:4" ht="11.1" customHeight="1">
      <c r="D7" s="631" t="s">
        <v>518</v>
      </c>
    </row>
    <row r="8" spans="1:4" ht="11.1" customHeight="1"/>
    <row r="9" spans="1:4" ht="11.1" customHeight="1"/>
    <row r="10" spans="1:4" ht="11.1" customHeight="1">
      <c r="A10" s="628"/>
      <c r="B10" s="628"/>
      <c r="C10" s="628"/>
      <c r="D10" s="628"/>
    </row>
    <row r="11" spans="1:4" ht="11.1" customHeight="1">
      <c r="A11" s="632"/>
      <c r="B11" s="633" t="s">
        <v>296</v>
      </c>
      <c r="C11" s="633"/>
      <c r="D11" s="633"/>
    </row>
    <row r="12" spans="1:4" ht="11.1" customHeight="1">
      <c r="A12" s="634"/>
      <c r="B12" s="635"/>
      <c r="C12" s="635"/>
      <c r="D12" s="635"/>
    </row>
    <row r="13" spans="1:4" ht="11.1" customHeight="1">
      <c r="A13" s="628"/>
      <c r="B13" s="628"/>
      <c r="C13" s="628"/>
      <c r="D13" s="628"/>
    </row>
    <row r="14" spans="1:4" ht="11.1" customHeight="1">
      <c r="A14" s="628"/>
      <c r="B14" s="636" t="s">
        <v>303</v>
      </c>
      <c r="C14" s="649" t="s">
        <v>193</v>
      </c>
      <c r="D14" s="649"/>
    </row>
    <row r="15" spans="1:4" ht="11.1" customHeight="1">
      <c r="A15" s="628"/>
      <c r="B15" s="636" t="s">
        <v>304</v>
      </c>
      <c r="C15" s="649" t="s">
        <v>0</v>
      </c>
      <c r="D15" s="649"/>
    </row>
    <row r="16" spans="1:4" ht="11.1" customHeight="1">
      <c r="A16" s="628"/>
      <c r="B16" s="636" t="s">
        <v>305</v>
      </c>
      <c r="C16" s="649" t="s">
        <v>344</v>
      </c>
      <c r="D16" s="649"/>
    </row>
    <row r="17" spans="1:4" ht="11.1" customHeight="1">
      <c r="A17" s="628"/>
      <c r="B17" s="636" t="s">
        <v>306</v>
      </c>
      <c r="C17" s="649" t="s">
        <v>345</v>
      </c>
      <c r="D17" s="649"/>
    </row>
    <row r="18" spans="1:4" ht="11.1" customHeight="1">
      <c r="A18" s="628"/>
      <c r="B18" s="636" t="s">
        <v>307</v>
      </c>
      <c r="C18" s="649" t="s">
        <v>323</v>
      </c>
      <c r="D18" s="649"/>
    </row>
    <row r="19" spans="1:4" ht="11.1" customHeight="1">
      <c r="A19" s="628"/>
      <c r="B19" s="636" t="s">
        <v>308</v>
      </c>
      <c r="C19" s="649" t="s">
        <v>309</v>
      </c>
      <c r="D19" s="649"/>
    </row>
    <row r="20" spans="1:4" ht="11.1" customHeight="1">
      <c r="A20" s="628"/>
      <c r="B20" s="636" t="s">
        <v>310</v>
      </c>
      <c r="C20" s="649" t="s">
        <v>311</v>
      </c>
      <c r="D20" s="649"/>
    </row>
    <row r="21" spans="1:4" ht="11.1" customHeight="1">
      <c r="A21" s="628"/>
      <c r="B21" s="636" t="s">
        <v>312</v>
      </c>
      <c r="C21" s="649" t="s">
        <v>313</v>
      </c>
      <c r="D21" s="649"/>
    </row>
    <row r="22" spans="1:4" ht="11.1" customHeight="1">
      <c r="A22" s="628"/>
      <c r="B22" s="636" t="s">
        <v>638</v>
      </c>
      <c r="C22" s="649" t="s">
        <v>321</v>
      </c>
      <c r="D22" s="649"/>
    </row>
    <row r="23" spans="1:4" ht="11.1" customHeight="1">
      <c r="A23" s="628"/>
      <c r="B23" s="636" t="s">
        <v>314</v>
      </c>
      <c r="C23" s="649" t="s">
        <v>315</v>
      </c>
      <c r="D23" s="649"/>
    </row>
    <row r="24" spans="1:4" ht="11.1" customHeight="1">
      <c r="A24" s="628"/>
      <c r="B24" s="636" t="s">
        <v>316</v>
      </c>
      <c r="C24" s="649" t="s">
        <v>317</v>
      </c>
      <c r="D24" s="649"/>
    </row>
    <row r="25" spans="1:4" ht="11.1" customHeight="1">
      <c r="A25" s="628"/>
      <c r="B25" s="636" t="s">
        <v>318</v>
      </c>
      <c r="C25" s="649" t="s">
        <v>324</v>
      </c>
      <c r="D25" s="649"/>
    </row>
    <row r="26" spans="1:4" ht="11.1" customHeight="1">
      <c r="A26" s="628"/>
      <c r="B26" s="636" t="s">
        <v>319</v>
      </c>
      <c r="C26" s="649" t="s">
        <v>320</v>
      </c>
      <c r="D26" s="649"/>
    </row>
    <row r="27" spans="1:4" ht="11.1" customHeight="1">
      <c r="A27" s="628"/>
      <c r="B27" s="628"/>
      <c r="C27" s="628"/>
      <c r="D27" s="628"/>
    </row>
    <row r="28" spans="1:4" ht="11.1" customHeight="1">
      <c r="A28" s="632"/>
      <c r="B28" s="633" t="s">
        <v>297</v>
      </c>
      <c r="C28" s="633"/>
      <c r="D28" s="633"/>
    </row>
    <row r="29" spans="1:4" ht="11.1" customHeight="1">
      <c r="A29" s="634"/>
      <c r="B29" s="635"/>
      <c r="C29" s="635"/>
      <c r="D29" s="635"/>
    </row>
    <row r="30" spans="1:4" ht="11.1" customHeight="1">
      <c r="A30" s="628"/>
      <c r="B30" s="628"/>
      <c r="C30" s="628"/>
      <c r="D30" s="628"/>
    </row>
    <row r="31" spans="1:4" ht="11.1" customHeight="1">
      <c r="A31" s="628"/>
      <c r="B31" s="637" t="s">
        <v>298</v>
      </c>
      <c r="C31" s="637"/>
      <c r="D31" s="637"/>
    </row>
    <row r="32" spans="1:4" ht="11.1" customHeight="1">
      <c r="A32" s="628"/>
      <c r="B32" s="638" t="s">
        <v>666</v>
      </c>
      <c r="C32" s="638"/>
      <c r="D32" s="638"/>
    </row>
    <row r="33" spans="1:4" ht="11.1" customHeight="1">
      <c r="A33" s="628"/>
      <c r="B33" s="638" t="s">
        <v>299</v>
      </c>
      <c r="C33" s="638"/>
      <c r="D33" s="638"/>
    </row>
    <row r="34" spans="1:4" ht="11.1" customHeight="1">
      <c r="A34" s="628"/>
      <c r="B34" s="638" t="s">
        <v>300</v>
      </c>
      <c r="C34" s="638"/>
      <c r="D34" s="638"/>
    </row>
    <row r="35" spans="1:4" ht="11.1" customHeight="1">
      <c r="A35" s="628"/>
      <c r="B35" s="639"/>
      <c r="C35" s="628"/>
      <c r="D35" s="628"/>
    </row>
    <row r="36" spans="1:4" ht="11.1" customHeight="1">
      <c r="A36" s="628"/>
      <c r="B36" s="637" t="s">
        <v>590</v>
      </c>
      <c r="C36" s="637"/>
      <c r="D36" s="637"/>
    </row>
    <row r="37" spans="1:4" ht="11.1" customHeight="1">
      <c r="A37" s="628"/>
      <c r="B37" s="638" t="s">
        <v>578</v>
      </c>
      <c r="C37" s="638"/>
      <c r="D37" s="638"/>
    </row>
    <row r="38" spans="1:4" ht="11.1" customHeight="1">
      <c r="A38" s="628"/>
      <c r="B38" s="638" t="s">
        <v>591</v>
      </c>
      <c r="C38" s="638"/>
      <c r="D38" s="638"/>
    </row>
    <row r="39" spans="1:4" ht="11.1" customHeight="1">
      <c r="A39" s="628"/>
      <c r="B39" s="638" t="s">
        <v>589</v>
      </c>
      <c r="C39" s="638"/>
      <c r="D39" s="638"/>
    </row>
    <row r="40" spans="1:4" ht="11.1" customHeight="1">
      <c r="A40" s="628"/>
      <c r="B40" s="639"/>
      <c r="C40" s="628"/>
      <c r="D40" s="628"/>
    </row>
    <row r="41" spans="1:4" ht="11.1" customHeight="1">
      <c r="A41" s="628"/>
      <c r="B41" s="637" t="s">
        <v>618</v>
      </c>
      <c r="C41" s="637"/>
      <c r="D41" s="637"/>
    </row>
    <row r="42" spans="1:4" ht="11.1" customHeight="1">
      <c r="A42" s="628"/>
      <c r="B42" s="638" t="s">
        <v>619</v>
      </c>
      <c r="C42" s="638"/>
      <c r="D42" s="638"/>
    </row>
    <row r="43" spans="1:4" ht="11.1" customHeight="1">
      <c r="A43" s="628"/>
      <c r="B43" s="638" t="s">
        <v>620</v>
      </c>
      <c r="C43" s="638"/>
      <c r="D43" s="638"/>
    </row>
    <row r="44" spans="1:4" ht="11.1" customHeight="1">
      <c r="A44" s="628"/>
      <c r="B44" s="638" t="s">
        <v>621</v>
      </c>
      <c r="C44" s="638"/>
      <c r="D44" s="638"/>
    </row>
    <row r="45" spans="1:4" ht="11.1" customHeight="1">
      <c r="A45" s="628"/>
      <c r="B45" s="628"/>
      <c r="C45" s="628"/>
      <c r="D45" s="628"/>
    </row>
    <row r="46" spans="1:4" ht="11.1" customHeight="1">
      <c r="A46" s="632"/>
      <c r="B46" s="633" t="s">
        <v>301</v>
      </c>
      <c r="C46" s="633"/>
      <c r="D46" s="633"/>
    </row>
    <row r="47" spans="1:4" ht="11.1" customHeight="1">
      <c r="A47" s="634"/>
      <c r="B47" s="635"/>
      <c r="C47" s="635"/>
      <c r="D47" s="635"/>
    </row>
    <row r="48" spans="1:4" ht="11.1" customHeight="1">
      <c r="A48" s="628"/>
      <c r="B48" s="628"/>
      <c r="C48" s="628"/>
      <c r="D48" s="628"/>
    </row>
    <row r="49" spans="1:4" ht="11.1" customHeight="1">
      <c r="A49" s="628"/>
      <c r="B49" s="640" t="s">
        <v>302</v>
      </c>
      <c r="C49" s="640"/>
      <c r="D49" s="640"/>
    </row>
    <row r="50" spans="1:4" ht="11.1" customHeight="1">
      <c r="A50" s="628"/>
      <c r="B50" s="628"/>
      <c r="C50" s="628"/>
      <c r="D50" s="628"/>
    </row>
    <row r="51" spans="1:4" ht="11.1" customHeight="1">
      <c r="A51" s="628"/>
      <c r="B51" s="628"/>
      <c r="C51" s="628"/>
      <c r="D51" s="628"/>
    </row>
    <row r="65" s="629" customFormat="1" ht="11.1" hidden="1" customHeight="1"/>
    <row r="66" s="629" customFormat="1" ht="11.1" hidden="1" customHeight="1"/>
    <row r="67" s="629" customFormat="1" ht="11.1" hidden="1" customHeight="1"/>
    <row r="68" s="629" customFormat="1" ht="11.1" hidden="1" customHeight="1"/>
    <row r="69" s="629" customFormat="1" ht="11.1" hidden="1" customHeight="1"/>
    <row r="70" s="629" customFormat="1" ht="11.1" hidden="1" customHeight="1"/>
    <row r="71" s="629" customFormat="1" ht="11.1" hidden="1" customHeight="1"/>
    <row r="72" s="629" customFormat="1" ht="11.1" hidden="1" customHeight="1"/>
    <row r="73" s="629" customFormat="1" ht="11.1" hidden="1" customHeight="1"/>
    <row r="74" s="629" customFormat="1" ht="11.1" hidden="1" customHeight="1"/>
    <row r="75" s="629" customFormat="1" ht="11.1" hidden="1" customHeight="1"/>
  </sheetData>
  <mergeCells count="30">
    <mergeCell ref="B41:D41"/>
    <mergeCell ref="B42:D42"/>
    <mergeCell ref="B43:D43"/>
    <mergeCell ref="B44:D44"/>
    <mergeCell ref="B46:D47"/>
    <mergeCell ref="B49:D49"/>
    <mergeCell ref="B33:D33"/>
    <mergeCell ref="B34:D34"/>
    <mergeCell ref="B36:D36"/>
    <mergeCell ref="B37:D37"/>
    <mergeCell ref="B38:D38"/>
    <mergeCell ref="B39:D39"/>
    <mergeCell ref="C24:D24"/>
    <mergeCell ref="C25:D25"/>
    <mergeCell ref="C26:D26"/>
    <mergeCell ref="B28:D29"/>
    <mergeCell ref="B31:D31"/>
    <mergeCell ref="B32:D32"/>
    <mergeCell ref="C18:D18"/>
    <mergeCell ref="C19:D19"/>
    <mergeCell ref="C20:D20"/>
    <mergeCell ref="C21:D21"/>
    <mergeCell ref="C22:D22"/>
    <mergeCell ref="C23:D23"/>
    <mergeCell ref="D4:D6"/>
    <mergeCell ref="B11:D12"/>
    <mergeCell ref="C14:D14"/>
    <mergeCell ref="C15:D15"/>
    <mergeCell ref="C16:D16"/>
    <mergeCell ref="C17:D17"/>
  </mergeCells>
  <hyperlinks>
    <hyperlink ref="B49:D49" r:id="rId1" display="Edison Electric Institute (EEI)" xr:uid="{3507C081-B978-479D-9AD3-AF3BC198D3F0}"/>
    <hyperlink ref="C14:D14" location="'I. Index'!A1" display="Index Comparison" xr:uid="{3B6415EC-23DD-4F16-A54D-6CB8548B3E33}"/>
    <hyperlink ref="C15:D15" location="'II. Category'!A1" display="Category Comparison" xr:uid="{CC936CC3-DAD0-48E2-8806-7AE00AECDD3A}"/>
    <hyperlink ref="C16:D16" location="'III. Total Return'!A1" display="Total Return Comparison" xr:uid="{4A9F57C6-BD4A-4034-A16D-7205B1CAA9CD}"/>
    <hyperlink ref="C17:D17" location="'IV. 10Y Monthly'!A1" display="10-Year Treasury - Monthly" xr:uid="{B6CB4AFC-5412-4015-9A5B-D3F676A9CDA0}"/>
    <hyperlink ref="C18:D18" location="'V. 10Y Daily'!A1" display="10-Year Treasury - Daily" xr:uid="{D7155B17-BB35-4F41-815F-26DCF8C54ACB}"/>
    <hyperlink ref="C19:D19" location="'VI. NG Spot'!A1" display="Natural Gas Spot Prices" xr:uid="{C1CA275C-4404-4643-A14B-44228637E39A}"/>
    <hyperlink ref="C20:D20" location="'VII. NG Futures'!A1" display="NYMEX Natural Gas Futures" xr:uid="{51F62974-C285-4155-A56C-04EB277BE329}"/>
    <hyperlink ref="C21:D21" location="'VIII. Returns by Quarter'!A1" display="Returns by Quarter" xr:uid="{9C41826D-34E3-41CB-BA61-DBAA289CA1B2}"/>
    <hyperlink ref="C22:D22" location="'IX &amp; X. Sectors'!A1" display="Sector Comparison" xr:uid="{D538F73B-4A6C-44A2-B415-13AA87B09690}"/>
    <hyperlink ref="C23:D23" location="'XI. Market Cap'!A1" display="Market Capitalization" xr:uid="{08CD5FD6-C1B5-4383-B6DD-8CBE83354FE0}"/>
    <hyperlink ref="C24:D24" location="'XII. EEI Market Cap'!A1" display="EEI Index Market Cap" xr:uid="{8A16EE4D-8FA8-46FA-A4A7-0D0A40BB7D61}"/>
    <hyperlink ref="C25:D25" location="'XIII. Comp Category Return'!A1" display="Comp Category Return" xr:uid="{4508441F-8643-4794-BC30-166477AD0CBA}"/>
    <hyperlink ref="C26:D26" location="'XIV. EEI Index Top 10'!A1" display="EEI Index Top 10" xr:uid="{D5915023-4A49-4DD3-B540-9FF98BEA83D0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outlinePr summaryBelow="0" summaryRight="0"/>
  </sheetPr>
  <dimension ref="A1:W26"/>
  <sheetViews>
    <sheetView showGridLines="0" zoomScaleNormal="100" workbookViewId="0">
      <selection sqref="A1:B1"/>
    </sheetView>
  </sheetViews>
  <sheetFormatPr defaultColWidth="12.5703125" defaultRowHeight="11.25"/>
  <cols>
    <col min="1" max="1" width="3.5703125" style="17" customWidth="1"/>
    <col min="2" max="2" width="30.7109375" style="13" customWidth="1"/>
    <col min="3" max="22" width="6.85546875" style="17" customWidth="1"/>
    <col min="23" max="16384" width="12.5703125" style="17"/>
  </cols>
  <sheetData>
    <row r="1" spans="1:23" ht="12.75">
      <c r="A1" s="594" t="s">
        <v>346</v>
      </c>
      <c r="B1" s="596"/>
    </row>
    <row r="2" spans="1:23" ht="18.75">
      <c r="B2" s="106" t="s">
        <v>83</v>
      </c>
    </row>
    <row r="3" spans="1:23" s="9" customFormat="1" ht="12.75">
      <c r="B3" s="134"/>
      <c r="F3" s="14"/>
      <c r="G3" s="14"/>
      <c r="H3" s="14"/>
      <c r="I3" s="14"/>
      <c r="J3" s="14"/>
      <c r="K3" s="14"/>
      <c r="L3" s="14"/>
      <c r="M3" s="14"/>
      <c r="N3" s="14"/>
    </row>
    <row r="4" spans="1:23" s="9" customFormat="1" ht="12.75">
      <c r="B4" s="12"/>
    </row>
    <row r="5" spans="1:23" s="112" customFormat="1" ht="12.75" collapsed="1">
      <c r="B5" s="107"/>
      <c r="C5" s="113">
        <v>2020</v>
      </c>
      <c r="D5" s="113">
        <v>2020</v>
      </c>
      <c r="E5" s="113">
        <v>2020</v>
      </c>
      <c r="F5" s="113">
        <v>2020</v>
      </c>
      <c r="G5" s="113">
        <v>2021</v>
      </c>
      <c r="H5" s="113">
        <v>2021</v>
      </c>
      <c r="I5" s="113">
        <v>2021</v>
      </c>
      <c r="J5" s="113">
        <v>2021</v>
      </c>
      <c r="K5" s="113">
        <v>2022</v>
      </c>
      <c r="L5" s="113">
        <v>2022</v>
      </c>
      <c r="M5" s="113">
        <v>2022</v>
      </c>
      <c r="N5" s="113">
        <v>2022</v>
      </c>
      <c r="O5" s="113">
        <v>2023</v>
      </c>
      <c r="P5" s="113">
        <v>2023</v>
      </c>
      <c r="Q5" s="113">
        <v>2023</v>
      </c>
      <c r="R5" s="113">
        <v>2023</v>
      </c>
      <c r="S5" s="113">
        <v>2024</v>
      </c>
      <c r="T5" s="113">
        <v>2024</v>
      </c>
      <c r="U5" s="113">
        <v>2024</v>
      </c>
      <c r="V5" s="113">
        <v>2024</v>
      </c>
    </row>
    <row r="6" spans="1:23" s="114" customFormat="1" ht="12.75">
      <c r="B6" s="115" t="s">
        <v>61</v>
      </c>
      <c r="C6" s="116" t="s">
        <v>84</v>
      </c>
      <c r="D6" s="116" t="s">
        <v>85</v>
      </c>
      <c r="E6" s="366" t="s">
        <v>81</v>
      </c>
      <c r="F6" s="116" t="s">
        <v>86</v>
      </c>
      <c r="G6" s="116" t="s">
        <v>84</v>
      </c>
      <c r="H6" s="116" t="s">
        <v>85</v>
      </c>
      <c r="I6" s="366" t="s">
        <v>81</v>
      </c>
      <c r="J6" s="116" t="s">
        <v>86</v>
      </c>
      <c r="K6" s="116" t="s">
        <v>84</v>
      </c>
      <c r="L6" s="116" t="s">
        <v>85</v>
      </c>
      <c r="M6" s="366" t="s">
        <v>81</v>
      </c>
      <c r="N6" s="116" t="s">
        <v>86</v>
      </c>
      <c r="O6" s="116" t="s">
        <v>84</v>
      </c>
      <c r="P6" s="116" t="s">
        <v>85</v>
      </c>
      <c r="Q6" s="366" t="s">
        <v>81</v>
      </c>
      <c r="R6" s="116" t="s">
        <v>86</v>
      </c>
      <c r="S6" s="116" t="s">
        <v>84</v>
      </c>
      <c r="T6" s="116" t="s">
        <v>85</v>
      </c>
      <c r="U6" s="366" t="s">
        <v>81</v>
      </c>
      <c r="V6" s="116" t="s">
        <v>86</v>
      </c>
    </row>
    <row r="7" spans="1:23" s="99" customFormat="1" ht="12.75">
      <c r="B7" s="253" t="s">
        <v>2</v>
      </c>
      <c r="C7" s="318">
        <v>-13.59</v>
      </c>
      <c r="D7" s="318">
        <v>1.7822011341279875</v>
      </c>
      <c r="E7" s="318">
        <v>5.5713473564525202</v>
      </c>
      <c r="F7" s="318">
        <v>6.4512654819601494</v>
      </c>
      <c r="G7" s="318">
        <v>2.98</v>
      </c>
      <c r="H7" s="318">
        <v>-0.70887550980773995</v>
      </c>
      <c r="I7" s="318">
        <v>1.4180929095354315</v>
      </c>
      <c r="J7" s="318">
        <v>12.941176470588275</v>
      </c>
      <c r="K7" s="368">
        <v>4.8099999999999996</v>
      </c>
      <c r="L7" s="318">
        <v>-4.9327354260089749</v>
      </c>
      <c r="M7" s="318">
        <v>-6.6740264953833872</v>
      </c>
      <c r="N7" s="318">
        <v>8.7751371115173811</v>
      </c>
      <c r="O7" s="318">
        <v>-2.88</v>
      </c>
      <c r="P7" s="318">
        <v>-2.9962932454695164</v>
      </c>
      <c r="Q7" s="318">
        <v>-10.264303152531582</v>
      </c>
      <c r="R7" s="318">
        <v>8</v>
      </c>
      <c r="S7" s="318">
        <v>2.35</v>
      </c>
      <c r="T7" s="318">
        <v>3.9179286761113872</v>
      </c>
      <c r="U7" s="318">
        <v>17.591199699134989</v>
      </c>
      <c r="V7" s="318">
        <f>((1+('I. Index'!$D8)/100)/((1+S7/100)*(1+T7/100)*(1+U7/100)))*100-100</f>
        <v>-4.7733269369153106</v>
      </c>
      <c r="W7" s="318"/>
    </row>
    <row r="8" spans="1:23" s="100" customFormat="1" ht="12.75">
      <c r="B8" s="117" t="s">
        <v>194</v>
      </c>
      <c r="C8" s="319">
        <v>-22.73</v>
      </c>
      <c r="D8" s="319">
        <v>18.506535524783231</v>
      </c>
      <c r="E8" s="319">
        <v>8.2122966036911578</v>
      </c>
      <c r="F8" s="319">
        <v>10.72762135432437</v>
      </c>
      <c r="G8" s="319">
        <v>8.2899999999999991</v>
      </c>
      <c r="H8" s="319">
        <v>5.0789546587865857</v>
      </c>
      <c r="I8" s="319">
        <v>-1.4676157834607579</v>
      </c>
      <c r="J8" s="319">
        <v>7.8754905458437321</v>
      </c>
      <c r="K8" s="369">
        <v>-4</v>
      </c>
      <c r="L8" s="319">
        <v>-10.875</v>
      </c>
      <c r="M8" s="319">
        <v>-6.1711079943899136</v>
      </c>
      <c r="N8" s="319">
        <v>15.819631290483315</v>
      </c>
      <c r="O8" s="319">
        <v>0.93</v>
      </c>
      <c r="P8" s="319">
        <v>3.9730506291489291</v>
      </c>
      <c r="Q8" s="319">
        <v>-2.1059653135124989</v>
      </c>
      <c r="R8" s="319">
        <v>13.1</v>
      </c>
      <c r="S8" s="319">
        <v>6.14</v>
      </c>
      <c r="T8" s="319">
        <v>-1.2719050310910092</v>
      </c>
      <c r="U8" s="319">
        <v>8.7222063173967115</v>
      </c>
      <c r="V8" s="319">
        <f>((1+('I. Index'!$D9)/100)/((1+S8/100)*(1+T8/100)*(1+U8/100)))*100-100</f>
        <v>0.93039585710523909</v>
      </c>
      <c r="W8" s="319"/>
    </row>
    <row r="9" spans="1:23" s="100" customFormat="1" ht="12.75">
      <c r="B9" s="117" t="s">
        <v>6</v>
      </c>
      <c r="C9" s="319">
        <v>-19.600000000000001</v>
      </c>
      <c r="D9" s="319">
        <v>20.547263681592028</v>
      </c>
      <c r="E9" s="319">
        <v>8.9248865043334717</v>
      </c>
      <c r="F9" s="319">
        <v>12.15307378990245</v>
      </c>
      <c r="G9" s="319">
        <v>6.17</v>
      </c>
      <c r="H9" s="319">
        <v>8.5523217481397751</v>
      </c>
      <c r="I9" s="319">
        <v>0.58134490238610681</v>
      </c>
      <c r="J9" s="319">
        <v>11.03347135955832</v>
      </c>
      <c r="K9" s="369">
        <v>-4.5999999999999996</v>
      </c>
      <c r="L9" s="319">
        <v>-16.100628930817606</v>
      </c>
      <c r="M9" s="319">
        <v>-4.8850574712643606</v>
      </c>
      <c r="N9" s="319">
        <v>7.2901615657428067</v>
      </c>
      <c r="O9" s="319">
        <v>7.5</v>
      </c>
      <c r="P9" s="319">
        <v>8.7348837209302275</v>
      </c>
      <c r="Q9" s="319">
        <v>-3.2680297715801174</v>
      </c>
      <c r="R9" s="319">
        <v>11.7</v>
      </c>
      <c r="S9" s="319">
        <v>10.56</v>
      </c>
      <c r="T9" s="319">
        <v>4.2782199710564441</v>
      </c>
      <c r="U9" s="319">
        <v>5.8894960534304914</v>
      </c>
      <c r="V9" s="319">
        <f>((1+('I. Index'!$D10)/100)/((1+S9/100)*(1+T9/100)*(1+U9/100)))*100-100</f>
        <v>2.4082568807339442</v>
      </c>
      <c r="W9" s="319"/>
    </row>
    <row r="10" spans="1:23" s="101" customFormat="1" ht="12.75">
      <c r="B10" s="256" t="s">
        <v>54</v>
      </c>
      <c r="C10" s="320">
        <v>-14.18</v>
      </c>
      <c r="D10" s="320">
        <v>30.633884875320433</v>
      </c>
      <c r="E10" s="320">
        <v>11.015966461511013</v>
      </c>
      <c r="F10" s="320">
        <v>15.41057367829022</v>
      </c>
      <c r="G10" s="320">
        <v>2.78</v>
      </c>
      <c r="H10" s="320">
        <v>9.4960108970616659</v>
      </c>
      <c r="I10" s="320">
        <v>-0.3820863692909171</v>
      </c>
      <c r="J10" s="320">
        <v>8.2775845152082752</v>
      </c>
      <c r="K10" s="109">
        <v>-9</v>
      </c>
      <c r="L10" s="320">
        <v>-23.010989010989007</v>
      </c>
      <c r="M10" s="320">
        <v>-3.511276049100772</v>
      </c>
      <c r="N10" s="320">
        <v>-1.6420118343195185</v>
      </c>
      <c r="O10" s="320">
        <v>16.77</v>
      </c>
      <c r="P10" s="320">
        <v>12.81150980560075</v>
      </c>
      <c r="Q10" s="320">
        <v>-4.1220678660897363</v>
      </c>
      <c r="R10" s="320">
        <v>13.4</v>
      </c>
      <c r="S10" s="320">
        <v>9.11</v>
      </c>
      <c r="T10" s="320">
        <v>8.2668866281734097</v>
      </c>
      <c r="U10" s="320">
        <v>2.5734360450351232</v>
      </c>
      <c r="V10" s="320">
        <f>((1+('I. Index'!$D11)/100)/((1+S10/100)*(1+T10/100)*(1+U10/100)))*100-100</f>
        <v>6.1648923000742712</v>
      </c>
      <c r="W10" s="320"/>
    </row>
    <row r="11" spans="1:23" s="9" customFormat="1" ht="12.75">
      <c r="B11" s="12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119"/>
      <c r="Q11" s="119"/>
      <c r="S11" s="38"/>
      <c r="T11" s="119"/>
      <c r="U11" s="119"/>
    </row>
    <row r="12" spans="1:23" s="9" customFormat="1" ht="12.75">
      <c r="B12" s="12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9"/>
      <c r="Q12" s="119"/>
      <c r="S12" s="38"/>
      <c r="T12" s="119"/>
      <c r="U12" s="119"/>
    </row>
    <row r="13" spans="1:23" s="112" customFormat="1" ht="12.75">
      <c r="B13" s="120"/>
      <c r="C13" s="113">
        <v>2020</v>
      </c>
      <c r="D13" s="113">
        <v>2020</v>
      </c>
      <c r="E13" s="113">
        <v>2020</v>
      </c>
      <c r="F13" s="113">
        <v>2020</v>
      </c>
      <c r="G13" s="113">
        <v>2021</v>
      </c>
      <c r="H13" s="113">
        <v>2021</v>
      </c>
      <c r="I13" s="113">
        <v>2021</v>
      </c>
      <c r="J13" s="113">
        <v>2021</v>
      </c>
      <c r="K13" s="113">
        <v>2022</v>
      </c>
      <c r="L13" s="113">
        <v>2022</v>
      </c>
      <c r="M13" s="113">
        <v>2022</v>
      </c>
      <c r="N13" s="113">
        <v>2022</v>
      </c>
      <c r="O13" s="113">
        <v>2023</v>
      </c>
      <c r="P13" s="113">
        <v>2023</v>
      </c>
      <c r="Q13" s="113">
        <v>2023</v>
      </c>
      <c r="R13" s="113">
        <v>2023</v>
      </c>
      <c r="S13" s="113">
        <v>2024</v>
      </c>
      <c r="T13" s="113">
        <v>2024</v>
      </c>
      <c r="U13" s="113">
        <v>2024</v>
      </c>
      <c r="V13" s="113">
        <v>2023</v>
      </c>
    </row>
    <row r="14" spans="1:23" s="114" customFormat="1" ht="12.75">
      <c r="B14" s="115" t="s">
        <v>1</v>
      </c>
      <c r="C14" s="116" t="s">
        <v>84</v>
      </c>
      <c r="D14" s="116" t="s">
        <v>85</v>
      </c>
      <c r="E14" s="116" t="s">
        <v>81</v>
      </c>
      <c r="F14" s="116" t="s">
        <v>86</v>
      </c>
      <c r="G14" s="116" t="s">
        <v>84</v>
      </c>
      <c r="H14" s="116" t="s">
        <v>85</v>
      </c>
      <c r="I14" s="116" t="s">
        <v>81</v>
      </c>
      <c r="J14" s="116" t="s">
        <v>86</v>
      </c>
      <c r="K14" s="116" t="s">
        <v>84</v>
      </c>
      <c r="L14" s="116" t="s">
        <v>85</v>
      </c>
      <c r="M14" s="116" t="s">
        <v>81</v>
      </c>
      <c r="N14" s="116" t="s">
        <v>86</v>
      </c>
      <c r="O14" s="116" t="s">
        <v>84</v>
      </c>
      <c r="P14" s="116" t="s">
        <v>85</v>
      </c>
      <c r="Q14" s="366" t="s">
        <v>81</v>
      </c>
      <c r="R14" s="116" t="s">
        <v>86</v>
      </c>
      <c r="S14" s="116" t="s">
        <v>84</v>
      </c>
      <c r="T14" s="116" t="s">
        <v>85</v>
      </c>
      <c r="U14" s="366" t="s">
        <v>81</v>
      </c>
      <c r="V14" s="116" t="s">
        <v>86</v>
      </c>
    </row>
    <row r="15" spans="1:23" s="99" customFormat="1" ht="12.75">
      <c r="B15" s="253" t="s">
        <v>82</v>
      </c>
      <c r="C15" s="318">
        <v>-15.76426708255948</v>
      </c>
      <c r="D15" s="318">
        <v>-0.97023969045933711</v>
      </c>
      <c r="E15" s="318">
        <v>1.3025419544171228</v>
      </c>
      <c r="F15" s="318">
        <v>8.7806154711084616</v>
      </c>
      <c r="G15" s="318">
        <v>5.9648893810014325</v>
      </c>
      <c r="H15" s="318">
        <v>0.31123023660504145</v>
      </c>
      <c r="I15" s="318">
        <v>-0.74655165590435502</v>
      </c>
      <c r="J15" s="318">
        <v>11.484506697745829</v>
      </c>
      <c r="K15" s="368">
        <v>5.2228856414583591</v>
      </c>
      <c r="L15" s="318">
        <v>-3.7956283096356742</v>
      </c>
      <c r="M15" s="318">
        <v>-8.338560235630851</v>
      </c>
      <c r="N15" s="318">
        <v>10.725497573256021</v>
      </c>
      <c r="O15" s="318">
        <v>-0.49378936570609749</v>
      </c>
      <c r="P15" s="318">
        <v>-2.7041538425177976</v>
      </c>
      <c r="Q15" s="318">
        <v>-10.477703739549682</v>
      </c>
      <c r="R15" s="318">
        <v>8.1</v>
      </c>
      <c r="S15" s="318">
        <v>1.8443551750470231</v>
      </c>
      <c r="T15" s="318">
        <v>1.4630613091439528</v>
      </c>
      <c r="U15" s="318">
        <v>15.678197017216021</v>
      </c>
      <c r="V15" s="318">
        <f ca="1">((1+('II. Category'!$D7)/100)/((1+S15/100)*(1+T15/100)*(1+U15/100)))*100-100</f>
        <v>-1.3581984890701051</v>
      </c>
      <c r="W15" s="318"/>
    </row>
    <row r="16" spans="1:23" s="100" customFormat="1" ht="12.75">
      <c r="B16" s="117" t="s">
        <v>3</v>
      </c>
      <c r="C16" s="319">
        <v>-15.024348928007255</v>
      </c>
      <c r="D16" s="319">
        <v>-1.2985362888329774</v>
      </c>
      <c r="E16" s="319">
        <v>-0.12008066675821283</v>
      </c>
      <c r="F16" s="319">
        <v>8.6124106838899621</v>
      </c>
      <c r="G16" s="319">
        <v>4.7594321640239663</v>
      </c>
      <c r="H16" s="319">
        <v>0.32433735194874203</v>
      </c>
      <c r="I16" s="319">
        <v>-0.72967436662193563</v>
      </c>
      <c r="J16" s="319">
        <v>11.874392157201967</v>
      </c>
      <c r="K16" s="369">
        <v>6.3678935190059933</v>
      </c>
      <c r="L16" s="319">
        <v>-3.5558946072768833</v>
      </c>
      <c r="M16" s="319">
        <v>-8.2117855142551832</v>
      </c>
      <c r="N16" s="319">
        <v>10.013119840373363</v>
      </c>
      <c r="O16" s="319">
        <v>-1.3224021927518748E-2</v>
      </c>
      <c r="P16" s="319">
        <v>-2.53871837805859</v>
      </c>
      <c r="Q16" s="319">
        <v>-8.6880698458484744</v>
      </c>
      <c r="R16" s="319">
        <v>8</v>
      </c>
      <c r="S16" s="319">
        <v>1.3286130481718834</v>
      </c>
      <c r="T16" s="319">
        <v>1.6565272302465672</v>
      </c>
      <c r="U16" s="319">
        <v>17.507892255199835</v>
      </c>
      <c r="V16" s="319">
        <f ca="1">((1+('II. Category'!$D8)/100)/((1+S16/100)*(1+T16/100)*(1+U16/100)))*100-100</f>
        <v>-1.9002322540553536</v>
      </c>
      <c r="W16" s="319"/>
    </row>
    <row r="17" spans="2:23" s="100" customFormat="1" ht="12.75">
      <c r="B17" s="117" t="s">
        <v>4</v>
      </c>
      <c r="C17" s="319">
        <v>-18.312874059350492</v>
      </c>
      <c r="D17" s="319">
        <v>0.20608293889374352</v>
      </c>
      <c r="E17" s="319">
        <v>6.2238487740723656</v>
      </c>
      <c r="F17" s="319">
        <v>9.3208018624095104</v>
      </c>
      <c r="G17" s="319">
        <v>10.636036096789109</v>
      </c>
      <c r="H17" s="319">
        <v>0.26313795776461291</v>
      </c>
      <c r="I17" s="319">
        <v>-0.80851515532782514</v>
      </c>
      <c r="J17" s="319">
        <v>10.051938399969671</v>
      </c>
      <c r="K17" s="369">
        <v>-1.1436084473692201E-2</v>
      </c>
      <c r="L17" s="319">
        <v>-4.9614745019528641</v>
      </c>
      <c r="M17" s="319">
        <v>-8.9641949382400554</v>
      </c>
      <c r="N17" s="319">
        <v>14.270146159688508</v>
      </c>
      <c r="O17" s="319">
        <v>-3.7616337034004359</v>
      </c>
      <c r="P17" s="319">
        <v>-3.8729313649311052</v>
      </c>
      <c r="Q17" s="319">
        <v>-23.296694992431682</v>
      </c>
      <c r="R17" s="319">
        <v>9.1999999999999993</v>
      </c>
      <c r="S17" s="319">
        <v>4.6809368728602925</v>
      </c>
      <c r="T17" s="319">
        <v>0.43307450126177116</v>
      </c>
      <c r="U17" s="319">
        <v>5.818479868208243</v>
      </c>
      <c r="V17" s="319">
        <f ca="1">((1+('II. Category'!$D9)/100)/((1+S17/100)*(1+T17/100)*(1+U17/100)))*100-100</f>
        <v>1.0650456149327852</v>
      </c>
      <c r="W17" s="319"/>
    </row>
    <row r="18" spans="2:23" s="101" customFormat="1" ht="12.75">
      <c r="B18" s="256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257"/>
      <c r="P18" s="257"/>
      <c r="Q18" s="257"/>
      <c r="S18" s="257"/>
      <c r="T18" s="257"/>
      <c r="U18" s="257"/>
      <c r="W18" s="257"/>
    </row>
    <row r="21" spans="2:23">
      <c r="B21" s="13" t="s">
        <v>161</v>
      </c>
    </row>
    <row r="22" spans="2:23">
      <c r="B22" s="13" t="s">
        <v>390</v>
      </c>
    </row>
    <row r="23" spans="2:23">
      <c r="B23" s="262"/>
    </row>
    <row r="24" spans="2:23">
      <c r="B24" s="13" t="s">
        <v>545</v>
      </c>
    </row>
    <row r="26" spans="2:23" ht="15">
      <c r="B26" s="20"/>
    </row>
  </sheetData>
  <mergeCells count="1">
    <mergeCell ref="A1:B1"/>
  </mergeCells>
  <phoneticPr fontId="6" type="noConversion"/>
  <hyperlinks>
    <hyperlink ref="A1" location="Index!A1" display="Return to Index" xr:uid="{00000000-0004-0000-0900-000000000000}"/>
    <hyperlink ref="A1:B1" location="Contents!A1" display="Go to Contents" xr:uid="{00000000-0004-0000-0900-000001000000}"/>
  </hyperlinks>
  <pageMargins left="0.25" right="0.25" top="0.51" bottom="1" header="0.32" footer="0.5"/>
  <pageSetup scale="85" orientation="landscape" horizont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outlinePr summaryBelow="0" summaryRight="0"/>
  </sheetPr>
  <dimension ref="A1:AG27"/>
  <sheetViews>
    <sheetView showGridLines="0" zoomScaleNormal="100" workbookViewId="0">
      <selection sqref="A1:C1"/>
    </sheetView>
  </sheetViews>
  <sheetFormatPr defaultColWidth="9.140625" defaultRowHeight="12.75" outlineLevelCol="1"/>
  <cols>
    <col min="1" max="1" width="2.7109375" style="38" customWidth="1"/>
    <col min="2" max="2" width="4.7109375" style="9" customWidth="1"/>
    <col min="3" max="3" width="19.5703125" style="9" customWidth="1"/>
    <col min="4" max="4" width="11.28515625" style="9" customWidth="1"/>
    <col min="5" max="5" width="6.5703125" style="9" customWidth="1"/>
    <col min="6" max="6" width="19.5703125" style="9" customWidth="1"/>
    <col min="7" max="7" width="11.28515625" style="9" customWidth="1"/>
    <col min="8" max="8" width="6.5703125" style="9" customWidth="1"/>
    <col min="9" max="9" width="19.5703125" style="9" customWidth="1"/>
    <col min="10" max="10" width="11.28515625" style="9" customWidth="1"/>
    <col min="11" max="12" width="2.7109375" style="9" customWidth="1"/>
    <col min="13" max="13" width="2.7109375" style="9" customWidth="1" collapsed="1"/>
    <col min="14" max="14" width="4.7109375" style="16" hidden="1" customWidth="1" outlineLevel="1"/>
    <col min="15" max="15" width="2.7109375" style="9" hidden="1" customWidth="1" outlineLevel="1"/>
    <col min="16" max="18" width="4.7109375" style="16" hidden="1" customWidth="1" outlineLevel="1"/>
    <col min="19" max="19" width="2.7109375" style="9" hidden="1" customWidth="1" outlineLevel="1"/>
    <col min="20" max="20" width="16.7109375" style="9" hidden="1" customWidth="1" outlineLevel="1"/>
    <col min="21" max="21" width="2.7109375" style="9" hidden="1" customWidth="1" outlineLevel="1"/>
    <col min="22" max="24" width="9.28515625" style="118" hidden="1" customWidth="1" outlineLevel="1"/>
    <col min="25" max="25" width="8.85546875" style="118" hidden="1" customWidth="1" outlineLevel="1"/>
    <col min="26" max="26" width="2.7109375" style="9" hidden="1" customWidth="1" outlineLevel="1"/>
    <col min="27" max="29" width="7.7109375" style="9" hidden="1" customWidth="1" outlineLevel="1"/>
    <col min="30" max="30" width="2.7109375" style="9" hidden="1" customWidth="1" outlineLevel="1"/>
    <col min="31" max="33" width="5.7109375" style="16" hidden="1" customWidth="1" outlineLevel="1"/>
    <col min="34" max="16384" width="9.140625" style="9"/>
  </cols>
  <sheetData>
    <row r="1" spans="1:33">
      <c r="A1" s="594" t="s">
        <v>346</v>
      </c>
      <c r="B1" s="596"/>
      <c r="C1" s="597"/>
      <c r="U1" s="285"/>
      <c r="V1" s="458" t="s">
        <v>385</v>
      </c>
      <c r="W1" s="404" t="str">
        <f>Date_Current_Year</f>
        <v>2024</v>
      </c>
    </row>
    <row r="2" spans="1:33" ht="18.75">
      <c r="A2" s="41"/>
      <c r="B2" s="106" t="s">
        <v>203</v>
      </c>
      <c r="U2" s="285"/>
      <c r="V2" s="458" t="s">
        <v>386</v>
      </c>
      <c r="W2" s="404" t="str">
        <f>Quarter_EOP_Current</f>
        <v>Q4</v>
      </c>
    </row>
    <row r="3" spans="1:33">
      <c r="C3" s="105" t="str">
        <f>"Periods ending "&amp;TEXT(Date_EOP_Current,"m/dd/yyyy")</f>
        <v>Periods ending 12/31/2024</v>
      </c>
    </row>
    <row r="4" spans="1:33" ht="15.75">
      <c r="A4" s="42"/>
      <c r="B4" s="43"/>
      <c r="C4" s="43"/>
      <c r="M4" s="46"/>
      <c r="N4" s="600" t="s">
        <v>328</v>
      </c>
      <c r="O4" s="600"/>
      <c r="P4" s="600"/>
      <c r="Q4" s="600"/>
      <c r="R4" s="600"/>
      <c r="T4" s="600" t="s">
        <v>381</v>
      </c>
      <c r="U4" s="600"/>
      <c r="V4" s="600"/>
      <c r="W4" s="600"/>
      <c r="X4" s="600"/>
      <c r="Y4" s="600"/>
      <c r="AA4" s="600" t="s">
        <v>382</v>
      </c>
      <c r="AB4" s="600"/>
      <c r="AC4" s="600"/>
      <c r="AE4" s="600" t="s">
        <v>383</v>
      </c>
      <c r="AF4" s="600"/>
      <c r="AG4" s="600"/>
    </row>
    <row r="5" spans="1:33" s="46" customFormat="1" ht="15.75">
      <c r="A5" s="44"/>
      <c r="B5" s="45"/>
      <c r="C5" s="601" t="s">
        <v>377</v>
      </c>
      <c r="D5" s="601"/>
      <c r="E5" s="40"/>
      <c r="F5" s="601" t="s">
        <v>377</v>
      </c>
      <c r="G5" s="601"/>
      <c r="H5" s="40"/>
      <c r="I5" s="601" t="s">
        <v>377</v>
      </c>
      <c r="J5" s="601"/>
      <c r="M5" s="9"/>
      <c r="N5" s="444" t="s">
        <v>61</v>
      </c>
      <c r="O5" s="9"/>
      <c r="P5" s="444" t="s">
        <v>205</v>
      </c>
      <c r="Q5" s="444" t="s">
        <v>202</v>
      </c>
      <c r="R5" s="444" t="s">
        <v>375</v>
      </c>
      <c r="S5" s="9"/>
      <c r="T5" s="445"/>
      <c r="U5" s="118"/>
      <c r="Z5" s="9"/>
      <c r="AA5" s="65" t="s">
        <v>205</v>
      </c>
      <c r="AB5" s="65" t="s">
        <v>202</v>
      </c>
      <c r="AC5" s="65" t="s">
        <v>375</v>
      </c>
      <c r="AD5" s="9"/>
      <c r="AE5" s="444" t="s">
        <v>205</v>
      </c>
      <c r="AF5" s="444" t="s">
        <v>202</v>
      </c>
      <c r="AG5" s="444" t="s">
        <v>375</v>
      </c>
    </row>
    <row r="6" spans="1:33" ht="12.75" customHeight="1">
      <c r="A6" s="42"/>
      <c r="B6" s="43"/>
      <c r="C6" s="259" t="s">
        <v>322</v>
      </c>
      <c r="D6" s="70"/>
      <c r="F6" s="259" t="s">
        <v>376</v>
      </c>
      <c r="G6" s="70"/>
      <c r="I6" s="259" t="s">
        <v>219</v>
      </c>
      <c r="J6" s="70"/>
      <c r="T6" s="446" t="s">
        <v>374</v>
      </c>
      <c r="U6" s="447"/>
      <c r="V6" s="65" t="s">
        <v>378</v>
      </c>
      <c r="W6" s="65" t="s">
        <v>384</v>
      </c>
      <c r="X6" s="65" t="s">
        <v>379</v>
      </c>
      <c r="Y6" s="65" t="s">
        <v>380</v>
      </c>
      <c r="AA6" s="448" t="s">
        <v>373</v>
      </c>
      <c r="AB6" s="448" t="s">
        <v>202</v>
      </c>
      <c r="AC6" s="448" t="s">
        <v>372</v>
      </c>
    </row>
    <row r="7" spans="1:33">
      <c r="C7" s="111" t="s">
        <v>204</v>
      </c>
      <c r="D7" s="258" t="s">
        <v>110</v>
      </c>
      <c r="E7" s="47"/>
      <c r="F7" s="111" t="s">
        <v>204</v>
      </c>
      <c r="G7" s="258" t="s">
        <v>110</v>
      </c>
      <c r="H7" s="47"/>
      <c r="I7" s="111" t="s">
        <v>204</v>
      </c>
      <c r="J7" s="258" t="s">
        <v>110</v>
      </c>
    </row>
    <row r="8" spans="1:33">
      <c r="C8" s="76" t="str">
        <f ca="1">OFFSET( $T$8, P8 - 1, 0 )</f>
        <v>Technology</v>
      </c>
      <c r="D8" s="324">
        <f ca="1">OFFSET( $AA$8, P8 - 1, 0 )</f>
        <v>0.38292324060031235</v>
      </c>
      <c r="E8" s="48"/>
      <c r="F8" s="76" t="str">
        <f ca="1">OFFSET( $T$8, Q8 - 1, 0 )</f>
        <v>Technology</v>
      </c>
      <c r="G8" s="324">
        <f ca="1">OFFSET( $AB$8, Q8 - 1, 0 )</f>
        <v>0.38292324060031235</v>
      </c>
      <c r="H8" s="48"/>
      <c r="I8" s="76" t="str">
        <f ca="1">OFFSET( $T$8, R8 - 1, 0 )</f>
        <v>Consumer Services</v>
      </c>
      <c r="J8" s="324">
        <f ca="1">OFFSET( $AC$8, R8 - 1, 0 )</f>
        <v>8.2624336651049249E-2</v>
      </c>
      <c r="M8" s="449"/>
      <c r="N8" s="450">
        <v>1</v>
      </c>
      <c r="P8" s="52">
        <f>MATCH($N8,AE$8:AE$19,0)</f>
        <v>8</v>
      </c>
      <c r="Q8" s="52">
        <f>MATCH($N8,AF$8:AF$19,0)</f>
        <v>8</v>
      </c>
      <c r="R8" s="52">
        <f>MATCH($N8,AG$8:AG$19,0)</f>
        <v>3</v>
      </c>
      <c r="T8" s="12" t="s">
        <v>206</v>
      </c>
      <c r="U8" s="451"/>
      <c r="V8" s="485">
        <v>1156.9000000000001</v>
      </c>
      <c r="W8" s="485">
        <v>1156.9000000000001</v>
      </c>
      <c r="X8" s="485">
        <v>1275.4100000000001</v>
      </c>
      <c r="Y8" s="485">
        <v>1095.46</v>
      </c>
      <c r="AA8" s="453">
        <f t="shared" ref="AA8:AA17" si="0">(Y8-V8)/V8</f>
        <v>-5.3107442302705546E-2</v>
      </c>
      <c r="AB8" s="453">
        <f t="shared" ref="AB8:AB17" si="1">(Y8-W8)/W8</f>
        <v>-5.3107442302705546E-2</v>
      </c>
      <c r="AC8" s="453">
        <f t="shared" ref="AC8:AC17" si="2">(Y8-X8)/X8</f>
        <v>-0.14109188417842108</v>
      </c>
      <c r="AE8" s="52">
        <f t="shared" ref="AE8:AE17" si="3">RANK(AA8,AA$8:AA$19)</f>
        <v>11</v>
      </c>
      <c r="AF8" s="52">
        <f t="shared" ref="AF8:AF17" si="4">RANK(AB8,AB$8:AB$19)</f>
        <v>11</v>
      </c>
      <c r="AG8" s="52">
        <f t="shared" ref="AG8:AG17" si="5">RANK(AC8,AC$8:AC$19)</f>
        <v>11</v>
      </c>
    </row>
    <row r="9" spans="1:33" ht="13.5" customHeight="1">
      <c r="C9" s="75" t="str">
        <f t="shared" ref="C9:C17" ca="1" si="6">OFFSET( $T$8, P9 - 1, 0 )</f>
        <v>Telecommunications</v>
      </c>
      <c r="D9" s="325">
        <f t="shared" ref="D9:D17" ca="1" si="7">OFFSET( $AA$8, P9 - 1, 0 )</f>
        <v>0.2969917441784477</v>
      </c>
      <c r="E9" s="49"/>
      <c r="F9" s="75" t="str">
        <f t="shared" ref="F9:F17" ca="1" si="8">OFFSET( $T$8, Q9 - 1, 0 )</f>
        <v>Telecommunications</v>
      </c>
      <c r="G9" s="325">
        <f t="shared" ref="G9:G17" ca="1" si="9">OFFSET( $AB$8, Q9 - 1, 0 )</f>
        <v>0.2969917441784477</v>
      </c>
      <c r="H9" s="49"/>
      <c r="I9" s="75" t="str">
        <f t="shared" ref="I9:I17" ca="1" si="10">OFFSET( $T$8, R9 - 1, 0 )</f>
        <v>Technology</v>
      </c>
      <c r="J9" s="325">
        <f t="shared" ref="J9:J18" ca="1" si="11">OFFSET( $AC$8, R9 - 1, 0 )</f>
        <v>6.4348656267095114E-2</v>
      </c>
      <c r="M9" s="38"/>
      <c r="N9" s="52">
        <f>N8+1</f>
        <v>2</v>
      </c>
      <c r="P9" s="52">
        <f t="shared" ref="P9:P18" si="12">MATCH($N9,AE$8:AE$19,0)</f>
        <v>9</v>
      </c>
      <c r="Q9" s="52">
        <f t="shared" ref="Q9:Q18" si="13">MATCH($N9,AF$8:AF$19,0)</f>
        <v>9</v>
      </c>
      <c r="R9" s="52">
        <f t="shared" ref="R9:R18" si="14">MATCH($N9,AG$8:AG$19,0)</f>
        <v>8</v>
      </c>
      <c r="T9" s="12" t="s">
        <v>207</v>
      </c>
      <c r="U9" s="451"/>
      <c r="V9" s="485">
        <v>1808.08</v>
      </c>
      <c r="W9" s="485">
        <v>1808.08</v>
      </c>
      <c r="X9" s="485">
        <v>1969.09</v>
      </c>
      <c r="Y9" s="485">
        <v>2091.0100000000002</v>
      </c>
      <c r="AA9" s="453">
        <f t="shared" si="0"/>
        <v>0.15648090792442829</v>
      </c>
      <c r="AB9" s="453">
        <f t="shared" si="1"/>
        <v>0.15648090792442829</v>
      </c>
      <c r="AC9" s="453">
        <f t="shared" si="2"/>
        <v>6.1916926092763815E-2</v>
      </c>
      <c r="AE9" s="52">
        <f t="shared" si="3"/>
        <v>8</v>
      </c>
      <c r="AF9" s="52">
        <f t="shared" si="4"/>
        <v>8</v>
      </c>
      <c r="AG9" s="52">
        <f t="shared" si="5"/>
        <v>3</v>
      </c>
    </row>
    <row r="10" spans="1:33">
      <c r="C10" s="75" t="str">
        <f t="shared" ca="1" si="6"/>
        <v>Consumer Services</v>
      </c>
      <c r="D10" s="325">
        <f t="shared" ca="1" si="7"/>
        <v>0.28533739218670723</v>
      </c>
      <c r="E10" s="49"/>
      <c r="F10" s="75" t="str">
        <f t="shared" ca="1" si="8"/>
        <v>Consumer Services</v>
      </c>
      <c r="G10" s="325">
        <f t="shared" ca="1" si="9"/>
        <v>0.28533739218670723</v>
      </c>
      <c r="H10" s="49"/>
      <c r="I10" s="75" t="str">
        <f t="shared" ca="1" si="10"/>
        <v>Consumer Goods</v>
      </c>
      <c r="J10" s="325">
        <f t="shared" ca="1" si="11"/>
        <v>6.1916926092763815E-2</v>
      </c>
      <c r="M10" s="38"/>
      <c r="N10" s="52">
        <f t="shared" ref="N10:N17" si="15">N9+1</f>
        <v>3</v>
      </c>
      <c r="P10" s="52">
        <f t="shared" si="12"/>
        <v>3</v>
      </c>
      <c r="Q10" s="52">
        <f t="shared" si="13"/>
        <v>3</v>
      </c>
      <c r="R10" s="52">
        <f t="shared" si="14"/>
        <v>2</v>
      </c>
      <c r="T10" s="12" t="s">
        <v>208</v>
      </c>
      <c r="U10" s="451"/>
      <c r="V10" s="485">
        <v>2168.1</v>
      </c>
      <c r="W10" s="485">
        <v>2168.1</v>
      </c>
      <c r="X10" s="485">
        <v>2574.06</v>
      </c>
      <c r="Y10" s="485">
        <v>2786.74</v>
      </c>
      <c r="AA10" s="453">
        <f t="shared" si="0"/>
        <v>0.28533739218670723</v>
      </c>
      <c r="AB10" s="453">
        <f t="shared" si="1"/>
        <v>0.28533739218670723</v>
      </c>
      <c r="AC10" s="453">
        <f t="shared" si="2"/>
        <v>8.2624336651049249E-2</v>
      </c>
      <c r="AE10" s="52">
        <f t="shared" si="3"/>
        <v>3</v>
      </c>
      <c r="AF10" s="52">
        <f t="shared" si="4"/>
        <v>3</v>
      </c>
      <c r="AG10" s="52">
        <f t="shared" si="5"/>
        <v>1</v>
      </c>
    </row>
    <row r="11" spans="1:33">
      <c r="C11" s="75" t="str">
        <f t="shared" ca="1" si="6"/>
        <v>Financials</v>
      </c>
      <c r="D11" s="325">
        <f t="shared" ca="1" si="7"/>
        <v>0.26609584532878511</v>
      </c>
      <c r="E11" s="49"/>
      <c r="F11" s="75" t="str">
        <f t="shared" ca="1" si="8"/>
        <v>Financials</v>
      </c>
      <c r="G11" s="325">
        <f t="shared" ca="1" si="9"/>
        <v>0.26609584532878511</v>
      </c>
      <c r="H11" s="49"/>
      <c r="I11" s="75" t="str">
        <f t="shared" ca="1" si="10"/>
        <v>Financials</v>
      </c>
      <c r="J11" s="325">
        <f t="shared" ca="1" si="11"/>
        <v>5.1163254832639594E-2</v>
      </c>
      <c r="M11" s="38"/>
      <c r="N11" s="52">
        <f t="shared" si="15"/>
        <v>4</v>
      </c>
      <c r="P11" s="52">
        <f t="shared" si="12"/>
        <v>4</v>
      </c>
      <c r="Q11" s="52">
        <f t="shared" si="13"/>
        <v>4</v>
      </c>
      <c r="R11" s="52">
        <f t="shared" si="14"/>
        <v>4</v>
      </c>
      <c r="T11" s="12" t="s">
        <v>209</v>
      </c>
      <c r="U11" s="451"/>
      <c r="V11" s="485">
        <v>1747.19</v>
      </c>
      <c r="W11" s="485">
        <v>1747.19</v>
      </c>
      <c r="X11" s="485">
        <v>2104.44</v>
      </c>
      <c r="Y11" s="485">
        <v>2212.11</v>
      </c>
      <c r="AA11" s="453">
        <f t="shared" si="0"/>
        <v>0.26609584532878511</v>
      </c>
      <c r="AB11" s="453">
        <f t="shared" si="1"/>
        <v>0.26609584532878511</v>
      </c>
      <c r="AC11" s="453">
        <f t="shared" si="2"/>
        <v>5.1163254832639594E-2</v>
      </c>
      <c r="AE11" s="52">
        <f t="shared" si="3"/>
        <v>4</v>
      </c>
      <c r="AF11" s="52">
        <f t="shared" si="4"/>
        <v>4</v>
      </c>
      <c r="AG11" s="52">
        <f t="shared" si="5"/>
        <v>4</v>
      </c>
    </row>
    <row r="12" spans="1:33">
      <c r="C12" s="75" t="str">
        <f t="shared" ca="1" si="6"/>
        <v>Utilities</v>
      </c>
      <c r="D12" s="325">
        <f t="shared" ca="1" si="7"/>
        <v>0.24168518246345105</v>
      </c>
      <c r="E12" s="49"/>
      <c r="F12" s="75" t="str">
        <f t="shared" ca="1" si="8"/>
        <v>Utilities</v>
      </c>
      <c r="G12" s="325">
        <f t="shared" ca="1" si="9"/>
        <v>0.24168518246345105</v>
      </c>
      <c r="H12" s="49"/>
      <c r="I12" s="75" t="str">
        <f t="shared" ca="1" si="10"/>
        <v>Telecommunications</v>
      </c>
      <c r="J12" s="325">
        <f t="shared" ca="1" si="11"/>
        <v>-6.6898001401354493E-3</v>
      </c>
      <c r="M12" s="38"/>
      <c r="N12" s="52">
        <f t="shared" si="15"/>
        <v>5</v>
      </c>
      <c r="P12" s="52">
        <f t="shared" si="12"/>
        <v>10</v>
      </c>
      <c r="Q12" s="52">
        <f t="shared" si="13"/>
        <v>10</v>
      </c>
      <c r="R12" s="52">
        <f t="shared" si="14"/>
        <v>9</v>
      </c>
      <c r="T12" s="12" t="s">
        <v>210</v>
      </c>
      <c r="U12" s="451"/>
      <c r="V12" s="485">
        <v>2434.3000000000002</v>
      </c>
      <c r="W12" s="485">
        <v>2434.3000000000002</v>
      </c>
      <c r="X12" s="485">
        <v>2773.37</v>
      </c>
      <c r="Y12" s="485">
        <v>2495.58</v>
      </c>
      <c r="AA12" s="453">
        <f t="shared" si="0"/>
        <v>2.5173561188021089E-2</v>
      </c>
      <c r="AB12" s="453">
        <f t="shared" si="1"/>
        <v>2.5173561188021089E-2</v>
      </c>
      <c r="AC12" s="453">
        <f t="shared" si="2"/>
        <v>-0.10016333918662132</v>
      </c>
      <c r="AE12" s="52">
        <f t="shared" si="3"/>
        <v>10</v>
      </c>
      <c r="AF12" s="52">
        <f t="shared" si="4"/>
        <v>10</v>
      </c>
      <c r="AG12" s="52">
        <f t="shared" si="5"/>
        <v>10</v>
      </c>
    </row>
    <row r="13" spans="1:33">
      <c r="C13" s="75" t="str">
        <f t="shared" ca="1" si="6"/>
        <v>EEI Index</v>
      </c>
      <c r="D13" s="325">
        <f t="shared" ca="1" si="7"/>
        <v>0.191</v>
      </c>
      <c r="E13" s="49"/>
      <c r="F13" s="75" t="str">
        <f t="shared" ca="1" si="8"/>
        <v>EEI Index</v>
      </c>
      <c r="G13" s="325">
        <f t="shared" ca="1" si="9"/>
        <v>0.191</v>
      </c>
      <c r="H13" s="49"/>
      <c r="I13" s="75" t="str">
        <f t="shared" ca="1" si="10"/>
        <v>Oil &amp; Gas</v>
      </c>
      <c r="J13" s="325">
        <f t="shared" ca="1" si="11"/>
        <v>-1.1700405781242989E-2</v>
      </c>
      <c r="M13" s="38"/>
      <c r="N13" s="52">
        <f t="shared" si="15"/>
        <v>6</v>
      </c>
      <c r="P13" s="52">
        <f t="shared" si="12"/>
        <v>12</v>
      </c>
      <c r="Q13" s="52">
        <f t="shared" si="13"/>
        <v>12</v>
      </c>
      <c r="R13" s="52">
        <f t="shared" si="14"/>
        <v>7</v>
      </c>
      <c r="T13" s="12" t="s">
        <v>211</v>
      </c>
      <c r="U13" s="451"/>
      <c r="V13" s="485">
        <v>1914.67</v>
      </c>
      <c r="W13" s="485">
        <v>1914.67</v>
      </c>
      <c r="X13" s="485">
        <v>2272</v>
      </c>
      <c r="Y13" s="485">
        <v>2244.94</v>
      </c>
      <c r="AA13" s="453">
        <f t="shared" si="0"/>
        <v>0.1724944768550194</v>
      </c>
      <c r="AB13" s="453">
        <f t="shared" si="1"/>
        <v>0.1724944768550194</v>
      </c>
      <c r="AC13" s="453">
        <f t="shared" si="2"/>
        <v>-1.191021126760561E-2</v>
      </c>
      <c r="AE13" s="52">
        <f t="shared" si="3"/>
        <v>7</v>
      </c>
      <c r="AF13" s="52">
        <f t="shared" si="4"/>
        <v>7</v>
      </c>
      <c r="AG13" s="52">
        <f t="shared" si="5"/>
        <v>7</v>
      </c>
    </row>
    <row r="14" spans="1:33">
      <c r="C14" s="75" t="str">
        <f t="shared" ca="1" si="6"/>
        <v>Industrials</v>
      </c>
      <c r="D14" s="325">
        <f t="shared" ca="1" si="7"/>
        <v>0.1724944768550194</v>
      </c>
      <c r="E14" s="49"/>
      <c r="F14" s="75" t="str">
        <f t="shared" ca="1" si="8"/>
        <v>Industrials</v>
      </c>
      <c r="G14" s="325">
        <f t="shared" ca="1" si="9"/>
        <v>0.1724944768550194</v>
      </c>
      <c r="H14" s="49"/>
      <c r="I14" s="75" t="str">
        <f t="shared" ca="1" si="10"/>
        <v>Industrials</v>
      </c>
      <c r="J14" s="325">
        <f t="shared" ca="1" si="11"/>
        <v>-1.191021126760561E-2</v>
      </c>
      <c r="M14" s="38"/>
      <c r="N14" s="52">
        <f t="shared" si="15"/>
        <v>7</v>
      </c>
      <c r="P14" s="52">
        <f t="shared" si="12"/>
        <v>6</v>
      </c>
      <c r="Q14" s="52">
        <f t="shared" si="13"/>
        <v>6</v>
      </c>
      <c r="R14" s="52">
        <f t="shared" si="14"/>
        <v>6</v>
      </c>
      <c r="T14" s="12" t="s">
        <v>212</v>
      </c>
      <c r="U14" s="451"/>
      <c r="V14" s="485">
        <v>1622.55</v>
      </c>
      <c r="W14" s="485">
        <v>1622.55</v>
      </c>
      <c r="X14" s="485">
        <v>1754.64</v>
      </c>
      <c r="Y14" s="485">
        <v>1734.11</v>
      </c>
      <c r="AA14" s="453">
        <f t="shared" si="0"/>
        <v>6.8755970540199038E-2</v>
      </c>
      <c r="AB14" s="453">
        <f t="shared" si="1"/>
        <v>6.8755970540199038E-2</v>
      </c>
      <c r="AC14" s="453">
        <f t="shared" si="2"/>
        <v>-1.1700405781242989E-2</v>
      </c>
      <c r="AE14" s="52">
        <f t="shared" si="3"/>
        <v>9</v>
      </c>
      <c r="AF14" s="52">
        <f t="shared" si="4"/>
        <v>9</v>
      </c>
      <c r="AG14" s="52">
        <f t="shared" si="5"/>
        <v>6</v>
      </c>
    </row>
    <row r="15" spans="1:33">
      <c r="C15" s="75" t="str">
        <f t="shared" ca="1" si="6"/>
        <v>Consumer Goods</v>
      </c>
      <c r="D15" s="325">
        <f t="shared" ca="1" si="7"/>
        <v>0.15648090792442829</v>
      </c>
      <c r="E15" s="49"/>
      <c r="F15" s="75" t="str">
        <f t="shared" ca="1" si="8"/>
        <v>Consumer Goods</v>
      </c>
      <c r="G15" s="325">
        <f t="shared" ca="1" si="9"/>
        <v>0.15648090792442829</v>
      </c>
      <c r="H15" s="49"/>
      <c r="I15" s="75" t="str">
        <f t="shared" ca="1" si="10"/>
        <v>EEI Index</v>
      </c>
      <c r="J15" s="325">
        <f t="shared" ca="1" si="11"/>
        <v>-4.7733269369153106E-2</v>
      </c>
      <c r="M15" s="38"/>
      <c r="N15" s="52">
        <f t="shared" si="15"/>
        <v>8</v>
      </c>
      <c r="P15" s="52">
        <f t="shared" si="12"/>
        <v>2</v>
      </c>
      <c r="Q15" s="52">
        <f t="shared" si="13"/>
        <v>2</v>
      </c>
      <c r="R15" s="52">
        <f t="shared" si="14"/>
        <v>12</v>
      </c>
      <c r="T15" s="12" t="s">
        <v>213</v>
      </c>
      <c r="U15" s="451"/>
      <c r="V15" s="485">
        <v>6626.55</v>
      </c>
      <c r="W15" s="485">
        <v>6626.55</v>
      </c>
      <c r="X15" s="485">
        <v>8609.9699999999993</v>
      </c>
      <c r="Y15" s="485">
        <v>9164.01</v>
      </c>
      <c r="AA15" s="453">
        <f t="shared" si="0"/>
        <v>0.38292324060031235</v>
      </c>
      <c r="AB15" s="453">
        <f t="shared" si="1"/>
        <v>0.38292324060031235</v>
      </c>
      <c r="AC15" s="453">
        <f t="shared" si="2"/>
        <v>6.4348656267095114E-2</v>
      </c>
      <c r="AE15" s="52">
        <f t="shared" si="3"/>
        <v>1</v>
      </c>
      <c r="AF15" s="52">
        <f t="shared" si="4"/>
        <v>1</v>
      </c>
      <c r="AG15" s="52">
        <f t="shared" si="5"/>
        <v>2</v>
      </c>
    </row>
    <row r="16" spans="1:33">
      <c r="C16" s="75" t="str">
        <f t="shared" ca="1" si="6"/>
        <v>Oil &amp; Gas</v>
      </c>
      <c r="D16" s="325">
        <f t="shared" ca="1" si="7"/>
        <v>6.8755970540199038E-2</v>
      </c>
      <c r="E16" s="49"/>
      <c r="F16" s="75" t="str">
        <f t="shared" ca="1" si="8"/>
        <v>Oil &amp; Gas</v>
      </c>
      <c r="G16" s="325">
        <f t="shared" ca="1" si="9"/>
        <v>6.8755970540199038E-2</v>
      </c>
      <c r="H16" s="49"/>
      <c r="I16" s="75" t="str">
        <f t="shared" ca="1" si="10"/>
        <v>Utilities</v>
      </c>
      <c r="J16" s="325">
        <f t="shared" ca="1" si="11"/>
        <v>-5.1223443610611964E-2</v>
      </c>
      <c r="M16" s="38"/>
      <c r="N16" s="52">
        <f t="shared" si="15"/>
        <v>9</v>
      </c>
      <c r="P16" s="52">
        <f t="shared" si="12"/>
        <v>7</v>
      </c>
      <c r="Q16" s="52">
        <f t="shared" si="13"/>
        <v>7</v>
      </c>
      <c r="R16" s="52">
        <f t="shared" si="14"/>
        <v>10</v>
      </c>
      <c r="T16" s="12" t="s">
        <v>214</v>
      </c>
      <c r="U16" s="451"/>
      <c r="V16" s="485">
        <v>459.07</v>
      </c>
      <c r="W16" s="485">
        <v>459.07</v>
      </c>
      <c r="X16" s="485">
        <v>599.41999999999996</v>
      </c>
      <c r="Y16" s="485">
        <v>595.41</v>
      </c>
      <c r="AA16" s="453">
        <f t="shared" si="0"/>
        <v>0.2969917441784477</v>
      </c>
      <c r="AB16" s="453">
        <f t="shared" si="1"/>
        <v>0.2969917441784477</v>
      </c>
      <c r="AC16" s="453">
        <f t="shared" si="2"/>
        <v>-6.6898001401354493E-3</v>
      </c>
      <c r="AE16" s="52">
        <f t="shared" si="3"/>
        <v>2</v>
      </c>
      <c r="AF16" s="52">
        <f t="shared" si="4"/>
        <v>2</v>
      </c>
      <c r="AG16" s="52">
        <f t="shared" si="5"/>
        <v>5</v>
      </c>
    </row>
    <row r="17" spans="3:33">
      <c r="C17" s="75" t="str">
        <f t="shared" ca="1" si="6"/>
        <v>Healthcare</v>
      </c>
      <c r="D17" s="325">
        <f t="shared" ca="1" si="7"/>
        <v>2.5173561188021089E-2</v>
      </c>
      <c r="E17" s="50"/>
      <c r="F17" s="75" t="str">
        <f t="shared" ca="1" si="8"/>
        <v>Healthcare</v>
      </c>
      <c r="G17" s="325">
        <f t="shared" ca="1" si="9"/>
        <v>2.5173561188021089E-2</v>
      </c>
      <c r="H17" s="50"/>
      <c r="I17" s="75" t="str">
        <f t="shared" ca="1" si="10"/>
        <v>Healthcare</v>
      </c>
      <c r="J17" s="325">
        <f t="shared" ca="1" si="11"/>
        <v>-0.10016333918662132</v>
      </c>
      <c r="M17" s="38"/>
      <c r="N17" s="52">
        <f t="shared" si="15"/>
        <v>10</v>
      </c>
      <c r="P17" s="52">
        <f t="shared" si="12"/>
        <v>5</v>
      </c>
      <c r="Q17" s="52">
        <f t="shared" si="13"/>
        <v>5</v>
      </c>
      <c r="R17" s="52">
        <f t="shared" si="14"/>
        <v>5</v>
      </c>
      <c r="T17" s="12" t="s">
        <v>215</v>
      </c>
      <c r="U17" s="451"/>
      <c r="V17" s="485">
        <v>1156.67</v>
      </c>
      <c r="W17" s="485">
        <v>1156.67</v>
      </c>
      <c r="X17" s="485">
        <v>1513.76</v>
      </c>
      <c r="Y17" s="485">
        <v>1436.22</v>
      </c>
      <c r="AA17" s="453">
        <f t="shared" si="0"/>
        <v>0.24168518246345105</v>
      </c>
      <c r="AB17" s="453">
        <f t="shared" si="1"/>
        <v>0.24168518246345105</v>
      </c>
      <c r="AC17" s="453">
        <f t="shared" si="2"/>
        <v>-5.1223443610611964E-2</v>
      </c>
      <c r="AE17" s="52">
        <f t="shared" si="3"/>
        <v>5</v>
      </c>
      <c r="AF17" s="52">
        <f t="shared" si="4"/>
        <v>5</v>
      </c>
      <c r="AG17" s="52">
        <f t="shared" si="5"/>
        <v>9</v>
      </c>
    </row>
    <row r="18" spans="3:33">
      <c r="C18" s="77" t="str">
        <f ca="1">OFFSET( $T$8, P18 - 1, 0 )</f>
        <v>Basic Materials</v>
      </c>
      <c r="D18" s="326">
        <f ca="1">OFFSET( $AA$8, P18 - 1, 0 )</f>
        <v>-5.3107442302705546E-2</v>
      </c>
      <c r="E18" s="49"/>
      <c r="F18" s="77" t="str">
        <f ca="1">OFFSET( $T$8, Q18 - 1, 0 )</f>
        <v>Basic Materials</v>
      </c>
      <c r="G18" s="326">
        <f ca="1">OFFSET( $AB$8, Q18 - 1, 0 )</f>
        <v>-5.3107442302705546E-2</v>
      </c>
      <c r="H18" s="49"/>
      <c r="I18" s="77" t="str">
        <f ca="1">OFFSET( $T$8, R18 - 1, 0 )</f>
        <v>Basic Materials</v>
      </c>
      <c r="J18" s="326">
        <f t="shared" ca="1" si="11"/>
        <v>-0.14109188417842108</v>
      </c>
      <c r="M18" s="38"/>
      <c r="N18" s="52">
        <f>N17+1</f>
        <v>11</v>
      </c>
      <c r="P18" s="52">
        <f t="shared" si="12"/>
        <v>1</v>
      </c>
      <c r="Q18" s="52">
        <f t="shared" si="13"/>
        <v>1</v>
      </c>
      <c r="R18" s="52">
        <f t="shared" si="14"/>
        <v>1</v>
      </c>
      <c r="T18" s="12"/>
      <c r="U18" s="451"/>
      <c r="V18" s="452"/>
      <c r="W18" s="452"/>
      <c r="X18" s="452"/>
      <c r="Y18" s="452"/>
      <c r="AA18" s="453"/>
      <c r="AB18" s="453"/>
      <c r="AC18" s="453"/>
      <c r="AE18" s="52"/>
      <c r="AF18" s="52"/>
      <c r="AG18" s="52"/>
    </row>
    <row r="19" spans="3:33">
      <c r="N19" s="9"/>
      <c r="P19" s="9"/>
      <c r="Q19" s="9"/>
      <c r="R19" s="9"/>
      <c r="T19" s="11" t="s">
        <v>2</v>
      </c>
      <c r="U19" s="451"/>
      <c r="V19" s="451"/>
      <c r="W19" s="451"/>
      <c r="X19" s="451"/>
      <c r="Y19" s="451"/>
      <c r="AA19" s="500">
        <f>'I. Index'!D17/100</f>
        <v>0.191</v>
      </c>
      <c r="AB19" s="501">
        <f>'I. Index'!D8/100</f>
        <v>0.191</v>
      </c>
      <c r="AC19" s="501">
        <f>SUMIFS('VIII. Returns by Quarter'!$7:$7,'VIII. Returns by Quarter'!$5:$5,W1,'VIII. Returns by Quarter'!$6:$6,W2)/100</f>
        <v>-4.7733269369153106E-2</v>
      </c>
      <c r="AE19" s="52">
        <f>RANK(AA19,AA$8:AA$19)</f>
        <v>6</v>
      </c>
      <c r="AF19" s="52">
        <f>RANK(AB19,AB$8:AB$19)</f>
        <v>6</v>
      </c>
      <c r="AG19" s="52">
        <f>RANK(AC19,AC$8:AC$19)</f>
        <v>8</v>
      </c>
    </row>
    <row r="20" spans="3:33">
      <c r="D20" s="51"/>
      <c r="G20" s="51"/>
      <c r="J20" s="51"/>
      <c r="U20" s="118"/>
      <c r="V20" s="454"/>
      <c r="W20" s="454"/>
      <c r="X20" s="455"/>
      <c r="Y20" s="455"/>
      <c r="AA20" s="285"/>
      <c r="AB20" s="285"/>
      <c r="AC20" s="285"/>
    </row>
    <row r="21" spans="3:33">
      <c r="D21" s="51"/>
      <c r="G21" s="51"/>
      <c r="J21" s="51"/>
      <c r="U21" s="118"/>
      <c r="V21" s="454"/>
      <c r="W21" s="454"/>
      <c r="X21" s="455"/>
      <c r="Y21" s="455"/>
      <c r="Z21" s="455"/>
      <c r="AA21" s="455"/>
      <c r="AB21" s="455"/>
      <c r="AC21" s="455"/>
      <c r="AD21" s="455"/>
    </row>
    <row r="22" spans="3:33">
      <c r="C22" s="17" t="s">
        <v>603</v>
      </c>
      <c r="I22" s="11"/>
      <c r="U22" s="118"/>
      <c r="V22" s="454"/>
      <c r="W22" s="454"/>
      <c r="X22" s="455"/>
      <c r="Y22" s="455"/>
      <c r="Z22" s="455"/>
      <c r="AA22" s="455"/>
      <c r="AB22" s="455"/>
      <c r="AC22" s="455"/>
      <c r="AD22" s="455"/>
    </row>
    <row r="23" spans="3:33">
      <c r="C23" s="17" t="s">
        <v>512</v>
      </c>
      <c r="I23" s="11"/>
      <c r="U23" s="118"/>
      <c r="V23" s="454"/>
      <c r="W23" s="454"/>
      <c r="X23" s="455"/>
      <c r="Y23" s="455"/>
      <c r="Z23" s="455"/>
      <c r="AA23" s="455"/>
      <c r="AB23" s="455"/>
      <c r="AC23" s="455"/>
      <c r="AD23" s="455"/>
    </row>
    <row r="24" spans="3:33">
      <c r="I24" s="11"/>
      <c r="T24" s="456"/>
      <c r="U24" s="454"/>
      <c r="V24" s="454"/>
      <c r="W24" s="454"/>
      <c r="X24" s="455"/>
      <c r="Y24" s="455"/>
      <c r="AA24" s="457"/>
      <c r="AB24" s="457"/>
      <c r="AC24" s="52"/>
    </row>
    <row r="26" spans="3:33">
      <c r="N26" s="9"/>
      <c r="P26" s="9"/>
      <c r="Q26" s="9"/>
      <c r="R26" s="9"/>
      <c r="V26" s="9"/>
      <c r="W26" s="9"/>
      <c r="X26" s="9"/>
      <c r="Y26" s="9"/>
      <c r="AE26" s="9"/>
      <c r="AF26" s="9"/>
      <c r="AG26" s="9"/>
    </row>
    <row r="27" spans="3:33">
      <c r="N27" s="9"/>
      <c r="P27" s="9"/>
      <c r="Q27" s="9"/>
      <c r="R27" s="9"/>
      <c r="V27" s="9"/>
      <c r="W27" s="9"/>
      <c r="X27" s="9"/>
      <c r="Y27" s="9"/>
      <c r="AE27" s="9"/>
      <c r="AF27" s="9"/>
      <c r="AG27" s="9"/>
    </row>
  </sheetData>
  <mergeCells count="8">
    <mergeCell ref="A1:C1"/>
    <mergeCell ref="AA4:AC4"/>
    <mergeCell ref="AE4:AG4"/>
    <mergeCell ref="N4:R4"/>
    <mergeCell ref="T4:Y4"/>
    <mergeCell ref="C5:D5"/>
    <mergeCell ref="F5:G5"/>
    <mergeCell ref="I5:J5"/>
  </mergeCells>
  <conditionalFormatting sqref="C8:C18 F8:F18 I8:I18">
    <cfRule type="containsText" dxfId="1" priority="1" stopIfTrue="1" operator="containsText" text="EEI">
      <formula>NOT(ISERROR(SEARCH("EEI",C8)))</formula>
    </cfRule>
  </conditionalFormatting>
  <conditionalFormatting sqref="D8:D18 G8:G18 J8:J18">
    <cfRule type="expression" dxfId="0" priority="4" stopIfTrue="1">
      <formula>(C8="EEI Index")</formula>
    </cfRule>
  </conditionalFormatting>
  <hyperlinks>
    <hyperlink ref="A1" location="Index!A1" display="Return to Index" xr:uid="{00000000-0004-0000-0A00-000001000000}"/>
    <hyperlink ref="A1:B1" location="Contents!A1" display="Go to Contents" xr:uid="{00000000-0004-0000-0A00-000002000000}"/>
  </hyperlinks>
  <pageMargins left="0.25" right="0.25" top="0.3" bottom="0.28000000000000003" header="0.2" footer="0.21"/>
  <pageSetup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outlinePr summaryBelow="0" summaryRight="0"/>
  </sheetPr>
  <dimension ref="A1:AA53"/>
  <sheetViews>
    <sheetView showGridLines="0" zoomScaleNormal="100" workbookViewId="0">
      <selection sqref="A1:C1"/>
    </sheetView>
  </sheetViews>
  <sheetFormatPr defaultColWidth="9.140625" defaultRowHeight="12.75" outlineLevelCol="1"/>
  <cols>
    <col min="1" max="2" width="3.7109375" style="78" customWidth="1"/>
    <col min="3" max="3" width="35" style="78" customWidth="1"/>
    <col min="4" max="4" width="13.85546875" style="84" customWidth="1"/>
    <col min="5" max="5" width="16.5703125" style="78" customWidth="1"/>
    <col min="6" max="6" width="14.140625" style="78" customWidth="1"/>
    <col min="7" max="7" width="7.5703125" style="78" customWidth="1"/>
    <col min="8" max="8" width="7.5703125" style="78" customWidth="1" collapsed="1"/>
    <col min="9" max="9" width="6.7109375" style="199" hidden="1" customWidth="1" outlineLevel="1"/>
    <col min="10" max="10" width="6.7109375" style="78" hidden="1" customWidth="1" outlineLevel="1"/>
    <col min="11" max="11" width="2.7109375" style="78" hidden="1" customWidth="1" outlineLevel="1"/>
    <col min="12" max="12" width="29.7109375" style="78" hidden="1" customWidth="1" outlineLevel="1"/>
    <col min="13" max="13" width="10.7109375" style="84" hidden="1" customWidth="1" outlineLevel="1"/>
    <col min="14" max="14" width="12.7109375" style="78" hidden="1" customWidth="1" outlineLevel="1"/>
    <col min="15" max="15" width="9.85546875" style="172" hidden="1" customWidth="1" outlineLevel="1"/>
    <col min="16" max="16" width="2.7109375" style="78" hidden="1" customWidth="1" outlineLevel="1"/>
    <col min="17" max="18" width="5.42578125" style="78" hidden="1" customWidth="1" outlineLevel="1"/>
    <col min="19" max="19" width="5.140625" style="78" hidden="1" customWidth="1" outlineLevel="1"/>
    <col min="20" max="20" width="5.42578125" style="78" hidden="1" customWidth="1" outlineLevel="1"/>
    <col min="21" max="21" width="2.7109375" style="78" hidden="1" customWidth="1" outlineLevel="1"/>
    <col min="22" max="23" width="13.28515625" style="172" hidden="1" customWidth="1" outlineLevel="1"/>
    <col min="24" max="24" width="13.28515625" style="78" hidden="1" customWidth="1" outlineLevel="1"/>
    <col min="25" max="25" width="2.7109375" style="78" hidden="1" customWidth="1" outlineLevel="1"/>
    <col min="26" max="26" width="7.85546875" style="194" hidden="1" customWidth="1" outlineLevel="1"/>
    <col min="27" max="27" width="9.140625" style="78" collapsed="1"/>
    <col min="28" max="16384" width="9.140625" style="78"/>
  </cols>
  <sheetData>
    <row r="1" spans="1:26">
      <c r="A1" s="594" t="s">
        <v>346</v>
      </c>
      <c r="B1" s="596"/>
      <c r="C1" s="597"/>
      <c r="I1" s="227"/>
      <c r="J1" s="186"/>
      <c r="K1" s="186"/>
      <c r="L1" s="398" t="str">
        <f>Quarter_Year_Qtr</f>
        <v>2024.4</v>
      </c>
      <c r="M1"/>
      <c r="N1"/>
      <c r="O1" s="53"/>
      <c r="P1"/>
      <c r="Q1"/>
      <c r="R1"/>
      <c r="S1"/>
      <c r="T1"/>
      <c r="U1"/>
      <c r="V1"/>
      <c r="W1"/>
      <c r="X1"/>
      <c r="Y1"/>
      <c r="Z1" s="231"/>
    </row>
    <row r="2" spans="1:26" s="79" customFormat="1" ht="18.75">
      <c r="B2" s="104" t="s">
        <v>90</v>
      </c>
      <c r="C2" s="84"/>
      <c r="D2" s="305"/>
      <c r="E2" s="306"/>
      <c r="F2" s="306"/>
      <c r="I2" s="604" t="s">
        <v>365</v>
      </c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6"/>
      <c r="Y2" s="606"/>
      <c r="Z2" s="607"/>
    </row>
    <row r="3" spans="1:26">
      <c r="I3" s="228" t="s">
        <v>61</v>
      </c>
      <c r="J3" s="177" t="s">
        <v>328</v>
      </c>
      <c r="K3" s="182"/>
      <c r="L3" s="176" t="s">
        <v>8</v>
      </c>
      <c r="M3" s="223" t="s">
        <v>292</v>
      </c>
      <c r="N3" s="177" t="s">
        <v>284</v>
      </c>
      <c r="O3" s="178" t="s">
        <v>442</v>
      </c>
      <c r="P3" s="177"/>
      <c r="Q3" s="608" t="s">
        <v>366</v>
      </c>
      <c r="R3" s="608"/>
      <c r="S3" s="608"/>
      <c r="T3" s="608"/>
      <c r="U3" s="175"/>
      <c r="V3" s="186" t="str">
        <f>$L$1</f>
        <v>2024.4</v>
      </c>
      <c r="W3" s="186" t="str">
        <f>$L$1</f>
        <v>2024.4</v>
      </c>
      <c r="X3" s="175"/>
      <c r="Y3" s="175"/>
      <c r="Z3" s="195" t="s">
        <v>328</v>
      </c>
    </row>
    <row r="4" spans="1:26">
      <c r="C4" s="307"/>
      <c r="I4" s="229"/>
      <c r="J4" s="183"/>
      <c r="K4" s="182"/>
      <c r="L4" s="182"/>
      <c r="M4" s="184"/>
      <c r="N4" s="224"/>
      <c r="O4" s="271"/>
      <c r="P4" s="225"/>
      <c r="Q4" s="177" t="s">
        <v>326</v>
      </c>
      <c r="R4" s="177" t="s">
        <v>327</v>
      </c>
      <c r="S4" s="177" t="s">
        <v>327</v>
      </c>
      <c r="T4" s="177" t="s">
        <v>326</v>
      </c>
      <c r="U4" s="175"/>
      <c r="V4" s="191" t="s">
        <v>221</v>
      </c>
      <c r="W4" s="191" t="s">
        <v>220</v>
      </c>
      <c r="X4" s="191" t="s">
        <v>343</v>
      </c>
      <c r="Y4" s="175"/>
      <c r="Z4" s="195"/>
    </row>
    <row r="5" spans="1:26">
      <c r="I5" s="229"/>
      <c r="J5" s="183"/>
      <c r="K5" s="182"/>
      <c r="L5" s="167"/>
      <c r="M5" s="184"/>
      <c r="N5" s="224"/>
      <c r="O5" s="271"/>
      <c r="P5" s="225"/>
      <c r="Q5" s="183"/>
      <c r="R5" s="183"/>
      <c r="S5" s="183"/>
      <c r="T5" s="183"/>
      <c r="U5" s="181"/>
      <c r="V5" s="181" t="str">
        <f>V3 &amp; ":::" &amp; V4</f>
        <v>2024.4:::Price</v>
      </c>
      <c r="W5" s="181" t="str">
        <f>W3 &amp; ":::" &amp; W4</f>
        <v>2024.4:::Shares</v>
      </c>
      <c r="X5" s="179"/>
      <c r="Y5" s="179"/>
      <c r="Z5" s="207"/>
    </row>
    <row r="6" spans="1:26">
      <c r="I6" s="229"/>
      <c r="J6" s="183"/>
      <c r="K6" s="182"/>
      <c r="L6" s="167" t="s">
        <v>339</v>
      </c>
      <c r="M6" s="184"/>
      <c r="N6" s="224"/>
      <c r="O6" s="271"/>
      <c r="P6" s="225"/>
      <c r="Q6" s="183"/>
      <c r="R6" s="183"/>
      <c r="S6" s="183"/>
      <c r="T6" s="183"/>
      <c r="U6" s="165"/>
      <c r="V6" s="165" t="s">
        <v>609</v>
      </c>
      <c r="W6" s="166" t="str">
        <f t="shared" ref="W6" si="0">V6</f>
        <v>'MASTER'!</v>
      </c>
      <c r="X6" s="167"/>
      <c r="Y6" s="167"/>
      <c r="Z6" s="208" t="str">
        <f>W6</f>
        <v>'MASTER'!</v>
      </c>
    </row>
    <row r="7" spans="1:26">
      <c r="I7" s="229"/>
      <c r="J7" s="183"/>
      <c r="K7" s="182"/>
      <c r="L7" s="276" t="str">
        <f>L6</f>
        <v>'CompanyList'!</v>
      </c>
      <c r="M7" s="168" t="str">
        <f>L7</f>
        <v>'CompanyList'!</v>
      </c>
      <c r="N7" s="224"/>
      <c r="O7" s="271"/>
      <c r="P7" s="225"/>
      <c r="Q7" s="183"/>
      <c r="R7" s="183"/>
      <c r="S7" s="183"/>
      <c r="T7" s="183"/>
      <c r="U7" s="165"/>
      <c r="V7" s="165" t="s">
        <v>341</v>
      </c>
      <c r="W7" s="166" t="str">
        <f>V7</f>
        <v>5:5</v>
      </c>
      <c r="X7" s="167"/>
      <c r="Y7" s="167"/>
      <c r="Z7" s="209" t="s">
        <v>607</v>
      </c>
    </row>
    <row r="8" spans="1:26" ht="15.75">
      <c r="C8" s="602" t="s">
        <v>7</v>
      </c>
      <c r="D8" s="602"/>
      <c r="E8" s="602"/>
      <c r="F8" s="602"/>
      <c r="I8" s="229"/>
      <c r="J8" s="183"/>
      <c r="K8" s="182"/>
      <c r="L8" s="169" t="s">
        <v>594</v>
      </c>
      <c r="M8" s="169" t="s">
        <v>595</v>
      </c>
      <c r="N8" s="224"/>
      <c r="O8" s="271"/>
      <c r="P8" s="225"/>
      <c r="Q8" s="183"/>
      <c r="R8" s="183"/>
      <c r="S8" s="183"/>
      <c r="T8" s="183"/>
      <c r="U8" s="170"/>
      <c r="V8" s="170" t="s">
        <v>596</v>
      </c>
      <c r="W8" s="166" t="str">
        <f>V8</f>
        <v>A1</v>
      </c>
      <c r="X8" s="182"/>
      <c r="Y8" s="182"/>
      <c r="Z8" s="198"/>
    </row>
    <row r="9" spans="1:26">
      <c r="C9" s="603" t="str">
        <f>"As of "&amp;TEXT(Date_EOP_Current,"m/dd/yyyy")</f>
        <v>As of 12/31/2024</v>
      </c>
      <c r="D9" s="603"/>
      <c r="E9" s="603"/>
      <c r="F9" s="603"/>
      <c r="I9" s="229"/>
      <c r="J9" s="183"/>
      <c r="K9" s="182"/>
      <c r="L9" s="183"/>
      <c r="M9" s="184"/>
      <c r="N9" s="224"/>
      <c r="O9" s="271"/>
      <c r="P9" s="225"/>
      <c r="Q9" s="183"/>
      <c r="R9" s="183"/>
      <c r="S9" s="183"/>
      <c r="T9" s="183"/>
      <c r="U9" s="185"/>
      <c r="V9" s="185">
        <f ca="1">MATCH( V$5, INDIRECT( V$6 &amp; V$7 ), 0 )</f>
        <v>4</v>
      </c>
      <c r="W9" s="185">
        <f ca="1">MATCH( W$5, INDIRECT( W$6 &amp; W$7 ), 0 )</f>
        <v>3</v>
      </c>
      <c r="X9" s="182"/>
      <c r="Y9" s="182"/>
      <c r="Z9" s="198"/>
    </row>
    <row r="10" spans="1:26">
      <c r="C10" s="92" t="s">
        <v>8</v>
      </c>
      <c r="D10" s="80" t="s">
        <v>292</v>
      </c>
      <c r="E10" s="81" t="s">
        <v>448</v>
      </c>
      <c r="F10" s="81" t="s">
        <v>68</v>
      </c>
      <c r="I10" s="229"/>
      <c r="J10" s="183"/>
      <c r="K10" s="182"/>
      <c r="L10" s="183"/>
      <c r="M10" s="184"/>
      <c r="N10" s="224"/>
      <c r="O10" s="271"/>
      <c r="P10" s="225"/>
      <c r="Q10" s="183"/>
      <c r="R10" s="183"/>
      <c r="S10" s="183"/>
      <c r="T10" s="183"/>
      <c r="U10" s="185"/>
      <c r="V10" s="185"/>
      <c r="W10" s="185"/>
      <c r="X10" s="182"/>
      <c r="Y10" s="182"/>
      <c r="Z10" s="198"/>
    </row>
    <row r="11" spans="1:26">
      <c r="C11" s="89" t="str">
        <f t="shared" ref="C11:C42" ca="1" si="1">OFFSET( L$10, $J11, 0 )</f>
        <v>NextEra Energy, Inc.</v>
      </c>
      <c r="D11" s="85" t="str">
        <f t="shared" ref="D11:D42" ca="1" si="2">OFFSET( M$10, $J11, 0 )</f>
        <v>NEE</v>
      </c>
      <c r="E11" s="280">
        <f t="shared" ref="E11:E42" ca="1" si="3">OFFSET( N$10, $J11, 0 )</f>
        <v>147215.41500000001</v>
      </c>
      <c r="F11" s="86">
        <f t="shared" ref="F11:F42" ca="1" si="4">OFFSET( O$10, $J11, 0 )</f>
        <v>0.1447290649841235</v>
      </c>
      <c r="I11" s="230">
        <v>1</v>
      </c>
      <c r="J11" s="183">
        <f t="shared" ref="J11:J48" ca="1" si="5">MATCH( I11, $T$11:$T$48, 0 )</f>
        <v>23</v>
      </c>
      <c r="K11" s="182"/>
      <c r="L11" s="182" t="str">
        <f t="shared" ref="L11:M48" ca="1" si="6">IF( LEN( OFFSET( INDIRECT( L$7 &amp; L$8 ), $I11 - 1, 0 ) ) = 0, "-", OFFSET( INDIRECT( L$7 &amp; L$8 ), $I11 - 1, 0 ) )</f>
        <v>ALLETE, Inc.</v>
      </c>
      <c r="M11" s="184" t="str">
        <f t="shared" ca="1" si="6"/>
        <v>ALE</v>
      </c>
      <c r="N11" s="224">
        <f ca="1">X11</f>
        <v>3745.4399999999996</v>
      </c>
      <c r="O11" s="271">
        <f t="shared" ref="O11:O48" ca="1" si="7">N11/N$50</f>
        <v>3.6821825292829248E-3</v>
      </c>
      <c r="P11" s="225"/>
      <c r="Q11" s="183">
        <f t="shared" ref="Q11:Q48" ca="1" si="8">RANK( N11, $N$11:$N$48, 0 )</f>
        <v>31</v>
      </c>
      <c r="R11" s="183">
        <f ca="1">COUNTIF( Q$11:Q11, Q11 ) - 1</f>
        <v>0</v>
      </c>
      <c r="S11" s="183">
        <f ca="1">Q11 + R11 / 10</f>
        <v>31</v>
      </c>
      <c r="T11" s="183">
        <f t="shared" ref="T11:T48" ca="1" si="9">RANK( S11, $S$11:$S$48, 1 )</f>
        <v>31</v>
      </c>
      <c r="U11" s="222"/>
      <c r="V11" s="222">
        <f ca="1">OFFSET( INDIRECT( V$6 &amp; V$8 ), $Z11 - 1, V$9 - 1 )</f>
        <v>64.8</v>
      </c>
      <c r="W11" s="188">
        <f ca="1">OFFSET( INDIRECT( W$6 &amp; W$8 ), $Z11 - 1, W$9 - 1 )</f>
        <v>57.8</v>
      </c>
      <c r="X11" s="189">
        <f t="shared" ref="X11:X48" ca="1" si="10">IF( OR( ISNA( V11 ), ISNA( W11 ) ), 0, V11 * W11 )</f>
        <v>3745.4399999999996</v>
      </c>
      <c r="Y11" s="189"/>
      <c r="Z11" s="210">
        <f ca="1">MATCH( $M11, INDIRECT( Z$6 &amp; Z$7 ), 0 )</f>
        <v>87</v>
      </c>
    </row>
    <row r="12" spans="1:26">
      <c r="C12" s="90" t="str">
        <f t="shared" ca="1" si="1"/>
        <v>Southern Company</v>
      </c>
      <c r="D12" s="87" t="str">
        <f t="shared" ca="1" si="2"/>
        <v>SO</v>
      </c>
      <c r="E12" s="281">
        <f t="shared" ca="1" si="3"/>
        <v>90305.04</v>
      </c>
      <c r="F12" s="88">
        <f t="shared" ca="1" si="4"/>
        <v>8.8779860468782223E-2</v>
      </c>
      <c r="I12" s="229">
        <f>I11+1</f>
        <v>2</v>
      </c>
      <c r="J12" s="183">
        <f t="shared" ca="1" si="5"/>
        <v>35</v>
      </c>
      <c r="K12" s="182"/>
      <c r="L12" s="182" t="str">
        <f t="shared" ca="1" si="6"/>
        <v>Alliant Energy Corporation</v>
      </c>
      <c r="M12" s="184" t="str">
        <f t="shared" ca="1" si="6"/>
        <v>LNT</v>
      </c>
      <c r="N12" s="224">
        <f t="shared" ref="N12:N48" ca="1" si="11">X12</f>
        <v>15175.324000000002</v>
      </c>
      <c r="O12" s="271">
        <f t="shared" ca="1" si="7"/>
        <v>1.4919024976773859E-2</v>
      </c>
      <c r="P12" s="225"/>
      <c r="Q12" s="183">
        <f t="shared" ca="1" si="8"/>
        <v>23</v>
      </c>
      <c r="R12" s="183">
        <f ca="1">COUNTIF( Q$11:Q12, Q12 ) - 1</f>
        <v>0</v>
      </c>
      <c r="S12" s="183">
        <f t="shared" ref="S12:S48" ca="1" si="12">Q12 + R12 / 10</f>
        <v>23</v>
      </c>
      <c r="T12" s="183">
        <f t="shared" ca="1" si="9"/>
        <v>23</v>
      </c>
      <c r="U12" s="222"/>
      <c r="V12" s="222">
        <f t="shared" ref="V12:W12" ca="1" si="13">OFFSET( INDIRECT( V$6 &amp; V$8 ), $Z12 - 1, V$9 - 1 )</f>
        <v>59.14</v>
      </c>
      <c r="W12" s="188">
        <f t="shared" ca="1" si="13"/>
        <v>256.60000000000002</v>
      </c>
      <c r="X12" s="189">
        <f t="shared" ca="1" si="10"/>
        <v>15175.324000000002</v>
      </c>
      <c r="Y12" s="189"/>
      <c r="Z12" s="210">
        <f t="shared" ref="Z12" ca="1" si="14">MATCH( $M12, INDIRECT( Z$6 &amp; Z$7 ), 0 )</f>
        <v>108</v>
      </c>
    </row>
    <row r="13" spans="1:26">
      <c r="C13" s="90" t="str">
        <f t="shared" ca="1" si="1"/>
        <v>Duke Energy Corporation</v>
      </c>
      <c r="D13" s="87" t="str">
        <f t="shared" ca="1" si="2"/>
        <v>DUK</v>
      </c>
      <c r="E13" s="281">
        <f t="shared" ca="1" si="3"/>
        <v>83175.28</v>
      </c>
      <c r="F13" s="88">
        <f t="shared" ca="1" si="4"/>
        <v>8.1770516383713396E-2</v>
      </c>
      <c r="I13" s="229">
        <f t="shared" ref="I13:I48" si="15">I12+1</f>
        <v>3</v>
      </c>
      <c r="J13" s="183">
        <f t="shared" ca="1" si="5"/>
        <v>12</v>
      </c>
      <c r="K13" s="182"/>
      <c r="L13" s="182" t="str">
        <f t="shared" ca="1" si="6"/>
        <v>Ameren Corporation</v>
      </c>
      <c r="M13" s="184" t="str">
        <f t="shared" ca="1" si="6"/>
        <v>AEE</v>
      </c>
      <c r="N13" s="224">
        <f t="shared" ca="1" si="11"/>
        <v>23782.552</v>
      </c>
      <c r="O13" s="271">
        <f t="shared" ca="1" si="7"/>
        <v>2.3380883815029126E-2</v>
      </c>
      <c r="P13" s="225"/>
      <c r="Q13" s="183">
        <f t="shared" ca="1" si="8"/>
        <v>17</v>
      </c>
      <c r="R13" s="183">
        <f ca="1">COUNTIF( Q$11:Q13, Q13 ) - 1</f>
        <v>0</v>
      </c>
      <c r="S13" s="183">
        <f t="shared" ca="1" si="12"/>
        <v>17</v>
      </c>
      <c r="T13" s="183">
        <f t="shared" ca="1" si="9"/>
        <v>17</v>
      </c>
      <c r="U13" s="222"/>
      <c r="V13" s="222">
        <f ca="1">OFFSET( INDIRECT( V$6 &amp; V$8 ), $Z13 - 1, V$9 - 1 )</f>
        <v>89.14</v>
      </c>
      <c r="W13" s="188">
        <f ca="1">OFFSET( INDIRECT( W$6 &amp; W$8 ), $Z13 - 1, W$9 - 1 )</f>
        <v>266.8</v>
      </c>
      <c r="X13" s="189">
        <f t="shared" ca="1" si="10"/>
        <v>23782.552</v>
      </c>
      <c r="Y13" s="189"/>
      <c r="Z13" s="210">
        <f ca="1">MATCH( $M13, INDIRECT( Z$6 &amp; Z$7 ), 0 )</f>
        <v>65</v>
      </c>
    </row>
    <row r="14" spans="1:26">
      <c r="C14" s="90" t="str">
        <f t="shared" ca="1" si="1"/>
        <v xml:space="preserve">Sempra </v>
      </c>
      <c r="D14" s="87" t="str">
        <f t="shared" ca="1" si="2"/>
        <v>SRE</v>
      </c>
      <c r="E14" s="281">
        <f t="shared" ca="1" si="3"/>
        <v>55592.725439999995</v>
      </c>
      <c r="F14" s="88">
        <f t="shared" ca="1" si="4"/>
        <v>5.4653808997178005E-2</v>
      </c>
      <c r="I14" s="229">
        <f t="shared" si="15"/>
        <v>4</v>
      </c>
      <c r="J14" s="183">
        <f t="shared" ca="1" si="5"/>
        <v>34</v>
      </c>
      <c r="K14" s="182"/>
      <c r="L14" s="182" t="str">
        <f t="shared" ca="1" si="6"/>
        <v>American Electric Power Company, Inc.</v>
      </c>
      <c r="M14" s="184" t="str">
        <f t="shared" ca="1" si="6"/>
        <v>AEP</v>
      </c>
      <c r="N14" s="224">
        <f t="shared" ca="1" si="11"/>
        <v>49085.624633480002</v>
      </c>
      <c r="O14" s="271">
        <f t="shared" ca="1" si="7"/>
        <v>4.8256607892354343E-2</v>
      </c>
      <c r="P14" s="225"/>
      <c r="Q14" s="183">
        <f t="shared" ca="1" si="8"/>
        <v>5</v>
      </c>
      <c r="R14" s="183">
        <f ca="1">COUNTIF( Q$11:Q14, Q14 ) - 1</f>
        <v>0</v>
      </c>
      <c r="S14" s="183">
        <f t="shared" ca="1" si="12"/>
        <v>5</v>
      </c>
      <c r="T14" s="183">
        <f t="shared" ca="1" si="9"/>
        <v>5</v>
      </c>
      <c r="U14" s="222"/>
      <c r="V14" s="222">
        <f t="shared" ref="V14:W45" ca="1" si="16">OFFSET( INDIRECT( V$6 &amp; V$8 ), $Z14 - 1, V$9 - 1 )</f>
        <v>92.23</v>
      </c>
      <c r="W14" s="188">
        <f t="shared" ca="1" si="16"/>
        <v>532.20887600000003</v>
      </c>
      <c r="X14" s="189">
        <f t="shared" ca="1" si="10"/>
        <v>49085.624633480002</v>
      </c>
      <c r="Y14" s="189"/>
      <c r="Z14" s="210">
        <f t="shared" ref="Z14:Z48" ca="1" si="17">MATCH( $M14, INDIRECT( Z$6 &amp; Z$7 ), 0 )</f>
        <v>11</v>
      </c>
    </row>
    <row r="15" spans="1:26">
      <c r="C15" s="90" t="str">
        <f t="shared" ca="1" si="1"/>
        <v>American Electric Power Company, Inc.</v>
      </c>
      <c r="D15" s="87" t="str">
        <f t="shared" ca="1" si="2"/>
        <v>AEP</v>
      </c>
      <c r="E15" s="281">
        <f t="shared" ca="1" si="3"/>
        <v>49085.624633480002</v>
      </c>
      <c r="F15" s="88">
        <f t="shared" ca="1" si="4"/>
        <v>4.8256607892354343E-2</v>
      </c>
      <c r="I15" s="229">
        <f t="shared" si="15"/>
        <v>5</v>
      </c>
      <c r="J15" s="183">
        <f t="shared" ca="1" si="5"/>
        <v>4</v>
      </c>
      <c r="K15" s="182"/>
      <c r="L15" s="182" t="str">
        <f t="shared" ca="1" si="6"/>
        <v>Avista Corporation</v>
      </c>
      <c r="M15" s="184" t="str">
        <f t="shared" ca="1" si="6"/>
        <v>AVA</v>
      </c>
      <c r="N15" s="224">
        <f t="shared" ca="1" si="11"/>
        <v>2887.7626800000003</v>
      </c>
      <c r="O15" s="271">
        <f t="shared" ca="1" si="7"/>
        <v>2.8389906897483977E-3</v>
      </c>
      <c r="P15" s="225"/>
      <c r="Q15" s="183">
        <f t="shared" ca="1" si="8"/>
        <v>36</v>
      </c>
      <c r="R15" s="183">
        <f ca="1">COUNTIF( Q$11:Q15, Q15 ) - 1</f>
        <v>0</v>
      </c>
      <c r="S15" s="183">
        <f t="shared" ca="1" si="12"/>
        <v>36</v>
      </c>
      <c r="T15" s="183">
        <f t="shared" ca="1" si="9"/>
        <v>36</v>
      </c>
      <c r="U15" s="222"/>
      <c r="V15" s="222">
        <f t="shared" ca="1" si="16"/>
        <v>36.630000000000003</v>
      </c>
      <c r="W15" s="188">
        <f t="shared" ca="1" si="16"/>
        <v>78.835999999999999</v>
      </c>
      <c r="X15" s="189">
        <f t="shared" ca="1" si="10"/>
        <v>2887.7626800000003</v>
      </c>
      <c r="Y15" s="189"/>
      <c r="Z15" s="210">
        <f t="shared" ca="1" si="17"/>
        <v>109</v>
      </c>
    </row>
    <row r="16" spans="1:26">
      <c r="C16" s="90" t="str">
        <f t="shared" ca="1" si="1"/>
        <v>Dominion Energy, Inc.</v>
      </c>
      <c r="D16" s="87" t="str">
        <f t="shared" ca="1" si="2"/>
        <v>D</v>
      </c>
      <c r="E16" s="281">
        <f t="shared" ca="1" si="3"/>
        <v>45188.54</v>
      </c>
      <c r="F16" s="88">
        <f t="shared" ca="1" si="4"/>
        <v>4.4425341885546858E-2</v>
      </c>
      <c r="I16" s="229">
        <f t="shared" si="15"/>
        <v>6</v>
      </c>
      <c r="J16" s="183">
        <f t="shared" ca="1" si="5"/>
        <v>10</v>
      </c>
      <c r="K16" s="182"/>
      <c r="L16" s="182" t="str">
        <f t="shared" ca="1" si="6"/>
        <v>Black Hills Corporation</v>
      </c>
      <c r="M16" s="184" t="str">
        <f t="shared" ca="1" si="6"/>
        <v>BKH</v>
      </c>
      <c r="N16" s="224">
        <f t="shared" ca="1" si="11"/>
        <v>4125.66</v>
      </c>
      <c r="O16" s="271">
        <f t="shared" ca="1" si="7"/>
        <v>4.0559809191340378E-3</v>
      </c>
      <c r="P16" s="225"/>
      <c r="Q16" s="183">
        <f t="shared" ca="1" si="8"/>
        <v>30</v>
      </c>
      <c r="R16" s="183">
        <f ca="1">COUNTIF( Q$11:Q16, Q16 ) - 1</f>
        <v>0</v>
      </c>
      <c r="S16" s="183">
        <f t="shared" ca="1" si="12"/>
        <v>30</v>
      </c>
      <c r="T16" s="183">
        <f t="shared" ca="1" si="9"/>
        <v>30</v>
      </c>
      <c r="U16" s="222"/>
      <c r="V16" s="222">
        <f t="shared" ca="1" si="16"/>
        <v>58.52</v>
      </c>
      <c r="W16" s="188">
        <f t="shared" ca="1" si="16"/>
        <v>70.5</v>
      </c>
      <c r="X16" s="189">
        <f t="shared" ca="1" si="10"/>
        <v>4125.66</v>
      </c>
      <c r="Y16" s="189"/>
      <c r="Z16" s="210">
        <f t="shared" ca="1" si="17"/>
        <v>14</v>
      </c>
    </row>
    <row r="17" spans="3:26">
      <c r="C17" s="90" t="str">
        <f t="shared" ca="1" si="1"/>
        <v>PG&amp;E Corporation</v>
      </c>
      <c r="D17" s="87" t="str">
        <f t="shared" ca="1" si="2"/>
        <v>PCG</v>
      </c>
      <c r="E17" s="281">
        <f t="shared" ca="1" si="3"/>
        <v>43124.659999999996</v>
      </c>
      <c r="F17" s="88">
        <f t="shared" ca="1" si="4"/>
        <v>4.2396319159635765E-2</v>
      </c>
      <c r="I17" s="229">
        <f t="shared" si="15"/>
        <v>7</v>
      </c>
      <c r="J17" s="183">
        <f t="shared" ca="1" si="5"/>
        <v>28</v>
      </c>
      <c r="K17" s="182"/>
      <c r="L17" s="182" t="str">
        <f t="shared" ca="1" si="6"/>
        <v>CenterPoint Energy, Inc.</v>
      </c>
      <c r="M17" s="184" t="str">
        <f t="shared" ca="1" si="6"/>
        <v>CNP</v>
      </c>
      <c r="N17" s="224">
        <f t="shared" ca="1" si="11"/>
        <v>20554.59881</v>
      </c>
      <c r="O17" s="271">
        <f t="shared" ca="1" si="7"/>
        <v>2.0207448159522405E-2</v>
      </c>
      <c r="P17" s="225"/>
      <c r="Q17" s="183">
        <f t="shared" ca="1" si="8"/>
        <v>20</v>
      </c>
      <c r="R17" s="183">
        <f ca="1">COUNTIF( Q$11:Q17, Q17 ) - 1</f>
        <v>0</v>
      </c>
      <c r="S17" s="183">
        <f t="shared" ca="1" si="12"/>
        <v>20</v>
      </c>
      <c r="T17" s="183">
        <f t="shared" ca="1" si="9"/>
        <v>20</v>
      </c>
      <c r="U17" s="222"/>
      <c r="V17" s="222">
        <f t="shared" ca="1" si="16"/>
        <v>31.73</v>
      </c>
      <c r="W17" s="188">
        <f t="shared" ca="1" si="16"/>
        <v>647.79700000000003</v>
      </c>
      <c r="X17" s="189">
        <f t="shared" ca="1" si="10"/>
        <v>20554.59881</v>
      </c>
      <c r="Y17" s="189"/>
      <c r="Z17" s="210">
        <f t="shared" ca="1" si="17"/>
        <v>38</v>
      </c>
    </row>
    <row r="18" spans="3:26">
      <c r="C18" s="90" t="str">
        <f t="shared" ca="1" si="1"/>
        <v>Public Service Enterprise Group Incorporated</v>
      </c>
      <c r="D18" s="87" t="str">
        <f t="shared" ca="1" si="2"/>
        <v>PEG</v>
      </c>
      <c r="E18" s="281">
        <f t="shared" ca="1" si="3"/>
        <v>42076.02</v>
      </c>
      <c r="F18" s="88">
        <f t="shared" ca="1" si="4"/>
        <v>4.1365389846255429E-2</v>
      </c>
      <c r="I18" s="229">
        <f t="shared" si="15"/>
        <v>8</v>
      </c>
      <c r="J18" s="183">
        <f t="shared" ca="1" si="5"/>
        <v>33</v>
      </c>
      <c r="K18" s="182"/>
      <c r="L18" s="182" t="str">
        <f t="shared" ca="1" si="6"/>
        <v>CMS Energy Corporation</v>
      </c>
      <c r="M18" s="184" t="str">
        <f t="shared" ca="1" si="6"/>
        <v>CMS</v>
      </c>
      <c r="N18" s="224">
        <f t="shared" ca="1" si="11"/>
        <v>19861.7</v>
      </c>
      <c r="O18" s="271">
        <f t="shared" ca="1" si="7"/>
        <v>1.9526251853416068E-2</v>
      </c>
      <c r="P18" s="225"/>
      <c r="Q18" s="183">
        <f t="shared" ca="1" si="8"/>
        <v>21</v>
      </c>
      <c r="R18" s="183">
        <f ca="1">COUNTIF( Q$11:Q18, Q18 ) - 1</f>
        <v>0</v>
      </c>
      <c r="S18" s="183">
        <f t="shared" ca="1" si="12"/>
        <v>21</v>
      </c>
      <c r="T18" s="183">
        <f t="shared" ca="1" si="9"/>
        <v>21</v>
      </c>
      <c r="U18" s="222"/>
      <c r="V18" s="222">
        <f t="shared" ca="1" si="16"/>
        <v>66.650000000000006</v>
      </c>
      <c r="W18" s="188">
        <f t="shared" ca="1" si="16"/>
        <v>298</v>
      </c>
      <c r="X18" s="189">
        <f t="shared" ca="1" si="10"/>
        <v>19861.7</v>
      </c>
      <c r="Y18" s="189"/>
      <c r="Z18" s="210">
        <f t="shared" ca="1" si="17"/>
        <v>71</v>
      </c>
    </row>
    <row r="19" spans="3:26">
      <c r="C19" s="90" t="str">
        <f t="shared" ca="1" si="1"/>
        <v>Xcel Energy Inc.</v>
      </c>
      <c r="D19" s="87" t="str">
        <f t="shared" ca="1" si="2"/>
        <v>XEL</v>
      </c>
      <c r="E19" s="281">
        <f t="shared" ca="1" si="3"/>
        <v>38081.279999999999</v>
      </c>
      <c r="F19" s="88">
        <f t="shared" ca="1" si="4"/>
        <v>3.7438117793565311E-2</v>
      </c>
      <c r="I19" s="229">
        <f t="shared" si="15"/>
        <v>9</v>
      </c>
      <c r="J19" s="183">
        <f t="shared" ca="1" si="5"/>
        <v>38</v>
      </c>
      <c r="K19" s="182"/>
      <c r="L19" s="182" t="str">
        <f t="shared" ca="1" si="6"/>
        <v>Consolidated Edison, Inc.</v>
      </c>
      <c r="M19" s="184" t="str">
        <f t="shared" ca="1" si="6"/>
        <v>ED</v>
      </c>
      <c r="N19" s="224">
        <f t="shared" ca="1" si="11"/>
        <v>30891.425999999999</v>
      </c>
      <c r="O19" s="271">
        <f t="shared" ca="1" si="7"/>
        <v>3.0369694647848132E-2</v>
      </c>
      <c r="P19" s="225"/>
      <c r="Q19" s="183">
        <f t="shared" ca="1" si="8"/>
        <v>13</v>
      </c>
      <c r="R19" s="183">
        <f ca="1">COUNTIF( Q$11:Q19, Q19 ) - 1</f>
        <v>0</v>
      </c>
      <c r="S19" s="183">
        <f t="shared" ca="1" si="12"/>
        <v>13</v>
      </c>
      <c r="T19" s="183">
        <f t="shared" ca="1" si="9"/>
        <v>13</v>
      </c>
      <c r="U19" s="222"/>
      <c r="V19" s="222">
        <f t="shared" ca="1" si="16"/>
        <v>89.23</v>
      </c>
      <c r="W19" s="188">
        <f t="shared" ca="1" si="16"/>
        <v>346.2</v>
      </c>
      <c r="X19" s="189">
        <f t="shared" ca="1" si="10"/>
        <v>30891.425999999999</v>
      </c>
      <c r="Y19" s="189"/>
      <c r="Z19" s="210">
        <f t="shared" ca="1" si="17"/>
        <v>76</v>
      </c>
    </row>
    <row r="20" spans="3:26">
      <c r="C20" s="90" t="str">
        <f t="shared" ca="1" si="1"/>
        <v>Exelon Corporation</v>
      </c>
      <c r="D20" s="87" t="str">
        <f t="shared" ca="1" si="2"/>
        <v>EXC</v>
      </c>
      <c r="E20" s="281">
        <f t="shared" ca="1" si="3"/>
        <v>37752.92</v>
      </c>
      <c r="F20" s="88">
        <f t="shared" ca="1" si="4"/>
        <v>3.7115303530003398E-2</v>
      </c>
      <c r="I20" s="229">
        <f t="shared" si="15"/>
        <v>10</v>
      </c>
      <c r="J20" s="183">
        <f t="shared" ca="1" si="5"/>
        <v>17</v>
      </c>
      <c r="K20" s="182"/>
      <c r="L20" s="182" t="str">
        <f t="shared" ca="1" si="6"/>
        <v>Dominion Energy, Inc.</v>
      </c>
      <c r="M20" s="184" t="str">
        <f t="shared" ca="1" si="6"/>
        <v>D</v>
      </c>
      <c r="N20" s="224">
        <f t="shared" ca="1" si="11"/>
        <v>45188.54</v>
      </c>
      <c r="O20" s="271">
        <f t="shared" ca="1" si="7"/>
        <v>4.4425341885546858E-2</v>
      </c>
      <c r="P20" s="225"/>
      <c r="Q20" s="183">
        <f t="shared" ca="1" si="8"/>
        <v>6</v>
      </c>
      <c r="R20" s="183">
        <f ca="1">COUNTIF( Q$11:Q20, Q20 ) - 1</f>
        <v>0</v>
      </c>
      <c r="S20" s="183">
        <f t="shared" ca="1" si="12"/>
        <v>6</v>
      </c>
      <c r="T20" s="183">
        <f t="shared" ca="1" si="9"/>
        <v>6</v>
      </c>
      <c r="U20" s="222"/>
      <c r="V20" s="222">
        <f t="shared" ca="1" si="16"/>
        <v>53.86</v>
      </c>
      <c r="W20" s="188">
        <f t="shared" ca="1" si="16"/>
        <v>839</v>
      </c>
      <c r="X20" s="189">
        <f t="shared" ca="1" si="10"/>
        <v>45188.54</v>
      </c>
      <c r="Y20" s="189"/>
      <c r="Z20" s="210">
        <f t="shared" ca="1" si="17"/>
        <v>25</v>
      </c>
    </row>
    <row r="21" spans="3:26">
      <c r="C21" s="90" t="str">
        <f t="shared" ca="1" si="1"/>
        <v>Entergy Corporation</v>
      </c>
      <c r="D21" s="87" t="str">
        <f t="shared" ca="1" si="2"/>
        <v>ETR</v>
      </c>
      <c r="E21" s="281">
        <f t="shared" ca="1" si="3"/>
        <v>32452.850495879997</v>
      </c>
      <c r="F21" s="88">
        <f t="shared" ca="1" si="4"/>
        <v>3.1904747939190063E-2</v>
      </c>
      <c r="I21" s="229">
        <f t="shared" si="15"/>
        <v>11</v>
      </c>
      <c r="J21" s="183">
        <f t="shared" ca="1" si="5"/>
        <v>14</v>
      </c>
      <c r="K21" s="182"/>
      <c r="L21" s="182" t="str">
        <f t="shared" ca="1" si="6"/>
        <v>DTE Energy Company</v>
      </c>
      <c r="M21" s="184" t="str">
        <f t="shared" ca="1" si="6"/>
        <v>DTE</v>
      </c>
      <c r="N21" s="224">
        <f t="shared" ca="1" si="11"/>
        <v>24995.25</v>
      </c>
      <c r="O21" s="271">
        <f t="shared" ca="1" si="7"/>
        <v>2.4573100320672347E-2</v>
      </c>
      <c r="P21" s="225"/>
      <c r="Q21" s="183">
        <f t="shared" ca="1" si="8"/>
        <v>15</v>
      </c>
      <c r="R21" s="183">
        <f ca="1">COUNTIF( Q$11:Q21, Q21 ) - 1</f>
        <v>0</v>
      </c>
      <c r="S21" s="183">
        <f t="shared" ca="1" si="12"/>
        <v>15</v>
      </c>
      <c r="T21" s="183">
        <f t="shared" ca="1" si="9"/>
        <v>15</v>
      </c>
      <c r="U21" s="222"/>
      <c r="V21" s="222">
        <f t="shared" ca="1" si="16"/>
        <v>120.75</v>
      </c>
      <c r="W21" s="188">
        <f t="shared" ca="1" si="16"/>
        <v>207</v>
      </c>
      <c r="X21" s="189">
        <f t="shared" ca="1" si="10"/>
        <v>24995.25</v>
      </c>
      <c r="Y21" s="189"/>
      <c r="Z21" s="210">
        <f t="shared" ca="1" si="17"/>
        <v>24</v>
      </c>
    </row>
    <row r="22" spans="3:26">
      <c r="C22" s="90" t="str">
        <f t="shared" ca="1" si="1"/>
        <v>Edison International</v>
      </c>
      <c r="D22" s="87" t="str">
        <f t="shared" ca="1" si="2"/>
        <v>EIX</v>
      </c>
      <c r="E22" s="281">
        <f t="shared" ca="1" si="3"/>
        <v>30898.080000000002</v>
      </c>
      <c r="F22" s="88">
        <f t="shared" ca="1" si="4"/>
        <v>3.037623626713715E-2</v>
      </c>
      <c r="I22" s="229">
        <f t="shared" si="15"/>
        <v>12</v>
      </c>
      <c r="J22" s="183">
        <f t="shared" ca="1" si="5"/>
        <v>13</v>
      </c>
      <c r="K22" s="182"/>
      <c r="L22" s="182" t="str">
        <f t="shared" ca="1" si="6"/>
        <v>Duke Energy Corporation</v>
      </c>
      <c r="M22" s="184" t="str">
        <f t="shared" ca="1" si="6"/>
        <v>DUK</v>
      </c>
      <c r="N22" s="224">
        <f t="shared" ca="1" si="11"/>
        <v>83175.28</v>
      </c>
      <c r="O22" s="271">
        <f t="shared" ca="1" si="7"/>
        <v>8.1770516383713396E-2</v>
      </c>
      <c r="P22" s="225"/>
      <c r="Q22" s="183">
        <f t="shared" ca="1" si="8"/>
        <v>3</v>
      </c>
      <c r="R22" s="183">
        <f ca="1">COUNTIF( Q$11:Q22, Q22 ) - 1</f>
        <v>0</v>
      </c>
      <c r="S22" s="183">
        <f t="shared" ca="1" si="12"/>
        <v>3</v>
      </c>
      <c r="T22" s="183">
        <f t="shared" ca="1" si="9"/>
        <v>3</v>
      </c>
      <c r="U22" s="222"/>
      <c r="V22" s="222">
        <f t="shared" ca="1" si="16"/>
        <v>107.74</v>
      </c>
      <c r="W22" s="188">
        <f t="shared" ca="1" si="16"/>
        <v>772</v>
      </c>
      <c r="X22" s="189">
        <f t="shared" ca="1" si="10"/>
        <v>83175.28</v>
      </c>
      <c r="Y22" s="189"/>
      <c r="Z22" s="210">
        <f t="shared" ca="1" si="17"/>
        <v>26</v>
      </c>
    </row>
    <row r="23" spans="3:26">
      <c r="C23" s="90" t="str">
        <f t="shared" ca="1" si="1"/>
        <v>Consolidated Edison, Inc.</v>
      </c>
      <c r="D23" s="87" t="str">
        <f t="shared" ca="1" si="2"/>
        <v>ED</v>
      </c>
      <c r="E23" s="281">
        <f t="shared" ca="1" si="3"/>
        <v>30891.425999999999</v>
      </c>
      <c r="F23" s="88">
        <f t="shared" ca="1" si="4"/>
        <v>3.0369694647848132E-2</v>
      </c>
      <c r="I23" s="229">
        <f t="shared" si="15"/>
        <v>13</v>
      </c>
      <c r="J23" s="183">
        <f t="shared" ca="1" si="5"/>
        <v>9</v>
      </c>
      <c r="K23" s="182"/>
      <c r="L23" s="182" t="str">
        <f t="shared" ca="1" si="6"/>
        <v>Edison International</v>
      </c>
      <c r="M23" s="184" t="str">
        <f t="shared" ca="1" si="6"/>
        <v>EIX</v>
      </c>
      <c r="N23" s="224">
        <f t="shared" ca="1" si="11"/>
        <v>30898.080000000002</v>
      </c>
      <c r="O23" s="271">
        <f t="shared" ca="1" si="7"/>
        <v>3.037623626713715E-2</v>
      </c>
      <c r="P23" s="225"/>
      <c r="Q23" s="183">
        <f t="shared" ca="1" si="8"/>
        <v>12</v>
      </c>
      <c r="R23" s="183">
        <f ca="1">COUNTIF( Q$11:Q23, Q23 ) - 1</f>
        <v>0</v>
      </c>
      <c r="S23" s="183">
        <f t="shared" ca="1" si="12"/>
        <v>12</v>
      </c>
      <c r="T23" s="183">
        <f t="shared" ca="1" si="9"/>
        <v>12</v>
      </c>
      <c r="U23" s="222"/>
      <c r="V23" s="222">
        <f t="shared" ca="1" si="16"/>
        <v>79.84</v>
      </c>
      <c r="W23" s="188">
        <f t="shared" ca="1" si="16"/>
        <v>387</v>
      </c>
      <c r="X23" s="189">
        <f t="shared" ca="1" si="10"/>
        <v>30898.080000000002</v>
      </c>
      <c r="Y23" s="189"/>
      <c r="Z23" s="210">
        <f t="shared" ca="1" si="17"/>
        <v>58</v>
      </c>
    </row>
    <row r="24" spans="3:26">
      <c r="C24" s="90" t="str">
        <f t="shared" ca="1" si="1"/>
        <v>WEC Energy Group, Inc.</v>
      </c>
      <c r="D24" s="87" t="str">
        <f t="shared" ca="1" si="2"/>
        <v>WEC</v>
      </c>
      <c r="E24" s="281">
        <f t="shared" ca="1" si="3"/>
        <v>29735.448</v>
      </c>
      <c r="F24" s="88">
        <f t="shared" ca="1" si="4"/>
        <v>2.9233240187000964E-2</v>
      </c>
      <c r="I24" s="229">
        <f t="shared" si="15"/>
        <v>14</v>
      </c>
      <c r="J24" s="183">
        <f t="shared" ca="1" si="5"/>
        <v>37</v>
      </c>
      <c r="K24" s="182"/>
      <c r="L24" s="182" t="str">
        <f t="shared" ca="1" si="6"/>
        <v>Entergy Corporation</v>
      </c>
      <c r="M24" s="184" t="str">
        <f t="shared" ca="1" si="6"/>
        <v>ETR</v>
      </c>
      <c r="N24" s="224">
        <f t="shared" ca="1" si="11"/>
        <v>32452.850495879997</v>
      </c>
      <c r="O24" s="271">
        <f t="shared" ca="1" si="7"/>
        <v>3.1904747939190063E-2</v>
      </c>
      <c r="P24" s="225"/>
      <c r="Q24" s="183">
        <f t="shared" ca="1" si="8"/>
        <v>11</v>
      </c>
      <c r="R24" s="183">
        <f ca="1">COUNTIF( Q$11:Q24, Q24 ) - 1</f>
        <v>0</v>
      </c>
      <c r="S24" s="183">
        <f t="shared" ca="1" si="12"/>
        <v>11</v>
      </c>
      <c r="T24" s="183">
        <f t="shared" ca="1" si="9"/>
        <v>11</v>
      </c>
      <c r="U24" s="222"/>
      <c r="V24" s="222">
        <f t="shared" ca="1" si="16"/>
        <v>75.819999999999993</v>
      </c>
      <c r="W24" s="188">
        <f t="shared" ca="1" si="16"/>
        <v>428.02493399999997</v>
      </c>
      <c r="X24" s="189">
        <f t="shared" ca="1" si="10"/>
        <v>32452.850495879997</v>
      </c>
      <c r="Y24" s="189"/>
      <c r="Z24" s="210">
        <f t="shared" ca="1" si="17"/>
        <v>31</v>
      </c>
    </row>
    <row r="25" spans="3:26">
      <c r="C25" s="90" t="str">
        <f t="shared" ca="1" si="1"/>
        <v>DTE Energy Company</v>
      </c>
      <c r="D25" s="87" t="str">
        <f t="shared" ca="1" si="2"/>
        <v>DTE</v>
      </c>
      <c r="E25" s="281">
        <f t="shared" ca="1" si="3"/>
        <v>24995.25</v>
      </c>
      <c r="F25" s="88">
        <f t="shared" ca="1" si="4"/>
        <v>2.4573100320672347E-2</v>
      </c>
      <c r="I25" s="229">
        <f t="shared" si="15"/>
        <v>15</v>
      </c>
      <c r="J25" s="183">
        <f t="shared" ca="1" si="5"/>
        <v>11</v>
      </c>
      <c r="K25" s="182"/>
      <c r="L25" s="182" t="str">
        <f t="shared" ca="1" si="6"/>
        <v>Evergy, Inc.</v>
      </c>
      <c r="M25" s="184" t="str">
        <f t="shared" ca="1" si="6"/>
        <v>EVRG</v>
      </c>
      <c r="N25" s="224">
        <f t="shared" ca="1" si="11"/>
        <v>14174.965</v>
      </c>
      <c r="O25" s="271">
        <f t="shared" ca="1" si="7"/>
        <v>1.3935561236115633E-2</v>
      </c>
      <c r="P25" s="225"/>
      <c r="Q25" s="183">
        <f t="shared" ca="1" si="8"/>
        <v>24</v>
      </c>
      <c r="R25" s="183">
        <f ca="1">COUNTIF( Q$11:Q25, Q25 ) - 1</f>
        <v>0</v>
      </c>
      <c r="S25" s="183">
        <f t="shared" ca="1" si="12"/>
        <v>24</v>
      </c>
      <c r="T25" s="183">
        <f t="shared" ca="1" si="9"/>
        <v>24</v>
      </c>
      <c r="U25" s="222"/>
      <c r="V25" s="222">
        <f t="shared" ca="1" si="16"/>
        <v>61.55</v>
      </c>
      <c r="W25" s="188">
        <f t="shared" ca="1" si="16"/>
        <v>230.3</v>
      </c>
      <c r="X25" s="189">
        <f t="shared" ca="1" si="10"/>
        <v>14174.965</v>
      </c>
      <c r="Y25" s="189"/>
      <c r="Z25" s="210">
        <f t="shared" ca="1" si="17"/>
        <v>42</v>
      </c>
    </row>
    <row r="26" spans="3:26">
      <c r="C26" s="90" t="str">
        <f t="shared" ca="1" si="1"/>
        <v>PPL Corporation</v>
      </c>
      <c r="D26" s="87" t="str">
        <f t="shared" ca="1" si="2"/>
        <v>PPL</v>
      </c>
      <c r="E26" s="281">
        <f t="shared" ca="1" si="3"/>
        <v>23962.867039999997</v>
      </c>
      <c r="F26" s="88">
        <f t="shared" ca="1" si="4"/>
        <v>2.355815347895511E-2</v>
      </c>
      <c r="I26" s="229">
        <f t="shared" si="15"/>
        <v>16</v>
      </c>
      <c r="J26" s="183">
        <f t="shared" ca="1" si="5"/>
        <v>32</v>
      </c>
      <c r="K26" s="182"/>
      <c r="L26" s="182" t="str">
        <f t="shared" ca="1" si="6"/>
        <v>Eversource Energy</v>
      </c>
      <c r="M26" s="184" t="str">
        <f t="shared" ca="1" si="6"/>
        <v>ES</v>
      </c>
      <c r="N26" s="224">
        <f t="shared" ca="1" si="11"/>
        <v>20647.263348739998</v>
      </c>
      <c r="O26" s="271">
        <f t="shared" ca="1" si="7"/>
        <v>2.0298547668694222E-2</v>
      </c>
      <c r="P26" s="225"/>
      <c r="Q26" s="183">
        <f t="shared" ca="1" si="8"/>
        <v>19</v>
      </c>
      <c r="R26" s="183">
        <f ca="1">COUNTIF( Q$11:Q26, Q26 ) - 1</f>
        <v>0</v>
      </c>
      <c r="S26" s="183">
        <f t="shared" ca="1" si="12"/>
        <v>19</v>
      </c>
      <c r="T26" s="183">
        <f t="shared" ca="1" si="9"/>
        <v>19</v>
      </c>
      <c r="U26" s="222"/>
      <c r="V26" s="222">
        <f t="shared" ca="1" si="16"/>
        <v>57.43</v>
      </c>
      <c r="W26" s="188">
        <f t="shared" ca="1" si="16"/>
        <v>359.52051799999998</v>
      </c>
      <c r="X26" s="189">
        <f t="shared" ca="1" si="10"/>
        <v>20647.263348739998</v>
      </c>
      <c r="Y26" s="189"/>
      <c r="Z26" s="210">
        <f t="shared" ca="1" si="17"/>
        <v>48</v>
      </c>
    </row>
    <row r="27" spans="3:26">
      <c r="C27" s="90" t="str">
        <f t="shared" ca="1" si="1"/>
        <v>Ameren Corporation</v>
      </c>
      <c r="D27" s="87" t="str">
        <f t="shared" ca="1" si="2"/>
        <v>AEE</v>
      </c>
      <c r="E27" s="281">
        <f t="shared" ca="1" si="3"/>
        <v>23782.552</v>
      </c>
      <c r="F27" s="88">
        <f t="shared" ca="1" si="4"/>
        <v>2.3380883815029126E-2</v>
      </c>
      <c r="I27" s="229">
        <f t="shared" si="15"/>
        <v>17</v>
      </c>
      <c r="J27" s="183">
        <f t="shared" ca="1" si="5"/>
        <v>3</v>
      </c>
      <c r="K27" s="182"/>
      <c r="L27" s="182" t="str">
        <f t="shared" ca="1" si="6"/>
        <v>Exelon Corporation</v>
      </c>
      <c r="M27" s="184" t="str">
        <f t="shared" ca="1" si="6"/>
        <v>EXC</v>
      </c>
      <c r="N27" s="224">
        <f t="shared" ca="1" si="11"/>
        <v>37752.92</v>
      </c>
      <c r="O27" s="271">
        <f t="shared" ca="1" si="7"/>
        <v>3.7115303530003398E-2</v>
      </c>
      <c r="P27" s="225"/>
      <c r="Q27" s="183">
        <f t="shared" ca="1" si="8"/>
        <v>10</v>
      </c>
      <c r="R27" s="183">
        <f ca="1">COUNTIF( Q$11:Q27, Q27 ) - 1</f>
        <v>0</v>
      </c>
      <c r="S27" s="183">
        <f t="shared" ca="1" si="12"/>
        <v>10</v>
      </c>
      <c r="T27" s="183">
        <f t="shared" ca="1" si="9"/>
        <v>10</v>
      </c>
      <c r="U27" s="222"/>
      <c r="V27" s="222">
        <f t="shared" ca="1" si="16"/>
        <v>37.64</v>
      </c>
      <c r="W27" s="188">
        <f t="shared" ca="1" si="16"/>
        <v>1003</v>
      </c>
      <c r="X27" s="189">
        <f t="shared" ca="1" si="10"/>
        <v>37752.92</v>
      </c>
      <c r="Y27" s="189"/>
      <c r="Z27" s="210">
        <f t="shared" ca="1" si="17"/>
        <v>97</v>
      </c>
    </row>
    <row r="28" spans="3:26">
      <c r="C28" s="90" t="str">
        <f t="shared" ca="1" si="1"/>
        <v>FirstEnergy Corp.</v>
      </c>
      <c r="D28" s="87" t="str">
        <f t="shared" ca="1" si="2"/>
        <v>FE</v>
      </c>
      <c r="E28" s="281">
        <f t="shared" ca="1" si="3"/>
        <v>22913.279999999999</v>
      </c>
      <c r="F28" s="88">
        <f t="shared" ca="1" si="4"/>
        <v>2.252629312031907E-2</v>
      </c>
      <c r="I28" s="229">
        <f t="shared" si="15"/>
        <v>18</v>
      </c>
      <c r="J28" s="183">
        <f t="shared" ca="1" si="5"/>
        <v>18</v>
      </c>
      <c r="K28" s="182"/>
      <c r="L28" s="182" t="str">
        <f t="shared" ca="1" si="6"/>
        <v>FirstEnergy Corp.</v>
      </c>
      <c r="M28" s="184" t="str">
        <f t="shared" ca="1" si="6"/>
        <v>FE</v>
      </c>
      <c r="N28" s="224">
        <f t="shared" ca="1" si="11"/>
        <v>22913.279999999999</v>
      </c>
      <c r="O28" s="271">
        <f t="shared" ca="1" si="7"/>
        <v>2.252629312031907E-2</v>
      </c>
      <c r="P28" s="225"/>
      <c r="Q28" s="183">
        <f t="shared" ca="1" si="8"/>
        <v>18</v>
      </c>
      <c r="R28" s="183">
        <f ca="1">COUNTIF( Q$11:Q28, Q28 ) - 1</f>
        <v>0</v>
      </c>
      <c r="S28" s="183">
        <f t="shared" ca="1" si="12"/>
        <v>18</v>
      </c>
      <c r="T28" s="183">
        <f t="shared" ca="1" si="9"/>
        <v>18</v>
      </c>
      <c r="U28" s="222"/>
      <c r="V28" s="222">
        <f t="shared" ca="1" si="16"/>
        <v>39.78</v>
      </c>
      <c r="W28" s="188">
        <f t="shared" ca="1" si="16"/>
        <v>576</v>
      </c>
      <c r="X28" s="189">
        <f t="shared" ca="1" si="10"/>
        <v>22913.279999999999</v>
      </c>
      <c r="Y28" s="189"/>
      <c r="Z28" s="210">
        <f t="shared" ca="1" si="17"/>
        <v>49</v>
      </c>
    </row>
    <row r="29" spans="3:26">
      <c r="C29" s="90" t="str">
        <f t="shared" ca="1" si="1"/>
        <v>Eversource Energy</v>
      </c>
      <c r="D29" s="87" t="str">
        <f t="shared" ca="1" si="2"/>
        <v>ES</v>
      </c>
      <c r="E29" s="281">
        <f t="shared" ca="1" si="3"/>
        <v>20647.263348739998</v>
      </c>
      <c r="F29" s="88">
        <f t="shared" ca="1" si="4"/>
        <v>2.0298547668694222E-2</v>
      </c>
      <c r="I29" s="229">
        <f t="shared" si="15"/>
        <v>19</v>
      </c>
      <c r="J29" s="183">
        <f t="shared" ca="1" si="5"/>
        <v>16</v>
      </c>
      <c r="K29" s="182"/>
      <c r="L29" s="182" t="str">
        <f t="shared" ca="1" si="6"/>
        <v>Hawaiian Electric Industries, Inc.</v>
      </c>
      <c r="M29" s="184" t="str">
        <f t="shared" ca="1" si="6"/>
        <v>HE</v>
      </c>
      <c r="N29" s="224">
        <f t="shared" ca="1" si="11"/>
        <v>1112.70334</v>
      </c>
      <c r="O29" s="271">
        <f t="shared" ca="1" si="7"/>
        <v>1.0939106750669503E-3</v>
      </c>
      <c r="P29" s="225"/>
      <c r="Q29" s="183">
        <f t="shared" ca="1" si="8"/>
        <v>37</v>
      </c>
      <c r="R29" s="183">
        <f ca="1">COUNTIF( Q$11:Q29, Q29 ) - 1</f>
        <v>0</v>
      </c>
      <c r="S29" s="183">
        <f t="shared" ca="1" si="12"/>
        <v>37</v>
      </c>
      <c r="T29" s="183">
        <f t="shared" ca="1" si="9"/>
        <v>37</v>
      </c>
      <c r="U29" s="222"/>
      <c r="V29" s="222">
        <f t="shared" ca="1" si="16"/>
        <v>9.73</v>
      </c>
      <c r="W29" s="188">
        <f t="shared" ca="1" si="16"/>
        <v>114.358</v>
      </c>
      <c r="X29" s="189">
        <f t="shared" ca="1" si="10"/>
        <v>1112.70334</v>
      </c>
      <c r="Y29" s="189"/>
      <c r="Z29" s="210">
        <f t="shared" ca="1" si="17"/>
        <v>37</v>
      </c>
    </row>
    <row r="30" spans="3:26">
      <c r="C30" s="90" t="str">
        <f t="shared" ca="1" si="1"/>
        <v>CenterPoint Energy, Inc.</v>
      </c>
      <c r="D30" s="87" t="str">
        <f t="shared" ca="1" si="2"/>
        <v>CNP</v>
      </c>
      <c r="E30" s="281">
        <f t="shared" ca="1" si="3"/>
        <v>20554.59881</v>
      </c>
      <c r="F30" s="88">
        <f t="shared" ca="1" si="4"/>
        <v>2.0207448159522405E-2</v>
      </c>
      <c r="I30" s="229">
        <f t="shared" si="15"/>
        <v>20</v>
      </c>
      <c r="J30" s="183">
        <f t="shared" ca="1" si="5"/>
        <v>7</v>
      </c>
      <c r="K30" s="182"/>
      <c r="L30" s="182" t="str">
        <f t="shared" ca="1" si="6"/>
        <v>IDACORP, Inc.</v>
      </c>
      <c r="M30" s="184" t="str">
        <f t="shared" ca="1" si="6"/>
        <v>IDA</v>
      </c>
      <c r="N30" s="224">
        <f t="shared" ca="1" si="11"/>
        <v>5834.0220800000006</v>
      </c>
      <c r="O30" s="271">
        <f t="shared" ca="1" si="7"/>
        <v>5.7354901369203173E-3</v>
      </c>
      <c r="P30" s="225"/>
      <c r="Q30" s="183">
        <f t="shared" ca="1" si="8"/>
        <v>27</v>
      </c>
      <c r="R30" s="183">
        <f ca="1">COUNTIF( Q$11:Q30, Q30 ) - 1</f>
        <v>0</v>
      </c>
      <c r="S30" s="183">
        <f t="shared" ca="1" si="12"/>
        <v>27</v>
      </c>
      <c r="T30" s="183">
        <f t="shared" ca="1" si="9"/>
        <v>27</v>
      </c>
      <c r="U30" s="222"/>
      <c r="V30" s="222">
        <f t="shared" ca="1" si="16"/>
        <v>109.28</v>
      </c>
      <c r="W30" s="188">
        <f t="shared" ca="1" si="16"/>
        <v>53.386000000000003</v>
      </c>
      <c r="X30" s="189">
        <f t="shared" ca="1" si="10"/>
        <v>5834.0220800000006</v>
      </c>
      <c r="Y30" s="189"/>
      <c r="Z30" s="210">
        <f t="shared" ca="1" si="17"/>
        <v>39</v>
      </c>
    </row>
    <row r="31" spans="3:26">
      <c r="C31" s="90" t="str">
        <f t="shared" ca="1" si="1"/>
        <v>CMS Energy Corporation</v>
      </c>
      <c r="D31" s="87" t="str">
        <f t="shared" ca="1" si="2"/>
        <v>CMS</v>
      </c>
      <c r="E31" s="281">
        <f t="shared" ca="1" si="3"/>
        <v>19861.7</v>
      </c>
      <c r="F31" s="88">
        <f t="shared" ca="1" si="4"/>
        <v>1.9526251853416068E-2</v>
      </c>
      <c r="I31" s="229">
        <f t="shared" si="15"/>
        <v>21</v>
      </c>
      <c r="J31" s="183">
        <f t="shared" ca="1" si="5"/>
        <v>8</v>
      </c>
      <c r="K31" s="182"/>
      <c r="L31" s="182" t="str">
        <f t="shared" ca="1" si="6"/>
        <v>MDU Resources Group, Inc.</v>
      </c>
      <c r="M31" s="184" t="str">
        <f t="shared" ca="1" si="6"/>
        <v>MDU</v>
      </c>
      <c r="N31" s="224">
        <f t="shared" ca="1" si="11"/>
        <v>3674.06176</v>
      </c>
      <c r="O31" s="271">
        <f t="shared" ca="1" si="7"/>
        <v>3.6120098103770118E-3</v>
      </c>
      <c r="P31" s="225"/>
      <c r="Q31" s="183">
        <f t="shared" ca="1" si="8"/>
        <v>32</v>
      </c>
      <c r="R31" s="183">
        <f ca="1">COUNTIF( Q$11:Q31, Q31 ) - 1</f>
        <v>0</v>
      </c>
      <c r="S31" s="183">
        <f t="shared" ca="1" si="12"/>
        <v>32</v>
      </c>
      <c r="T31" s="183">
        <f t="shared" ca="1" si="9"/>
        <v>32</v>
      </c>
      <c r="U31" s="222"/>
      <c r="V31" s="222">
        <f t="shared" ca="1" si="16"/>
        <v>18.02</v>
      </c>
      <c r="W31" s="188">
        <f t="shared" ca="1" si="16"/>
        <v>203.88800000000001</v>
      </c>
      <c r="X31" s="189">
        <f t="shared" ca="1" si="10"/>
        <v>3674.06176</v>
      </c>
      <c r="Y31" s="189"/>
      <c r="Z31" s="210">
        <f t="shared" ca="1" si="17"/>
        <v>112</v>
      </c>
    </row>
    <row r="32" spans="3:26">
      <c r="C32" s="90" t="str">
        <f t="shared" ca="1" si="1"/>
        <v>NiSource Inc.</v>
      </c>
      <c r="D32" s="87" t="str">
        <f t="shared" ca="1" si="2"/>
        <v>NI</v>
      </c>
      <c r="E32" s="281">
        <f t="shared" ca="1" si="3"/>
        <v>16611.843999999997</v>
      </c>
      <c r="F32" s="88">
        <f t="shared" ca="1" si="4"/>
        <v>1.6331283308763021E-2</v>
      </c>
      <c r="I32" s="229">
        <f t="shared" si="15"/>
        <v>22</v>
      </c>
      <c r="J32" s="183">
        <f t="shared" ca="1" si="5"/>
        <v>24</v>
      </c>
      <c r="K32" s="182"/>
      <c r="L32" s="182" t="str">
        <f t="shared" ca="1" si="6"/>
        <v>MGE Energy, Inc.</v>
      </c>
      <c r="M32" s="184" t="str">
        <f t="shared" ca="1" si="6"/>
        <v>MGEE</v>
      </c>
      <c r="N32" s="224">
        <f t="shared" ca="1" si="11"/>
        <v>3399.5667599999997</v>
      </c>
      <c r="O32" s="271">
        <f t="shared" ca="1" si="7"/>
        <v>3.342150810266072E-3</v>
      </c>
      <c r="P32" s="225"/>
      <c r="Q32" s="183">
        <f t="shared" ca="1" si="8"/>
        <v>33</v>
      </c>
      <c r="R32" s="183">
        <f ca="1">COUNTIF( Q$11:Q32, Q32 ) - 1</f>
        <v>0</v>
      </c>
      <c r="S32" s="183">
        <f t="shared" ca="1" si="12"/>
        <v>33</v>
      </c>
      <c r="T32" s="183">
        <f t="shared" ca="1" si="9"/>
        <v>33</v>
      </c>
      <c r="U32" s="222"/>
      <c r="V32" s="222">
        <f t="shared" ca="1" si="16"/>
        <v>93.96</v>
      </c>
      <c r="W32" s="188">
        <f t="shared" ca="1" si="16"/>
        <v>36.180999999999997</v>
      </c>
      <c r="X32" s="189">
        <f t="shared" ca="1" si="10"/>
        <v>3399.5667599999997</v>
      </c>
      <c r="Y32" s="189"/>
      <c r="Z32" s="210">
        <f t="shared" ca="1" si="17"/>
        <v>85</v>
      </c>
    </row>
    <row r="33" spans="3:26">
      <c r="C33" s="90" t="str">
        <f t="shared" ca="1" si="1"/>
        <v>Alliant Energy Corporation</v>
      </c>
      <c r="D33" s="87" t="str">
        <f t="shared" ca="1" si="2"/>
        <v>LNT</v>
      </c>
      <c r="E33" s="281">
        <f t="shared" ca="1" si="3"/>
        <v>15175.324000000002</v>
      </c>
      <c r="F33" s="88">
        <f t="shared" ca="1" si="4"/>
        <v>1.4919024976773859E-2</v>
      </c>
      <c r="I33" s="229">
        <f t="shared" si="15"/>
        <v>23</v>
      </c>
      <c r="J33" s="183">
        <f t="shared" ca="1" si="5"/>
        <v>2</v>
      </c>
      <c r="K33" s="182"/>
      <c r="L33" s="182" t="str">
        <f t="shared" ca="1" si="6"/>
        <v>NextEra Energy, Inc.</v>
      </c>
      <c r="M33" s="184" t="str">
        <f t="shared" ca="1" si="6"/>
        <v>NEE</v>
      </c>
      <c r="N33" s="224">
        <f t="shared" ca="1" si="11"/>
        <v>147215.41500000001</v>
      </c>
      <c r="O33" s="271">
        <f t="shared" ca="1" si="7"/>
        <v>0.1447290649841235</v>
      </c>
      <c r="P33" s="225"/>
      <c r="Q33" s="183">
        <f t="shared" ca="1" si="8"/>
        <v>1</v>
      </c>
      <c r="R33" s="183">
        <f ca="1">COUNTIF( Q$11:Q33, Q33 ) - 1</f>
        <v>0</v>
      </c>
      <c r="S33" s="183">
        <f t="shared" ca="1" si="12"/>
        <v>1</v>
      </c>
      <c r="T33" s="183">
        <f t="shared" ca="1" si="9"/>
        <v>1</v>
      </c>
      <c r="U33" s="222"/>
      <c r="V33" s="222">
        <f t="shared" ca="1" si="16"/>
        <v>71.69</v>
      </c>
      <c r="W33" s="188">
        <f t="shared" ca="1" si="16"/>
        <v>2053.5</v>
      </c>
      <c r="X33" s="189">
        <f t="shared" ca="1" si="10"/>
        <v>147215.41500000001</v>
      </c>
      <c r="Y33" s="189"/>
      <c r="Z33" s="210">
        <f t="shared" ca="1" si="17"/>
        <v>32</v>
      </c>
    </row>
    <row r="34" spans="3:26">
      <c r="C34" s="90" t="str">
        <f t="shared" ca="1" si="1"/>
        <v>Evergy, Inc.</v>
      </c>
      <c r="D34" s="87" t="str">
        <f t="shared" ca="1" si="2"/>
        <v>EVRG</v>
      </c>
      <c r="E34" s="281">
        <f t="shared" ca="1" si="3"/>
        <v>14174.965</v>
      </c>
      <c r="F34" s="88">
        <f t="shared" ca="1" si="4"/>
        <v>1.3935561236115633E-2</v>
      </c>
      <c r="I34" s="229">
        <f t="shared" si="15"/>
        <v>24</v>
      </c>
      <c r="J34" s="183">
        <f t="shared" ca="1" si="5"/>
        <v>15</v>
      </c>
      <c r="K34" s="182"/>
      <c r="L34" s="182" t="str">
        <f t="shared" ca="1" si="6"/>
        <v>NiSource Inc.</v>
      </c>
      <c r="M34" s="184" t="str">
        <f t="shared" ca="1" si="6"/>
        <v>NI</v>
      </c>
      <c r="N34" s="224">
        <f t="shared" ca="1" si="11"/>
        <v>16611.843999999997</v>
      </c>
      <c r="O34" s="271">
        <f t="shared" ca="1" si="7"/>
        <v>1.6331283308763021E-2</v>
      </c>
      <c r="P34" s="225"/>
      <c r="Q34" s="183">
        <f t="shared" ca="1" si="8"/>
        <v>22</v>
      </c>
      <c r="R34" s="183">
        <f ca="1">COUNTIF( Q$11:Q34, Q34 ) - 1</f>
        <v>0</v>
      </c>
      <c r="S34" s="183">
        <f t="shared" ca="1" si="12"/>
        <v>22</v>
      </c>
      <c r="T34" s="183">
        <f t="shared" ca="1" si="9"/>
        <v>22</v>
      </c>
      <c r="U34" s="222"/>
      <c r="V34" s="222">
        <f t="shared" ca="1" si="16"/>
        <v>36.76</v>
      </c>
      <c r="W34" s="188">
        <f t="shared" ca="1" si="16"/>
        <v>451.9</v>
      </c>
      <c r="X34" s="189">
        <f t="shared" ca="1" si="10"/>
        <v>16611.843999999997</v>
      </c>
      <c r="Y34" s="189"/>
      <c r="Z34" s="210">
        <f t="shared" ca="1" si="17"/>
        <v>89</v>
      </c>
    </row>
    <row r="35" spans="3:26">
      <c r="C35" s="90" t="str">
        <f t="shared" ca="1" si="1"/>
        <v>Pinnacle West Capital Corporation</v>
      </c>
      <c r="D35" s="87" t="str">
        <f t="shared" ca="1" si="2"/>
        <v>PNW</v>
      </c>
      <c r="E35" s="281">
        <f t="shared" ca="1" si="3"/>
        <v>9640.8073299999996</v>
      </c>
      <c r="F35" s="88">
        <f t="shared" ca="1" si="4"/>
        <v>9.4779818442449378E-3</v>
      </c>
      <c r="I35" s="229">
        <f t="shared" si="15"/>
        <v>25</v>
      </c>
      <c r="J35" s="183">
        <f t="shared" ca="1" si="5"/>
        <v>29</v>
      </c>
      <c r="K35" s="182"/>
      <c r="L35" s="182" t="str">
        <f t="shared" ca="1" si="6"/>
        <v>NorthWestern Corporation</v>
      </c>
      <c r="M35" s="184" t="str">
        <f t="shared" ca="1" si="6"/>
        <v>NWE</v>
      </c>
      <c r="N35" s="224">
        <f t="shared" ca="1" si="11"/>
        <v>3277.1886681599999</v>
      </c>
      <c r="O35" s="271">
        <f t="shared" ca="1" si="7"/>
        <v>3.2218395860199949E-3</v>
      </c>
      <c r="P35" s="225"/>
      <c r="Q35" s="183">
        <f t="shared" ca="1" si="8"/>
        <v>34</v>
      </c>
      <c r="R35" s="183">
        <f ca="1">COUNTIF( Q$11:Q35, Q35 ) - 1</f>
        <v>0</v>
      </c>
      <c r="S35" s="183">
        <f t="shared" ca="1" si="12"/>
        <v>34</v>
      </c>
      <c r="T35" s="183">
        <f t="shared" ca="1" si="9"/>
        <v>34</v>
      </c>
      <c r="U35" s="222"/>
      <c r="V35" s="222">
        <f t="shared" ca="1" si="16"/>
        <v>53.46</v>
      </c>
      <c r="W35" s="188">
        <f t="shared" ca="1" si="16"/>
        <v>61.301696</v>
      </c>
      <c r="X35" s="189">
        <f t="shared" ca="1" si="10"/>
        <v>3277.1886681599999</v>
      </c>
      <c r="Y35" s="189"/>
      <c r="Z35" s="210">
        <f t="shared" ca="1" si="17"/>
        <v>93</v>
      </c>
    </row>
    <row r="36" spans="3:26">
      <c r="C36" s="90" t="str">
        <f t="shared" ca="1" si="1"/>
        <v>OGE Energy Corp.</v>
      </c>
      <c r="D36" s="87" t="str">
        <f t="shared" ca="1" si="2"/>
        <v>OGE</v>
      </c>
      <c r="E36" s="281">
        <f t="shared" ca="1" si="3"/>
        <v>8287.125</v>
      </c>
      <c r="F36" s="88">
        <f t="shared" ca="1" si="4"/>
        <v>8.147162120600987E-3</v>
      </c>
      <c r="I36" s="229">
        <f t="shared" si="15"/>
        <v>26</v>
      </c>
      <c r="J36" s="183">
        <f t="shared" ca="1" si="5"/>
        <v>26</v>
      </c>
      <c r="K36" s="182"/>
      <c r="L36" s="182" t="str">
        <f t="shared" ca="1" si="6"/>
        <v>OGE Energy Corp.</v>
      </c>
      <c r="M36" s="184" t="str">
        <f t="shared" ca="1" si="6"/>
        <v>OGE</v>
      </c>
      <c r="N36" s="224">
        <f t="shared" ca="1" si="11"/>
        <v>8287.125</v>
      </c>
      <c r="O36" s="271">
        <f t="shared" ca="1" si="7"/>
        <v>8.147162120600987E-3</v>
      </c>
      <c r="P36" s="225"/>
      <c r="Q36" s="183">
        <f t="shared" ca="1" si="8"/>
        <v>26</v>
      </c>
      <c r="R36" s="183">
        <f ca="1">COUNTIF( Q$11:Q36, Q36 ) - 1</f>
        <v>0</v>
      </c>
      <c r="S36" s="183">
        <f t="shared" ca="1" si="12"/>
        <v>26</v>
      </c>
      <c r="T36" s="183">
        <f t="shared" ca="1" si="9"/>
        <v>26</v>
      </c>
      <c r="U36" s="222"/>
      <c r="V36" s="222">
        <f t="shared" ca="1" si="16"/>
        <v>41.25</v>
      </c>
      <c r="W36" s="188">
        <f t="shared" ca="1" si="16"/>
        <v>200.9</v>
      </c>
      <c r="X36" s="189">
        <f t="shared" ca="1" si="10"/>
        <v>8287.125</v>
      </c>
      <c r="Y36" s="189"/>
      <c r="Z36" s="210">
        <f t="shared" ca="1" si="17"/>
        <v>50</v>
      </c>
    </row>
    <row r="37" spans="3:26">
      <c r="C37" s="90" t="str">
        <f t="shared" ca="1" si="1"/>
        <v>IDACORP, Inc.</v>
      </c>
      <c r="D37" s="87" t="str">
        <f t="shared" ca="1" si="2"/>
        <v>IDA</v>
      </c>
      <c r="E37" s="281">
        <f t="shared" ca="1" si="3"/>
        <v>5834.0220800000006</v>
      </c>
      <c r="F37" s="88">
        <f t="shared" ca="1" si="4"/>
        <v>5.7354901369203173E-3</v>
      </c>
      <c r="I37" s="229">
        <f t="shared" si="15"/>
        <v>27</v>
      </c>
      <c r="J37" s="183">
        <f t="shared" ca="1" si="5"/>
        <v>20</v>
      </c>
      <c r="K37" s="182"/>
      <c r="L37" s="182" t="str">
        <f t="shared" ca="1" si="6"/>
        <v>Otter Tail Corporation</v>
      </c>
      <c r="M37" s="184" t="str">
        <f t="shared" ca="1" si="6"/>
        <v>OTTR</v>
      </c>
      <c r="N37" s="224">
        <f t="shared" ca="1" si="11"/>
        <v>3086.5119999999997</v>
      </c>
      <c r="O37" s="271">
        <f t="shared" ca="1" si="7"/>
        <v>3.0343832935041271E-3</v>
      </c>
      <c r="P37" s="225"/>
      <c r="Q37" s="183">
        <f t="shared" ca="1" si="8"/>
        <v>35</v>
      </c>
      <c r="R37" s="183">
        <f ca="1">COUNTIF( Q$11:Q37, Q37 ) - 1</f>
        <v>0</v>
      </c>
      <c r="S37" s="183">
        <f t="shared" ca="1" si="12"/>
        <v>35</v>
      </c>
      <c r="T37" s="183">
        <f t="shared" ca="1" si="9"/>
        <v>35</v>
      </c>
      <c r="U37" s="222"/>
      <c r="V37" s="222">
        <f t="shared" ca="1" si="16"/>
        <v>73.84</v>
      </c>
      <c r="W37" s="188">
        <f t="shared" ca="1" si="16"/>
        <v>41.8</v>
      </c>
      <c r="X37" s="189">
        <f t="shared" ca="1" si="10"/>
        <v>3086.5119999999997</v>
      </c>
      <c r="Y37" s="189"/>
      <c r="Z37" s="210">
        <f t="shared" ca="1" si="17"/>
        <v>51</v>
      </c>
    </row>
    <row r="38" spans="3:26">
      <c r="C38" s="90" t="str">
        <f t="shared" ca="1" si="1"/>
        <v>Portland General Electric Company</v>
      </c>
      <c r="D38" s="87" t="str">
        <f t="shared" ca="1" si="2"/>
        <v>POR</v>
      </c>
      <c r="E38" s="281">
        <f t="shared" ca="1" si="3"/>
        <v>4529.7188999999998</v>
      </c>
      <c r="F38" s="88">
        <f t="shared" ca="1" si="4"/>
        <v>4.4532155891277578E-3</v>
      </c>
      <c r="I38" s="229">
        <f t="shared" si="15"/>
        <v>28</v>
      </c>
      <c r="J38" s="183">
        <f t="shared" ca="1" si="5"/>
        <v>31</v>
      </c>
      <c r="K38" s="182"/>
      <c r="L38" s="182" t="str">
        <f t="shared" ca="1" si="6"/>
        <v>PG&amp;E Corporation</v>
      </c>
      <c r="M38" s="184" t="str">
        <f t="shared" ca="1" si="6"/>
        <v>PCG</v>
      </c>
      <c r="N38" s="224">
        <f t="shared" ca="1" si="11"/>
        <v>43124.659999999996</v>
      </c>
      <c r="O38" s="271">
        <f t="shared" ca="1" si="7"/>
        <v>4.2396319159635765E-2</v>
      </c>
      <c r="P38" s="225"/>
      <c r="Q38" s="183">
        <f t="shared" ca="1" si="8"/>
        <v>7</v>
      </c>
      <c r="R38" s="183">
        <f ca="1">COUNTIF( Q$11:Q38, Q38 ) - 1</f>
        <v>0</v>
      </c>
      <c r="S38" s="183">
        <f t="shared" ca="1" si="12"/>
        <v>7</v>
      </c>
      <c r="T38" s="183">
        <f t="shared" ca="1" si="9"/>
        <v>7</v>
      </c>
      <c r="U38" s="222"/>
      <c r="V38" s="222">
        <f t="shared" ca="1" si="16"/>
        <v>20.18</v>
      </c>
      <c r="W38" s="188">
        <f t="shared" ca="1" si="16"/>
        <v>2137</v>
      </c>
      <c r="X38" s="189">
        <f t="shared" ca="1" si="10"/>
        <v>43124.659999999996</v>
      </c>
      <c r="Y38" s="189"/>
      <c r="Z38" s="210">
        <f t="shared" ca="1" si="17"/>
        <v>95</v>
      </c>
    </row>
    <row r="39" spans="3:26">
      <c r="C39" s="90" t="str">
        <f t="shared" ca="1" si="1"/>
        <v>TXNM Energy, Inc.</v>
      </c>
      <c r="D39" s="87" t="str">
        <f t="shared" ca="1" si="2"/>
        <v>TXNM</v>
      </c>
      <c r="E39" s="281">
        <f t="shared" ca="1" si="3"/>
        <v>4451.3600999999999</v>
      </c>
      <c r="F39" s="88">
        <f t="shared" ca="1" si="4"/>
        <v>4.3761802062687143E-3</v>
      </c>
      <c r="I39" s="229">
        <f t="shared" si="15"/>
        <v>29</v>
      </c>
      <c r="J39" s="183">
        <f t="shared" ca="1" si="5"/>
        <v>30</v>
      </c>
      <c r="K39" s="182"/>
      <c r="L39" s="182" t="str">
        <f t="shared" ca="1" si="6"/>
        <v>Pinnacle West Capital Corporation</v>
      </c>
      <c r="M39" s="184" t="str">
        <f t="shared" ca="1" si="6"/>
        <v>PNW</v>
      </c>
      <c r="N39" s="224">
        <f t="shared" ca="1" si="11"/>
        <v>9640.8073299999996</v>
      </c>
      <c r="O39" s="271">
        <f t="shared" ca="1" si="7"/>
        <v>9.4779818442449378E-3</v>
      </c>
      <c r="P39" s="225"/>
      <c r="Q39" s="183">
        <f t="shared" ca="1" si="8"/>
        <v>25</v>
      </c>
      <c r="R39" s="183">
        <f ca="1">COUNTIF( Q$11:Q39, Q39 ) - 1</f>
        <v>0</v>
      </c>
      <c r="S39" s="183">
        <f t="shared" ca="1" si="12"/>
        <v>25</v>
      </c>
      <c r="T39" s="183">
        <f t="shared" ca="1" si="9"/>
        <v>25</v>
      </c>
      <c r="U39" s="222"/>
      <c r="V39" s="222">
        <f t="shared" ca="1" si="16"/>
        <v>84.77</v>
      </c>
      <c r="W39" s="188">
        <f t="shared" ca="1" si="16"/>
        <v>113.729</v>
      </c>
      <c r="X39" s="189">
        <f t="shared" ca="1" si="10"/>
        <v>9640.8073299999996</v>
      </c>
      <c r="Y39" s="189"/>
      <c r="Z39" s="210">
        <f t="shared" ca="1" si="17"/>
        <v>54</v>
      </c>
    </row>
    <row r="40" spans="3:26">
      <c r="C40" s="90" t="str">
        <f t="shared" ca="1" si="1"/>
        <v>Black Hills Corporation</v>
      </c>
      <c r="D40" s="87" t="str">
        <f t="shared" ca="1" si="2"/>
        <v>BKH</v>
      </c>
      <c r="E40" s="281">
        <f t="shared" ca="1" si="3"/>
        <v>4125.66</v>
      </c>
      <c r="F40" s="88">
        <f t="shared" ca="1" si="4"/>
        <v>4.0559809191340378E-3</v>
      </c>
      <c r="I40" s="229">
        <f t="shared" si="15"/>
        <v>30</v>
      </c>
      <c r="J40" s="183">
        <f t="shared" ca="1" si="5"/>
        <v>6</v>
      </c>
      <c r="K40" s="182"/>
      <c r="L40" s="182" t="str">
        <f t="shared" ca="1" si="6"/>
        <v>TXNM Energy, Inc.</v>
      </c>
      <c r="M40" s="184" t="str">
        <f t="shared" ca="1" si="6"/>
        <v>TXNM</v>
      </c>
      <c r="N40" s="224">
        <f t="shared" ca="1" si="11"/>
        <v>4451.3600999999999</v>
      </c>
      <c r="O40" s="271">
        <f t="shared" ca="1" si="7"/>
        <v>4.3761802062687143E-3</v>
      </c>
      <c r="P40" s="225"/>
      <c r="Q40" s="183">
        <f t="shared" ca="1" si="8"/>
        <v>29</v>
      </c>
      <c r="R40" s="183">
        <f ca="1">COUNTIF( Q$11:Q40, Q40 ) - 1</f>
        <v>0</v>
      </c>
      <c r="S40" s="183">
        <f t="shared" ca="1" si="12"/>
        <v>29</v>
      </c>
      <c r="T40" s="183">
        <f t="shared" ca="1" si="9"/>
        <v>29</v>
      </c>
      <c r="U40" s="222"/>
      <c r="V40" s="222">
        <f t="shared" ca="1" si="16"/>
        <v>49.17</v>
      </c>
      <c r="W40" s="188">
        <f t="shared" ca="1" si="16"/>
        <v>90.53</v>
      </c>
      <c r="X40" s="189">
        <f t="shared" ca="1" si="10"/>
        <v>4451.3600999999999</v>
      </c>
      <c r="Y40" s="189"/>
      <c r="Z40" s="210">
        <f t="shared" ca="1" si="17"/>
        <v>99</v>
      </c>
    </row>
    <row r="41" spans="3:26">
      <c r="C41" s="90" t="str">
        <f t="shared" ca="1" si="1"/>
        <v>ALLETE, Inc.</v>
      </c>
      <c r="D41" s="87" t="str">
        <f t="shared" ca="1" si="2"/>
        <v>ALE</v>
      </c>
      <c r="E41" s="281">
        <f t="shared" ca="1" si="3"/>
        <v>3745.4399999999996</v>
      </c>
      <c r="F41" s="88">
        <f t="shared" ca="1" si="4"/>
        <v>3.6821825292829248E-3</v>
      </c>
      <c r="I41" s="229">
        <f t="shared" si="15"/>
        <v>31</v>
      </c>
      <c r="J41" s="183">
        <f t="shared" ca="1" si="5"/>
        <v>1</v>
      </c>
      <c r="K41" s="182"/>
      <c r="L41" s="182" t="str">
        <f t="shared" ca="1" si="6"/>
        <v>Portland General Electric Company</v>
      </c>
      <c r="M41" s="184" t="str">
        <f t="shared" ca="1" si="6"/>
        <v>POR</v>
      </c>
      <c r="N41" s="224">
        <f t="shared" ca="1" si="11"/>
        <v>4529.7188999999998</v>
      </c>
      <c r="O41" s="271">
        <f t="shared" ca="1" si="7"/>
        <v>4.4532155891277578E-3</v>
      </c>
      <c r="P41" s="225"/>
      <c r="Q41" s="183">
        <f t="shared" ca="1" si="8"/>
        <v>28</v>
      </c>
      <c r="R41" s="183">
        <f ca="1">COUNTIF( Q$11:Q41, Q41 ) - 1</f>
        <v>0</v>
      </c>
      <c r="S41" s="183">
        <f t="shared" ca="1" si="12"/>
        <v>28</v>
      </c>
      <c r="T41" s="183">
        <f t="shared" ca="1" si="9"/>
        <v>28</v>
      </c>
      <c r="U41" s="222"/>
      <c r="V41" s="222">
        <f t="shared" ca="1" si="16"/>
        <v>43.62</v>
      </c>
      <c r="W41" s="188">
        <f t="shared" ca="1" si="16"/>
        <v>103.845</v>
      </c>
      <c r="X41" s="189">
        <f t="shared" ca="1" si="10"/>
        <v>4529.7188999999998</v>
      </c>
      <c r="Y41" s="189"/>
      <c r="Z41" s="210">
        <f t="shared" ca="1" si="17"/>
        <v>113</v>
      </c>
    </row>
    <row r="42" spans="3:26">
      <c r="C42" s="90" t="str">
        <f t="shared" ca="1" si="1"/>
        <v>MDU Resources Group, Inc.</v>
      </c>
      <c r="D42" s="87" t="str">
        <f t="shared" ca="1" si="2"/>
        <v>MDU</v>
      </c>
      <c r="E42" s="281">
        <f t="shared" ca="1" si="3"/>
        <v>3674.06176</v>
      </c>
      <c r="F42" s="88">
        <f t="shared" ca="1" si="4"/>
        <v>3.6120098103770118E-3</v>
      </c>
      <c r="I42" s="229">
        <f t="shared" si="15"/>
        <v>32</v>
      </c>
      <c r="J42" s="183">
        <f t="shared" ca="1" si="5"/>
        <v>21</v>
      </c>
      <c r="K42" s="182"/>
      <c r="L42" s="182" t="str">
        <f t="shared" ca="1" si="6"/>
        <v>PPL Corporation</v>
      </c>
      <c r="M42" s="184" t="str">
        <f t="shared" ca="1" si="6"/>
        <v>PPL</v>
      </c>
      <c r="N42" s="224">
        <f t="shared" ca="1" si="11"/>
        <v>23962.867039999997</v>
      </c>
      <c r="O42" s="271">
        <f t="shared" ca="1" si="7"/>
        <v>2.355815347895511E-2</v>
      </c>
      <c r="P42" s="225"/>
      <c r="Q42" s="183">
        <f t="shared" ca="1" si="8"/>
        <v>16</v>
      </c>
      <c r="R42" s="183">
        <f ca="1">COUNTIF( Q$11:Q42, Q42 ) - 1</f>
        <v>0</v>
      </c>
      <c r="S42" s="183">
        <f t="shared" ca="1" si="12"/>
        <v>16</v>
      </c>
      <c r="T42" s="183">
        <f t="shared" ca="1" si="9"/>
        <v>16</v>
      </c>
      <c r="U42" s="222"/>
      <c r="V42" s="222">
        <f t="shared" ca="1" si="16"/>
        <v>32.479999999999997</v>
      </c>
      <c r="W42" s="188">
        <f t="shared" ca="1" si="16"/>
        <v>737.77300000000002</v>
      </c>
      <c r="X42" s="189">
        <f t="shared" ca="1" si="10"/>
        <v>23962.867039999997</v>
      </c>
      <c r="Y42" s="189"/>
      <c r="Z42" s="210">
        <f t="shared" ca="1" si="17"/>
        <v>53</v>
      </c>
    </row>
    <row r="43" spans="3:26">
      <c r="C43" s="90" t="str">
        <f t="shared" ref="C43:C48" ca="1" si="18">OFFSET( L$10, $J43, 0 )</f>
        <v>MGE Energy, Inc.</v>
      </c>
      <c r="D43" s="87" t="str">
        <f t="shared" ref="D43:D48" ca="1" si="19">OFFSET( M$10, $J43, 0 )</f>
        <v>MGEE</v>
      </c>
      <c r="E43" s="281">
        <f t="shared" ref="E43:E48" ca="1" si="20">OFFSET( N$10, $J43, 0 )</f>
        <v>3399.5667599999997</v>
      </c>
      <c r="F43" s="88">
        <f t="shared" ref="F43:F48" ca="1" si="21">OFFSET( O$10, $J43, 0 )</f>
        <v>3.342150810266072E-3</v>
      </c>
      <c r="I43" s="229">
        <f t="shared" si="15"/>
        <v>33</v>
      </c>
      <c r="J43" s="183">
        <f t="shared" ca="1" si="5"/>
        <v>22</v>
      </c>
      <c r="K43" s="182"/>
      <c r="L43" s="182" t="str">
        <f t="shared" ca="1" si="6"/>
        <v>Public Service Enterprise Group Incorporated</v>
      </c>
      <c r="M43" s="184" t="str">
        <f t="shared" ca="1" si="6"/>
        <v>PEG</v>
      </c>
      <c r="N43" s="224">
        <f t="shared" ca="1" si="11"/>
        <v>42076.02</v>
      </c>
      <c r="O43" s="271">
        <f t="shared" ca="1" si="7"/>
        <v>4.1365389846255429E-2</v>
      </c>
      <c r="P43" s="225"/>
      <c r="Q43" s="183">
        <f t="shared" ca="1" si="8"/>
        <v>8</v>
      </c>
      <c r="R43" s="183">
        <f ca="1">COUNTIF( Q$11:Q43, Q43 ) - 1</f>
        <v>0</v>
      </c>
      <c r="S43" s="183">
        <f t="shared" ca="1" si="12"/>
        <v>8</v>
      </c>
      <c r="T43" s="183">
        <f t="shared" ca="1" si="9"/>
        <v>8</v>
      </c>
      <c r="U43" s="222"/>
      <c r="V43" s="222">
        <f t="shared" ca="1" si="16"/>
        <v>84.49</v>
      </c>
      <c r="W43" s="188">
        <f t="shared" ca="1" si="16"/>
        <v>498</v>
      </c>
      <c r="X43" s="189">
        <f t="shared" ca="1" si="10"/>
        <v>42076.02</v>
      </c>
      <c r="Y43" s="189"/>
      <c r="Z43" s="210">
        <f t="shared" ca="1" si="17"/>
        <v>100</v>
      </c>
    </row>
    <row r="44" spans="3:26">
      <c r="C44" s="90" t="str">
        <f t="shared" ca="1" si="18"/>
        <v>NorthWestern Corporation</v>
      </c>
      <c r="D44" s="87" t="str">
        <f t="shared" ca="1" si="19"/>
        <v>NWE</v>
      </c>
      <c r="E44" s="281">
        <f t="shared" ca="1" si="20"/>
        <v>3277.1886681599999</v>
      </c>
      <c r="F44" s="88">
        <f t="shared" ca="1" si="21"/>
        <v>3.2218395860199949E-3</v>
      </c>
      <c r="I44" s="229">
        <f t="shared" si="15"/>
        <v>34</v>
      </c>
      <c r="J44" s="183">
        <f t="shared" ca="1" si="5"/>
        <v>25</v>
      </c>
      <c r="K44" s="182"/>
      <c r="L44" s="182" t="str">
        <f t="shared" ca="1" si="6"/>
        <v xml:space="preserve">Sempra </v>
      </c>
      <c r="M44" s="184" t="str">
        <f t="shared" ca="1" si="6"/>
        <v>SRE</v>
      </c>
      <c r="N44" s="224">
        <f t="shared" ca="1" si="11"/>
        <v>55592.725439999995</v>
      </c>
      <c r="O44" s="271">
        <f t="shared" ca="1" si="7"/>
        <v>5.4653808997178005E-2</v>
      </c>
      <c r="P44" s="225"/>
      <c r="Q44" s="183">
        <f t="shared" ca="1" si="8"/>
        <v>4</v>
      </c>
      <c r="R44" s="183">
        <f ca="1">COUNTIF( Q$11:Q44, Q44 ) - 1</f>
        <v>0</v>
      </c>
      <c r="S44" s="183">
        <f t="shared" ca="1" si="12"/>
        <v>4</v>
      </c>
      <c r="T44" s="183">
        <f t="shared" ca="1" si="9"/>
        <v>4</v>
      </c>
      <c r="U44" s="222"/>
      <c r="V44" s="222">
        <f t="shared" ca="1" si="16"/>
        <v>87.72</v>
      </c>
      <c r="W44" s="188">
        <f t="shared" ca="1" si="16"/>
        <v>633.75199999999995</v>
      </c>
      <c r="X44" s="189">
        <f t="shared" ca="1" si="10"/>
        <v>55592.725439999995</v>
      </c>
      <c r="Y44" s="189"/>
      <c r="Z44" s="210">
        <f t="shared" ca="1" si="17"/>
        <v>103</v>
      </c>
    </row>
    <row r="45" spans="3:26">
      <c r="C45" s="90" t="str">
        <f t="shared" ca="1" si="18"/>
        <v>Otter Tail Corporation</v>
      </c>
      <c r="D45" s="87" t="str">
        <f t="shared" ca="1" si="19"/>
        <v>OTTR</v>
      </c>
      <c r="E45" s="281">
        <f t="shared" ca="1" si="20"/>
        <v>3086.5119999999997</v>
      </c>
      <c r="F45" s="88">
        <f t="shared" ca="1" si="21"/>
        <v>3.0343832935041271E-3</v>
      </c>
      <c r="I45" s="229">
        <f t="shared" si="15"/>
        <v>35</v>
      </c>
      <c r="J45" s="183">
        <f t="shared" ca="1" si="5"/>
        <v>27</v>
      </c>
      <c r="K45" s="182"/>
      <c r="L45" s="182" t="str">
        <f t="shared" ca="1" si="6"/>
        <v>Southern Company</v>
      </c>
      <c r="M45" s="184" t="str">
        <f t="shared" ca="1" si="6"/>
        <v>SO</v>
      </c>
      <c r="N45" s="224">
        <f t="shared" ca="1" si="11"/>
        <v>90305.04</v>
      </c>
      <c r="O45" s="271">
        <f t="shared" ca="1" si="7"/>
        <v>8.8779860468782223E-2</v>
      </c>
      <c r="P45" s="225"/>
      <c r="Q45" s="183">
        <f t="shared" ca="1" si="8"/>
        <v>2</v>
      </c>
      <c r="R45" s="183">
        <f ca="1">COUNTIF( Q$11:Q45, Q45 ) - 1</f>
        <v>0</v>
      </c>
      <c r="S45" s="183">
        <f t="shared" ca="1" si="12"/>
        <v>2</v>
      </c>
      <c r="T45" s="183">
        <f t="shared" ca="1" si="9"/>
        <v>2</v>
      </c>
      <c r="U45" s="222"/>
      <c r="V45" s="222">
        <f t="shared" ca="1" si="16"/>
        <v>82.32</v>
      </c>
      <c r="W45" s="188">
        <f t="shared" ca="1" si="16"/>
        <v>1097</v>
      </c>
      <c r="X45" s="189">
        <f t="shared" ca="1" si="10"/>
        <v>90305.04</v>
      </c>
      <c r="Y45" s="189"/>
      <c r="Z45" s="210">
        <f t="shared" ca="1" si="17"/>
        <v>59</v>
      </c>
    </row>
    <row r="46" spans="3:26">
      <c r="C46" s="90" t="str">
        <f t="shared" ca="1" si="18"/>
        <v>Avista Corporation</v>
      </c>
      <c r="D46" s="87" t="str">
        <f t="shared" ca="1" si="19"/>
        <v>AVA</v>
      </c>
      <c r="E46" s="281">
        <f t="shared" ca="1" si="20"/>
        <v>2887.7626800000003</v>
      </c>
      <c r="F46" s="88">
        <f t="shared" ca="1" si="21"/>
        <v>2.8389906897483977E-3</v>
      </c>
      <c r="I46" s="229">
        <f t="shared" si="15"/>
        <v>36</v>
      </c>
      <c r="J46" s="183">
        <f t="shared" ca="1" si="5"/>
        <v>5</v>
      </c>
      <c r="K46" s="182"/>
      <c r="L46" s="182" t="str">
        <f t="shared" ca="1" si="6"/>
        <v>Unitil Corporation</v>
      </c>
      <c r="M46" s="184" t="str">
        <f t="shared" ca="1" si="6"/>
        <v>UTL</v>
      </c>
      <c r="N46" s="224">
        <f t="shared" ca="1" si="11"/>
        <v>872.45900000000006</v>
      </c>
      <c r="O46" s="271">
        <f t="shared" ca="1" si="7"/>
        <v>8.5772386884201907E-4</v>
      </c>
      <c r="P46" s="225"/>
      <c r="Q46" s="183">
        <f t="shared" ca="1" si="8"/>
        <v>38</v>
      </c>
      <c r="R46" s="183">
        <f ca="1">COUNTIF( Q$11:Q46, Q46 ) - 1</f>
        <v>0</v>
      </c>
      <c r="S46" s="183">
        <f t="shared" ca="1" si="12"/>
        <v>38</v>
      </c>
      <c r="T46" s="183">
        <f t="shared" ca="1" si="9"/>
        <v>38</v>
      </c>
      <c r="U46" s="222"/>
      <c r="V46" s="222">
        <f t="shared" ref="V46:W48" ca="1" si="22">OFFSET( INDIRECT( V$6 &amp; V$8 ), $Z46 - 1, V$9 - 1 )</f>
        <v>54.19</v>
      </c>
      <c r="W46" s="188">
        <f t="shared" ca="1" si="22"/>
        <v>16.100000000000001</v>
      </c>
      <c r="X46" s="189">
        <f t="shared" ca="1" si="10"/>
        <v>872.45900000000006</v>
      </c>
      <c r="Y46" s="189"/>
      <c r="Z46" s="210">
        <f t="shared" ca="1" si="17"/>
        <v>67</v>
      </c>
    </row>
    <row r="47" spans="3:26">
      <c r="C47" s="90" t="str">
        <f t="shared" ca="1" si="18"/>
        <v>Hawaiian Electric Industries, Inc.</v>
      </c>
      <c r="D47" s="87" t="str">
        <f t="shared" ca="1" si="19"/>
        <v>HE</v>
      </c>
      <c r="E47" s="281">
        <f t="shared" ca="1" si="20"/>
        <v>1112.70334</v>
      </c>
      <c r="F47" s="88">
        <f t="shared" ca="1" si="21"/>
        <v>1.0939106750669503E-3</v>
      </c>
      <c r="I47" s="229">
        <f t="shared" si="15"/>
        <v>37</v>
      </c>
      <c r="J47" s="183">
        <f t="shared" ca="1" si="5"/>
        <v>19</v>
      </c>
      <c r="K47" s="182"/>
      <c r="L47" s="182" t="str">
        <f t="shared" ca="1" si="6"/>
        <v>WEC Energy Group, Inc.</v>
      </c>
      <c r="M47" s="184" t="str">
        <f t="shared" ca="1" si="6"/>
        <v>WEC</v>
      </c>
      <c r="N47" s="224">
        <f t="shared" ca="1" si="11"/>
        <v>29735.448</v>
      </c>
      <c r="O47" s="271">
        <f t="shared" ca="1" si="7"/>
        <v>2.9233240187000964E-2</v>
      </c>
      <c r="P47" s="225"/>
      <c r="Q47" s="183">
        <f t="shared" ca="1" si="8"/>
        <v>14</v>
      </c>
      <c r="R47" s="183">
        <f ca="1">COUNTIF( Q$11:Q47, Q47 ) - 1</f>
        <v>0</v>
      </c>
      <c r="S47" s="183">
        <f t="shared" ca="1" si="12"/>
        <v>14</v>
      </c>
      <c r="T47" s="183">
        <f t="shared" ca="1" si="9"/>
        <v>14</v>
      </c>
      <c r="U47" s="222"/>
      <c r="V47" s="222">
        <f t="shared" ca="1" si="22"/>
        <v>94.04</v>
      </c>
      <c r="W47" s="188">
        <f t="shared" ca="1" si="22"/>
        <v>316.2</v>
      </c>
      <c r="X47" s="189">
        <f t="shared" ca="1" si="10"/>
        <v>29735.448</v>
      </c>
      <c r="Y47" s="189"/>
      <c r="Z47" s="210">
        <f t="shared" ca="1" si="17"/>
        <v>110</v>
      </c>
    </row>
    <row r="48" spans="3:26">
      <c r="C48" s="90" t="str">
        <f t="shared" ca="1" si="18"/>
        <v>Unitil Corporation</v>
      </c>
      <c r="D48" s="87" t="str">
        <f t="shared" ca="1" si="19"/>
        <v>UTL</v>
      </c>
      <c r="E48" s="281">
        <f t="shared" ca="1" si="20"/>
        <v>872.45900000000006</v>
      </c>
      <c r="F48" s="88">
        <f t="shared" ca="1" si="21"/>
        <v>8.5772386884201907E-4</v>
      </c>
      <c r="I48" s="229">
        <f t="shared" si="15"/>
        <v>38</v>
      </c>
      <c r="J48" s="183">
        <f t="shared" ca="1" si="5"/>
        <v>36</v>
      </c>
      <c r="K48" s="182"/>
      <c r="L48" s="182" t="str">
        <f t="shared" ca="1" si="6"/>
        <v>Xcel Energy Inc.</v>
      </c>
      <c r="M48" s="184" t="str">
        <f t="shared" ca="1" si="6"/>
        <v>XEL</v>
      </c>
      <c r="N48" s="224">
        <f t="shared" ca="1" si="11"/>
        <v>38081.279999999999</v>
      </c>
      <c r="O48" s="271">
        <f t="shared" ca="1" si="7"/>
        <v>3.7438117793565311E-2</v>
      </c>
      <c r="P48" s="225"/>
      <c r="Q48" s="183">
        <f t="shared" ca="1" si="8"/>
        <v>9</v>
      </c>
      <c r="R48" s="183">
        <f ca="1">COUNTIF( Q$11:Q48, Q48 ) - 1</f>
        <v>0</v>
      </c>
      <c r="S48" s="183">
        <f t="shared" ca="1" si="12"/>
        <v>9</v>
      </c>
      <c r="T48" s="183">
        <f t="shared" ca="1" si="9"/>
        <v>9</v>
      </c>
      <c r="U48" s="222"/>
      <c r="V48" s="222">
        <f t="shared" ca="1" si="22"/>
        <v>67.52</v>
      </c>
      <c r="W48" s="188">
        <f t="shared" ca="1" si="22"/>
        <v>564</v>
      </c>
      <c r="X48" s="189">
        <f t="shared" ca="1" si="10"/>
        <v>38081.279999999999</v>
      </c>
      <c r="Y48" s="189"/>
      <c r="Z48" s="210">
        <f t="shared" ca="1" si="17"/>
        <v>92</v>
      </c>
    </row>
    <row r="49" spans="3:27">
      <c r="C49" s="272"/>
      <c r="D49" s="273"/>
      <c r="E49" s="282"/>
      <c r="F49" s="274"/>
      <c r="I49" s="459"/>
      <c r="J49" s="460"/>
      <c r="K49" s="461"/>
      <c r="L49" s="461"/>
      <c r="M49" s="462"/>
      <c r="N49" s="463"/>
      <c r="O49" s="464"/>
      <c r="P49" s="460"/>
      <c r="Q49" s="460"/>
      <c r="R49" s="460"/>
      <c r="S49" s="460"/>
      <c r="T49" s="460"/>
      <c r="U49" s="461"/>
      <c r="V49" s="465"/>
      <c r="W49" s="466"/>
      <c r="X49" s="467"/>
      <c r="Y49" s="467"/>
      <c r="Z49" s="468"/>
      <c r="AA49" s="367"/>
    </row>
    <row r="50" spans="3:27">
      <c r="C50" s="226" t="s">
        <v>67</v>
      </c>
      <c r="D50" s="83"/>
      <c r="E50" s="283">
        <f ca="1">SUM(E11:E48)</f>
        <v>1017179.3413862599</v>
      </c>
      <c r="F50" s="275">
        <v>0.99999999999999967</v>
      </c>
      <c r="G50" s="82"/>
      <c r="H50" s="82"/>
      <c r="I50" s="469"/>
      <c r="J50" s="470"/>
      <c r="M50" s="226" t="s">
        <v>67</v>
      </c>
      <c r="N50" s="471">
        <f ca="1">SUM(N11:N49)</f>
        <v>1017179.3413862603</v>
      </c>
      <c r="O50" s="437">
        <f ca="1">SUM(O11:O49)</f>
        <v>0.99999999999999944</v>
      </c>
      <c r="P50" s="470"/>
      <c r="Q50" s="470"/>
      <c r="R50" s="470"/>
      <c r="S50" s="470"/>
      <c r="T50" s="470"/>
      <c r="V50" s="426"/>
      <c r="W50" s="415"/>
      <c r="X50" s="427"/>
      <c r="Y50" s="427"/>
      <c r="Z50" s="472"/>
    </row>
    <row r="51" spans="3:27">
      <c r="W51" s="78"/>
      <c r="X51" s="427"/>
      <c r="Y51" s="427"/>
      <c r="Z51" s="473"/>
    </row>
    <row r="52" spans="3:27">
      <c r="C52" s="13" t="s">
        <v>545</v>
      </c>
      <c r="V52" s="226"/>
      <c r="W52" s="430"/>
      <c r="X52" s="430"/>
      <c r="Y52" s="400"/>
      <c r="Z52" s="474"/>
    </row>
    <row r="53" spans="3:27">
      <c r="V53" s="226"/>
      <c r="W53" s="226"/>
      <c r="X53" s="400"/>
      <c r="Y53" s="400"/>
      <c r="Z53" s="475"/>
    </row>
  </sheetData>
  <sortState xmlns:xlrd2="http://schemas.microsoft.com/office/spreadsheetml/2017/richdata2" ref="C10:F48">
    <sortCondition descending="1" ref="E10:E48"/>
  </sortState>
  <mergeCells count="5">
    <mergeCell ref="C8:F8"/>
    <mergeCell ref="C9:F9"/>
    <mergeCell ref="A1:C1"/>
    <mergeCell ref="I2:Z2"/>
    <mergeCell ref="Q3:T3"/>
  </mergeCells>
  <phoneticPr fontId="6" type="noConversion"/>
  <hyperlinks>
    <hyperlink ref="A1" location="Index!A1" display="Return to Index" xr:uid="{00000000-0004-0000-0B00-000000000000}"/>
    <hyperlink ref="A1:C1" location="Contents!A1" display="Go to Contents" xr:uid="{00000000-0004-0000-0B00-000001000000}"/>
  </hyperlinks>
  <pageMargins left="0.25" right="0.27" top="0.28000000000000003" bottom="0.25" header="0.2" footer="0.21"/>
  <pageSetup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outlinePr summaryBelow="0" summaryRight="0"/>
  </sheetPr>
  <dimension ref="A1:L130"/>
  <sheetViews>
    <sheetView showGridLines="0" zoomScaleNormal="100" workbookViewId="0">
      <pane ySplit="16" topLeftCell="A17" activePane="bottomLeft" state="frozen"/>
      <selection pane="bottomLeft" sqref="A1:B1"/>
    </sheetView>
  </sheetViews>
  <sheetFormatPr defaultColWidth="9.140625" defaultRowHeight="12.75"/>
  <cols>
    <col min="1" max="1" width="4.85546875" style="9" customWidth="1"/>
    <col min="2" max="4" width="12.140625" style="9" customWidth="1"/>
    <col min="5" max="16384" width="9.140625" style="9"/>
  </cols>
  <sheetData>
    <row r="1" spans="1:2">
      <c r="A1" s="594" t="s">
        <v>346</v>
      </c>
      <c r="B1" s="596"/>
    </row>
    <row r="2" spans="1:2" ht="18.75">
      <c r="B2" s="104" t="s">
        <v>91</v>
      </c>
    </row>
    <row r="3" spans="1:2" ht="18.75">
      <c r="B3" s="22"/>
    </row>
    <row r="4" spans="1:2" ht="18.75">
      <c r="B4" s="22"/>
    </row>
    <row r="5" spans="1:2" ht="18.75">
      <c r="B5" s="22"/>
    </row>
    <row r="6" spans="1:2" ht="18.75">
      <c r="B6" s="22"/>
    </row>
    <row r="7" spans="1:2" ht="18.75">
      <c r="B7" s="22"/>
    </row>
    <row r="8" spans="1:2" ht="18.75">
      <c r="B8" s="22"/>
    </row>
    <row r="9" spans="1:2" ht="18.75">
      <c r="B9" s="22"/>
    </row>
    <row r="10" spans="1:2" ht="18.75">
      <c r="B10" s="22"/>
    </row>
    <row r="11" spans="1:2" ht="18.75">
      <c r="B11" s="22"/>
    </row>
    <row r="12" spans="1:2" ht="18.75">
      <c r="B12" s="22"/>
    </row>
    <row r="13" spans="1:2" ht="18.75">
      <c r="B13" s="22"/>
    </row>
    <row r="14" spans="1:2" ht="18.75">
      <c r="B14" s="22"/>
    </row>
    <row r="15" spans="1:2" ht="18.75">
      <c r="B15" s="22"/>
    </row>
    <row r="16" spans="1:2" ht="18.75">
      <c r="B16" s="22"/>
    </row>
    <row r="17" spans="2:12">
      <c r="B17" s="164"/>
    </row>
    <row r="18" spans="2:12">
      <c r="B18" s="13" t="s">
        <v>545</v>
      </c>
    </row>
    <row r="19" spans="2:12">
      <c r="B19" s="164"/>
    </row>
    <row r="20" spans="2:12" ht="15.75">
      <c r="B20" s="609" t="s">
        <v>53</v>
      </c>
      <c r="C20" s="609"/>
      <c r="D20" s="609"/>
      <c r="E20" s="609"/>
    </row>
    <row r="21" spans="2:12">
      <c r="B21" s="502" t="s">
        <v>443</v>
      </c>
      <c r="C21" s="116" t="s">
        <v>641</v>
      </c>
      <c r="D21" s="116" t="s">
        <v>642</v>
      </c>
      <c r="E21" s="277" t="s">
        <v>52</v>
      </c>
    </row>
    <row r="22" spans="2:12">
      <c r="B22" s="93" t="s">
        <v>393</v>
      </c>
      <c r="C22" s="327">
        <v>327807.59999999998</v>
      </c>
      <c r="D22" s="96">
        <f>IF(LEN(C22)=0,#N/A,C22/1000)</f>
        <v>327.80759999999998</v>
      </c>
      <c r="E22" s="94"/>
    </row>
    <row r="23" spans="2:12">
      <c r="B23" s="95" t="s">
        <v>394</v>
      </c>
      <c r="C23" s="328">
        <v>319483.5</v>
      </c>
      <c r="D23" s="97">
        <f t="shared" ref="D23:D86" si="0">IF(LEN(C23)=0,#N/A,C23/1000)</f>
        <v>319.48349999999999</v>
      </c>
      <c r="E23" s="278">
        <f>IF(LEN(D23)=0,#N/A,(D23/D22-1))</f>
        <v>-2.5393248966771975E-2</v>
      </c>
      <c r="J23" s="23"/>
      <c r="L23" s="21"/>
    </row>
    <row r="24" spans="2:12">
      <c r="B24" s="95" t="s">
        <v>395</v>
      </c>
      <c r="C24" s="328">
        <v>317546</v>
      </c>
      <c r="D24" s="97">
        <f t="shared" si="0"/>
        <v>317.54599999999999</v>
      </c>
      <c r="E24" s="278">
        <f t="shared" ref="E24:E87" si="1">IF(LEN(D24)=0,#N/A,(D24/D23-1))</f>
        <v>-6.0644759432020301E-3</v>
      </c>
    </row>
    <row r="25" spans="2:12">
      <c r="B25" s="95" t="s">
        <v>396</v>
      </c>
      <c r="C25" s="328">
        <v>291034.7</v>
      </c>
      <c r="D25" s="97">
        <f t="shared" si="0"/>
        <v>291.03469999999999</v>
      </c>
      <c r="E25" s="278">
        <f t="shared" si="1"/>
        <v>-8.3488061572181693E-2</v>
      </c>
    </row>
    <row r="26" spans="2:12">
      <c r="B26" s="95" t="s">
        <v>397</v>
      </c>
      <c r="C26" s="328">
        <v>300199.7</v>
      </c>
      <c r="D26" s="97">
        <f t="shared" si="0"/>
        <v>300.19970000000001</v>
      </c>
      <c r="E26" s="278">
        <f t="shared" si="1"/>
        <v>3.1491090237693475E-2</v>
      </c>
    </row>
    <row r="27" spans="2:12">
      <c r="B27" s="95" t="s">
        <v>398</v>
      </c>
      <c r="C27" s="328">
        <v>317667.7</v>
      </c>
      <c r="D27" s="97">
        <f t="shared" si="0"/>
        <v>317.66770000000002</v>
      </c>
      <c r="E27" s="278">
        <f t="shared" si="1"/>
        <v>5.8187932899333328E-2</v>
      </c>
    </row>
    <row r="28" spans="2:12">
      <c r="B28" s="95" t="s">
        <v>399</v>
      </c>
      <c r="C28" s="328">
        <v>292237.8</v>
      </c>
      <c r="D28" s="97">
        <f t="shared" si="0"/>
        <v>292.23779999999999</v>
      </c>
      <c r="E28" s="278">
        <f t="shared" si="1"/>
        <v>-8.0051890702139472E-2</v>
      </c>
    </row>
    <row r="29" spans="2:12">
      <c r="B29" s="95" t="s">
        <v>400</v>
      </c>
      <c r="C29" s="328">
        <v>238330.7</v>
      </c>
      <c r="D29" s="97">
        <f t="shared" si="0"/>
        <v>238.33070000000001</v>
      </c>
      <c r="E29" s="278">
        <f t="shared" si="1"/>
        <v>-0.18446313242161005</v>
      </c>
    </row>
    <row r="30" spans="2:12">
      <c r="B30" s="95" t="s">
        <v>401</v>
      </c>
      <c r="C30" s="328">
        <v>249552.6</v>
      </c>
      <c r="D30" s="97">
        <f t="shared" si="0"/>
        <v>249.55260000000001</v>
      </c>
      <c r="E30" s="278">
        <f t="shared" si="1"/>
        <v>4.7085415349344517E-2</v>
      </c>
    </row>
    <row r="31" spans="2:12">
      <c r="B31" s="95" t="s">
        <v>402</v>
      </c>
      <c r="C31" s="328">
        <v>240597.7</v>
      </c>
      <c r="D31" s="97">
        <f t="shared" si="0"/>
        <v>240.5977</v>
      </c>
      <c r="E31" s="278">
        <f t="shared" si="1"/>
        <v>-3.5883817680120389E-2</v>
      </c>
    </row>
    <row r="32" spans="2:12">
      <c r="B32" s="95" t="s">
        <v>403</v>
      </c>
      <c r="C32" s="328">
        <v>289454</v>
      </c>
      <c r="D32" s="97">
        <f t="shared" si="0"/>
        <v>289.45400000000001</v>
      </c>
      <c r="E32" s="278">
        <f t="shared" si="1"/>
        <v>0.2030622071615813</v>
      </c>
    </row>
    <row r="33" spans="2:8">
      <c r="B33" s="95" t="s">
        <v>404</v>
      </c>
      <c r="C33" s="328">
        <v>288073</v>
      </c>
      <c r="D33" s="97">
        <f t="shared" si="0"/>
        <v>288.07299999999998</v>
      </c>
      <c r="E33" s="278">
        <f t="shared" si="1"/>
        <v>-4.7710517042433009E-3</v>
      </c>
    </row>
    <row r="34" spans="2:8">
      <c r="B34" s="95" t="s">
        <v>405</v>
      </c>
      <c r="C34" s="328">
        <v>314323.59999999998</v>
      </c>
      <c r="D34" s="97">
        <f t="shared" si="0"/>
        <v>314.3236</v>
      </c>
      <c r="E34" s="278">
        <f t="shared" si="1"/>
        <v>9.1124819056281003E-2</v>
      </c>
    </row>
    <row r="35" spans="2:8">
      <c r="B35" s="95" t="s">
        <v>406</v>
      </c>
      <c r="C35" s="329">
        <v>329601.22019444988</v>
      </c>
      <c r="D35" s="97">
        <f t="shared" si="0"/>
        <v>329.60122019444987</v>
      </c>
      <c r="E35" s="278">
        <f t="shared" si="1"/>
        <v>4.8604750627855742E-2</v>
      </c>
    </row>
    <row r="36" spans="2:8">
      <c r="B36" s="95" t="s">
        <v>407</v>
      </c>
      <c r="C36" s="329">
        <v>323192.65701436007</v>
      </c>
      <c r="D36" s="97">
        <f t="shared" si="0"/>
        <v>323.19265701436007</v>
      </c>
      <c r="E36" s="278">
        <f t="shared" si="1"/>
        <v>-1.9443384269964281E-2</v>
      </c>
    </row>
    <row r="37" spans="2:8">
      <c r="B37" s="95" t="s">
        <v>408</v>
      </c>
      <c r="C37" s="329">
        <v>342459.84326309006</v>
      </c>
      <c r="D37" s="97">
        <f t="shared" si="0"/>
        <v>342.45984326309008</v>
      </c>
      <c r="E37" s="278">
        <f t="shared" si="1"/>
        <v>5.9615173273797284E-2</v>
      </c>
    </row>
    <row r="38" spans="2:8">
      <c r="B38" s="95" t="s">
        <v>409</v>
      </c>
      <c r="C38" s="328">
        <v>380305.05</v>
      </c>
      <c r="D38" s="97">
        <f t="shared" si="0"/>
        <v>380.30504999999999</v>
      </c>
      <c r="E38" s="278">
        <f t="shared" si="1"/>
        <v>0.11050991081554584</v>
      </c>
    </row>
    <row r="39" spans="2:8">
      <c r="B39" s="95" t="s">
        <v>410</v>
      </c>
      <c r="C39" s="328">
        <v>395662.62093468994</v>
      </c>
      <c r="D39" s="97">
        <f t="shared" si="0"/>
        <v>395.66262093468993</v>
      </c>
      <c r="E39" s="278">
        <f t="shared" si="1"/>
        <v>4.0382242977551552E-2</v>
      </c>
    </row>
    <row r="40" spans="2:8">
      <c r="B40" s="95" t="s">
        <v>411</v>
      </c>
      <c r="C40" s="328">
        <v>425989.33684204984</v>
      </c>
      <c r="D40" s="97">
        <f t="shared" si="0"/>
        <v>425.98933684204985</v>
      </c>
      <c r="E40" s="278">
        <f t="shared" si="1"/>
        <v>7.6647917449765401E-2</v>
      </c>
    </row>
    <row r="41" spans="2:8">
      <c r="B41" s="95" t="s">
        <v>412</v>
      </c>
      <c r="C41" s="328">
        <v>454726.91181868984</v>
      </c>
      <c r="D41" s="97">
        <f t="shared" si="0"/>
        <v>454.72691181868981</v>
      </c>
      <c r="E41" s="278">
        <f t="shared" si="1"/>
        <v>6.7460784792590767E-2</v>
      </c>
    </row>
    <row r="42" spans="2:8">
      <c r="B42" s="95" t="s">
        <v>413</v>
      </c>
      <c r="C42" s="328">
        <v>428824.64356707007</v>
      </c>
      <c r="D42" s="97">
        <f t="shared" si="0"/>
        <v>428.8246435670701</v>
      </c>
      <c r="E42" s="278">
        <f t="shared" si="1"/>
        <v>-5.6962250481334076E-2</v>
      </c>
      <c r="G42" s="19"/>
      <c r="H42" s="24"/>
    </row>
    <row r="43" spans="2:8">
      <c r="B43" s="95" t="s">
        <v>414</v>
      </c>
      <c r="C43" s="328">
        <v>422899.12853534013</v>
      </c>
      <c r="D43" s="97">
        <f t="shared" si="0"/>
        <v>422.89912853534014</v>
      </c>
      <c r="E43" s="278">
        <f t="shared" si="1"/>
        <v>-1.381803756062161E-2</v>
      </c>
      <c r="G43" s="25"/>
      <c r="H43" s="21"/>
    </row>
    <row r="44" spans="2:8">
      <c r="B44" s="95" t="s">
        <v>415</v>
      </c>
      <c r="C44" s="328">
        <v>432848.42539027013</v>
      </c>
      <c r="D44" s="97">
        <f t="shared" si="0"/>
        <v>432.84842539027011</v>
      </c>
      <c r="E44" s="278">
        <f t="shared" si="1"/>
        <v>2.3526406614712503E-2</v>
      </c>
      <c r="G44" s="25"/>
      <c r="H44" s="21"/>
    </row>
    <row r="45" spans="2:8">
      <c r="B45" s="95" t="s">
        <v>416</v>
      </c>
      <c r="C45" s="328">
        <v>464281.36085105978</v>
      </c>
      <c r="D45" s="97">
        <f t="shared" si="0"/>
        <v>464.28136085105979</v>
      </c>
      <c r="E45" s="278">
        <f t="shared" si="1"/>
        <v>7.2618805145123755E-2</v>
      </c>
      <c r="G45" s="25"/>
      <c r="H45" s="21"/>
    </row>
    <row r="46" spans="2:8">
      <c r="B46" s="95" t="s">
        <v>417</v>
      </c>
      <c r="C46" s="328">
        <v>503858.10332096997</v>
      </c>
      <c r="D46" s="97">
        <f t="shared" si="0"/>
        <v>503.85810332096997</v>
      </c>
      <c r="E46" s="278">
        <f t="shared" si="1"/>
        <v>8.5243013842647652E-2</v>
      </c>
      <c r="G46" s="25"/>
      <c r="H46" s="21"/>
    </row>
    <row r="47" spans="2:8">
      <c r="B47" s="95" t="s">
        <v>418</v>
      </c>
      <c r="C47" s="328">
        <v>525088.42571174994</v>
      </c>
      <c r="D47" s="97">
        <f t="shared" si="0"/>
        <v>525.08842571174989</v>
      </c>
      <c r="E47" s="278">
        <f t="shared" si="1"/>
        <v>4.2135518414508244E-2</v>
      </c>
      <c r="G47" s="25"/>
      <c r="H47" s="21"/>
    </row>
    <row r="48" spans="2:8">
      <c r="B48" s="95" t="s">
        <v>419</v>
      </c>
      <c r="C48" s="328">
        <v>515565</v>
      </c>
      <c r="D48" s="97">
        <f t="shared" si="0"/>
        <v>515.56500000000005</v>
      </c>
      <c r="E48" s="278">
        <f t="shared" si="1"/>
        <v>-1.8136803718042271E-2</v>
      </c>
      <c r="G48" s="25"/>
      <c r="H48" s="21"/>
    </row>
    <row r="49" spans="2:8">
      <c r="B49" s="95" t="s">
        <v>420</v>
      </c>
      <c r="C49" s="328">
        <v>514946.39532535005</v>
      </c>
      <c r="D49" s="97">
        <f t="shared" si="0"/>
        <v>514.94639532535007</v>
      </c>
      <c r="E49" s="278">
        <f t="shared" si="1"/>
        <v>-1.1998577767109442E-3</v>
      </c>
      <c r="G49" s="25"/>
      <c r="H49" s="21"/>
    </row>
    <row r="50" spans="2:8">
      <c r="B50" s="95" t="s">
        <v>421</v>
      </c>
      <c r="C50" s="328">
        <v>514485.99349637004</v>
      </c>
      <c r="D50" s="97">
        <f t="shared" si="0"/>
        <v>514.48599349637004</v>
      </c>
      <c r="E50" s="278">
        <f t="shared" si="1"/>
        <v>-8.9407719552858644E-4</v>
      </c>
      <c r="G50" s="25"/>
      <c r="H50" s="21"/>
    </row>
    <row r="51" spans="2:8">
      <c r="B51" s="95" t="s">
        <v>422</v>
      </c>
      <c r="C51" s="328">
        <v>456711.13444769988</v>
      </c>
      <c r="D51" s="97">
        <f t="shared" si="0"/>
        <v>456.71113444769986</v>
      </c>
      <c r="E51" s="278">
        <f t="shared" si="1"/>
        <v>-0.11229627196659109</v>
      </c>
      <c r="G51" s="25"/>
      <c r="H51" s="21"/>
    </row>
    <row r="52" spans="2:8">
      <c r="B52" s="95" t="s">
        <v>423</v>
      </c>
      <c r="C52" s="328">
        <v>482024.26450020995</v>
      </c>
      <c r="D52" s="97">
        <f t="shared" si="0"/>
        <v>482.02426450020994</v>
      </c>
      <c r="E52" s="278">
        <f t="shared" si="1"/>
        <v>5.5424814818936241E-2</v>
      </c>
      <c r="G52" s="25"/>
      <c r="H52" s="21"/>
    </row>
    <row r="53" spans="2:8">
      <c r="B53" s="95" t="s">
        <v>424</v>
      </c>
      <c r="C53" s="328">
        <v>404471.5603723799</v>
      </c>
      <c r="D53" s="97">
        <f t="shared" si="0"/>
        <v>404.47156037237988</v>
      </c>
      <c r="E53" s="278">
        <f t="shared" si="1"/>
        <v>-0.16088962701543896</v>
      </c>
      <c r="G53" s="25"/>
      <c r="H53" s="21"/>
    </row>
    <row r="54" spans="2:8">
      <c r="B54" s="95" t="s">
        <v>425</v>
      </c>
      <c r="C54" s="329">
        <v>361920.98126997985</v>
      </c>
      <c r="D54" s="97">
        <f t="shared" si="0"/>
        <v>361.92098126997985</v>
      </c>
      <c r="E54" s="278">
        <f t="shared" si="1"/>
        <v>-0.10520042265326524</v>
      </c>
    </row>
    <row r="55" spans="2:8">
      <c r="B55" s="95" t="s">
        <v>426</v>
      </c>
      <c r="C55" s="329">
        <v>316069.77204999997</v>
      </c>
      <c r="D55" s="97">
        <f t="shared" si="0"/>
        <v>316.06977204999998</v>
      </c>
      <c r="E55" s="278">
        <f t="shared" si="1"/>
        <v>-0.12668845298520159</v>
      </c>
    </row>
    <row r="56" spans="2:8">
      <c r="B56" s="95" t="s">
        <v>427</v>
      </c>
      <c r="C56" s="329">
        <v>343844.49533299991</v>
      </c>
      <c r="D56" s="97">
        <f t="shared" si="0"/>
        <v>343.84449533299988</v>
      </c>
      <c r="E56" s="278">
        <f t="shared" si="1"/>
        <v>8.7875291277794698E-2</v>
      </c>
    </row>
    <row r="57" spans="2:8">
      <c r="B57" s="95" t="s">
        <v>428</v>
      </c>
      <c r="C57" s="329">
        <v>363185.48616191006</v>
      </c>
      <c r="D57" s="97">
        <f t="shared" si="0"/>
        <v>363.18548616191003</v>
      </c>
      <c r="E57" s="278">
        <f t="shared" si="1"/>
        <v>5.6249237930010132E-2</v>
      </c>
    </row>
    <row r="58" spans="2:8">
      <c r="B58" s="95" t="s">
        <v>429</v>
      </c>
      <c r="C58" s="329">
        <v>389671.51094029995</v>
      </c>
      <c r="D58" s="97">
        <f t="shared" si="0"/>
        <v>389.67151094029992</v>
      </c>
      <c r="E58" s="278">
        <f t="shared" si="1"/>
        <v>7.2926991269090191E-2</v>
      </c>
    </row>
    <row r="59" spans="2:8">
      <c r="B59" s="95" t="s">
        <v>430</v>
      </c>
      <c r="C59" s="329">
        <v>377280.94793894986</v>
      </c>
      <c r="D59" s="97">
        <f t="shared" si="0"/>
        <v>377.28094793894985</v>
      </c>
      <c r="E59" s="278">
        <f t="shared" si="1"/>
        <v>-3.1797456712837291E-2</v>
      </c>
    </row>
    <row r="60" spans="2:8">
      <c r="B60" s="95" t="s">
        <v>431</v>
      </c>
      <c r="C60" s="329">
        <v>360043.69155345997</v>
      </c>
      <c r="D60" s="97">
        <f t="shared" si="0"/>
        <v>360.04369155345995</v>
      </c>
      <c r="E60" s="278">
        <f t="shared" si="1"/>
        <v>-4.5688117779748461E-2</v>
      </c>
    </row>
    <row r="61" spans="2:8">
      <c r="B61" s="95" t="s">
        <v>432</v>
      </c>
      <c r="C61" s="329">
        <v>402013.86640884</v>
      </c>
      <c r="D61" s="97">
        <f t="shared" si="0"/>
        <v>402.01386640883999</v>
      </c>
      <c r="E61" s="278">
        <f t="shared" si="1"/>
        <v>0.11656967151484787</v>
      </c>
    </row>
    <row r="62" spans="2:8">
      <c r="B62" s="95" t="s">
        <v>433</v>
      </c>
      <c r="C62" s="329">
        <v>407274.53218216012</v>
      </c>
      <c r="D62" s="97">
        <f t="shared" si="0"/>
        <v>407.2745321821601</v>
      </c>
      <c r="E62" s="278">
        <f t="shared" si="1"/>
        <v>1.3085781891836845E-2</v>
      </c>
    </row>
    <row r="63" spans="2:8">
      <c r="B63" s="95" t="s">
        <v>434</v>
      </c>
      <c r="C63" s="329">
        <v>411163.50945867994</v>
      </c>
      <c r="D63" s="97">
        <f t="shared" si="0"/>
        <v>411.16350945867993</v>
      </c>
      <c r="E63" s="278">
        <f t="shared" si="1"/>
        <v>9.5487858169840401E-3</v>
      </c>
    </row>
    <row r="64" spans="2:8">
      <c r="B64" s="95" t="s">
        <v>435</v>
      </c>
      <c r="C64" s="329">
        <v>433235.63623772998</v>
      </c>
      <c r="D64" s="97">
        <f t="shared" si="0"/>
        <v>433.23563623772998</v>
      </c>
      <c r="E64" s="278">
        <f t="shared" si="1"/>
        <v>5.3682114952538607E-2</v>
      </c>
    </row>
    <row r="65" spans="2:5">
      <c r="B65" s="95" t="s">
        <v>436</v>
      </c>
      <c r="C65" s="329">
        <v>442352.13418901985</v>
      </c>
      <c r="D65" s="97">
        <f t="shared" si="0"/>
        <v>442.35213418901986</v>
      </c>
      <c r="E65" s="278">
        <f t="shared" si="1"/>
        <v>2.1042816400004938E-2</v>
      </c>
    </row>
    <row r="66" spans="2:5">
      <c r="B66" s="95" t="s">
        <v>437</v>
      </c>
      <c r="C66" s="329">
        <v>471634.82986866002</v>
      </c>
      <c r="D66" s="97">
        <f t="shared" si="0"/>
        <v>471.63482986866001</v>
      </c>
      <c r="E66" s="278">
        <f t="shared" si="1"/>
        <v>6.6197704083252873E-2</v>
      </c>
    </row>
    <row r="67" spans="2:5">
      <c r="B67" s="95" t="s">
        <v>438</v>
      </c>
      <c r="C67" s="329">
        <v>450597.4006266002</v>
      </c>
      <c r="D67" s="97">
        <f t="shared" si="0"/>
        <v>450.59740062660018</v>
      </c>
      <c r="E67" s="278">
        <f t="shared" si="1"/>
        <v>-4.4605334275075292E-2</v>
      </c>
    </row>
    <row r="68" spans="2:5">
      <c r="B68" s="95" t="s">
        <v>439</v>
      </c>
      <c r="C68" s="330">
        <v>475083.41590257315</v>
      </c>
      <c r="D68" s="97">
        <f t="shared" si="0"/>
        <v>475.08341590257317</v>
      </c>
      <c r="E68" s="278">
        <f t="shared" si="1"/>
        <v>5.434122620752535E-2</v>
      </c>
    </row>
    <row r="69" spans="2:5">
      <c r="B69" s="95" t="s">
        <v>440</v>
      </c>
      <c r="C69" s="330">
        <v>479539.89036317001</v>
      </c>
      <c r="D69" s="97">
        <f t="shared" si="0"/>
        <v>479.53989036317</v>
      </c>
      <c r="E69" s="278">
        <f t="shared" si="1"/>
        <v>9.3804041804539384E-3</v>
      </c>
    </row>
    <row r="70" spans="2:5">
      <c r="B70" s="95" t="s">
        <v>441</v>
      </c>
      <c r="C70" s="330">
        <v>463915.86649211013</v>
      </c>
      <c r="D70" s="97">
        <f t="shared" si="0"/>
        <v>463.91586649211013</v>
      </c>
      <c r="E70" s="278">
        <f t="shared" si="1"/>
        <v>-3.2581280900797038E-2</v>
      </c>
    </row>
    <row r="71" spans="2:5">
      <c r="B71" s="95" t="s">
        <v>446</v>
      </c>
      <c r="C71" s="330">
        <v>507163.05109525</v>
      </c>
      <c r="D71" s="97">
        <f t="shared" si="0"/>
        <v>507.16305109525001</v>
      </c>
      <c r="E71" s="278">
        <f t="shared" si="1"/>
        <v>9.3222042458156462E-2</v>
      </c>
    </row>
    <row r="72" spans="2:5">
      <c r="B72" s="95" t="s">
        <v>447</v>
      </c>
      <c r="C72" s="330">
        <v>505091.49956703989</v>
      </c>
      <c r="D72" s="97">
        <f t="shared" si="0"/>
        <v>505.09149956703988</v>
      </c>
      <c r="E72" s="278">
        <f t="shared" si="1"/>
        <v>-4.0845868478323055E-3</v>
      </c>
    </row>
    <row r="73" spans="2:5">
      <c r="B73" s="95" t="s">
        <v>444</v>
      </c>
      <c r="C73" s="330">
        <v>499776.48118901002</v>
      </c>
      <c r="D73" s="97">
        <f t="shared" si="0"/>
        <v>499.77648118901004</v>
      </c>
      <c r="E73" s="278">
        <f t="shared" si="1"/>
        <v>-1.0522882255167287E-2</v>
      </c>
    </row>
    <row r="74" spans="2:5">
      <c r="B74" s="95" t="s">
        <v>445</v>
      </c>
      <c r="C74" s="330">
        <v>504364.52230437996</v>
      </c>
      <c r="D74" s="97">
        <f t="shared" si="0"/>
        <v>504.36452230437999</v>
      </c>
      <c r="E74" s="278">
        <f t="shared" si="1"/>
        <v>9.1801861193119283E-3</v>
      </c>
    </row>
    <row r="75" spans="2:5">
      <c r="B75" s="95" t="s">
        <v>516</v>
      </c>
      <c r="C75" s="330">
        <v>548006.35600041994</v>
      </c>
      <c r="D75" s="97">
        <f t="shared" si="0"/>
        <v>548.00635600041994</v>
      </c>
      <c r="E75" s="278">
        <f t="shared" si="1"/>
        <v>8.6528357499543684E-2</v>
      </c>
    </row>
    <row r="76" spans="2:5">
      <c r="B76" s="95" t="s">
        <v>517</v>
      </c>
      <c r="C76" s="330">
        <v>587734.7854031499</v>
      </c>
      <c r="D76" s="97">
        <f t="shared" si="0"/>
        <v>587.73478540314989</v>
      </c>
      <c r="E76" s="278">
        <f t="shared" si="1"/>
        <v>7.2496293095366093E-2</v>
      </c>
    </row>
    <row r="77" spans="2:5">
      <c r="B77" s="95" t="s">
        <v>519</v>
      </c>
      <c r="C77" s="330">
        <v>557472.48832412006</v>
      </c>
      <c r="D77" s="97">
        <f t="shared" si="0"/>
        <v>557.47248832412004</v>
      </c>
      <c r="E77" s="278">
        <f t="shared" si="1"/>
        <v>-5.1489715821859683E-2</v>
      </c>
    </row>
    <row r="78" spans="2:5">
      <c r="B78" s="95" t="s">
        <v>520</v>
      </c>
      <c r="C78" s="330">
        <v>632185.49245675968</v>
      </c>
      <c r="D78" s="97">
        <f t="shared" si="0"/>
        <v>632.18549245675968</v>
      </c>
      <c r="E78" s="278">
        <f t="shared" si="1"/>
        <v>0.13402097089533993</v>
      </c>
    </row>
    <row r="79" spans="2:5">
      <c r="B79" s="95" t="s">
        <v>524</v>
      </c>
      <c r="C79" s="330">
        <v>596851.32125075988</v>
      </c>
      <c r="D79" s="97">
        <f t="shared" si="0"/>
        <v>596.85132125075984</v>
      </c>
      <c r="E79" s="278">
        <f t="shared" si="1"/>
        <v>-5.5892094373577561E-2</v>
      </c>
    </row>
    <row r="80" spans="2:5">
      <c r="B80" s="95" t="s">
        <v>525</v>
      </c>
      <c r="C80" s="330">
        <v>549164.1063640099</v>
      </c>
      <c r="D80" s="97">
        <f t="shared" si="0"/>
        <v>549.16410636400985</v>
      </c>
      <c r="E80" s="278">
        <f t="shared" si="1"/>
        <v>-7.9897979930440344E-2</v>
      </c>
    </row>
    <row r="81" spans="2:5">
      <c r="B81" s="95" t="s">
        <v>526</v>
      </c>
      <c r="C81" s="330">
        <v>568250.33357370994</v>
      </c>
      <c r="D81" s="97">
        <f t="shared" si="0"/>
        <v>568.2503335737099</v>
      </c>
      <c r="E81" s="278">
        <f t="shared" si="1"/>
        <v>3.4755052248532925E-2</v>
      </c>
    </row>
    <row r="82" spans="2:5">
      <c r="B82" s="95" t="s">
        <v>534</v>
      </c>
      <c r="C82" s="330">
        <v>576818.94679729012</v>
      </c>
      <c r="D82" s="97">
        <f t="shared" si="0"/>
        <v>576.8189467972901</v>
      </c>
      <c r="E82" s="278">
        <f t="shared" si="1"/>
        <v>1.5078940947895969E-2</v>
      </c>
    </row>
    <row r="83" spans="2:5">
      <c r="B83" s="95" t="s">
        <v>539</v>
      </c>
      <c r="C83" s="330">
        <v>662574.10528503032</v>
      </c>
      <c r="D83" s="97">
        <f t="shared" si="0"/>
        <v>662.57410528503033</v>
      </c>
      <c r="E83" s="278">
        <f t="shared" si="1"/>
        <v>0.148669108329198</v>
      </c>
    </row>
    <row r="84" spans="2:5">
      <c r="B84" s="95" t="s">
        <v>541</v>
      </c>
      <c r="C84" s="330">
        <v>706366.49706886022</v>
      </c>
      <c r="D84" s="97">
        <f t="shared" si="0"/>
        <v>706.36649706886021</v>
      </c>
      <c r="E84" s="278">
        <f t="shared" si="1"/>
        <v>6.6094330331534668E-2</v>
      </c>
    </row>
    <row r="85" spans="2:5">
      <c r="B85" s="95" t="s">
        <v>543</v>
      </c>
      <c r="C85" s="330">
        <v>658728.37961059681</v>
      </c>
      <c r="D85" s="97">
        <f t="shared" si="0"/>
        <v>658.72837961059679</v>
      </c>
      <c r="E85" s="278">
        <f t="shared" si="1"/>
        <v>-6.7441077197096244E-2</v>
      </c>
    </row>
    <row r="86" spans="2:5">
      <c r="B86" s="95" t="s">
        <v>544</v>
      </c>
      <c r="C86" s="330">
        <v>659845.41104898008</v>
      </c>
      <c r="D86" s="97">
        <f t="shared" si="0"/>
        <v>659.84541104898005</v>
      </c>
      <c r="E86" s="278">
        <f t="shared" si="1"/>
        <v>1.6957390526328719E-3</v>
      </c>
    </row>
    <row r="87" spans="2:5">
      <c r="B87" s="95" t="s">
        <v>547</v>
      </c>
      <c r="C87" s="330">
        <v>690205.38069674012</v>
      </c>
      <c r="D87" s="97">
        <f t="shared" ref="D87:D113" si="2">IF(LEN(C87)=0,#N/A,C87/1000)</f>
        <v>690.20538069674012</v>
      </c>
      <c r="E87" s="278">
        <f t="shared" si="1"/>
        <v>4.6010730906646424E-2</v>
      </c>
    </row>
    <row r="88" spans="2:5">
      <c r="B88" s="95" t="s">
        <v>551</v>
      </c>
      <c r="C88" s="330">
        <v>708329.16817071021</v>
      </c>
      <c r="D88" s="97">
        <f t="shared" si="2"/>
        <v>708.3291681707102</v>
      </c>
      <c r="E88" s="278">
        <f t="shared" ref="E88:E113" si="3">IF(LEN(D88)=0,#N/A,(D88/D87-1))</f>
        <v>2.6258542719088451E-2</v>
      </c>
    </row>
    <row r="89" spans="2:5">
      <c r="B89" s="95" t="s">
        <v>552</v>
      </c>
      <c r="C89" s="330">
        <v>722422.90231951012</v>
      </c>
      <c r="D89" s="97">
        <f t="shared" si="2"/>
        <v>722.42290231951017</v>
      </c>
      <c r="E89" s="278">
        <f t="shared" si="3"/>
        <v>1.9897153445195048E-2</v>
      </c>
    </row>
    <row r="90" spans="2:5">
      <c r="B90" s="95" t="s">
        <v>554</v>
      </c>
      <c r="C90" s="330">
        <v>720427.04633623024</v>
      </c>
      <c r="D90" s="97">
        <f t="shared" si="2"/>
        <v>720.42704633623021</v>
      </c>
      <c r="E90" s="278">
        <f t="shared" si="3"/>
        <v>-2.762725235968877E-3</v>
      </c>
    </row>
    <row r="91" spans="2:5">
      <c r="B91" s="95" t="s">
        <v>555</v>
      </c>
      <c r="C91" s="330">
        <v>692282.33316157979</v>
      </c>
      <c r="D91" s="97">
        <f t="shared" si="2"/>
        <v>692.2823331615798</v>
      </c>
      <c r="E91" s="278">
        <f t="shared" si="3"/>
        <v>-3.9066708166748954E-2</v>
      </c>
    </row>
    <row r="92" spans="2:5">
      <c r="B92" s="95" t="s">
        <v>560</v>
      </c>
      <c r="C92" s="330">
        <v>716349.84834647027</v>
      </c>
      <c r="D92" s="97">
        <f t="shared" si="2"/>
        <v>716.34984834647025</v>
      </c>
      <c r="E92" s="278">
        <f t="shared" si="3"/>
        <v>3.476546205502129E-2</v>
      </c>
    </row>
    <row r="93" spans="2:5">
      <c r="B93" s="95" t="s">
        <v>562</v>
      </c>
      <c r="C93" s="330">
        <v>724765.68537327019</v>
      </c>
      <c r="D93" s="97">
        <f t="shared" si="2"/>
        <v>724.76568537327023</v>
      </c>
      <c r="E93" s="278">
        <f t="shared" si="3"/>
        <v>1.1748221970348638E-2</v>
      </c>
    </row>
    <row r="94" spans="2:5">
      <c r="B94" s="95" t="s">
        <v>563</v>
      </c>
      <c r="C94" s="330">
        <v>731312.77571297996</v>
      </c>
      <c r="D94" s="97">
        <f t="shared" si="2"/>
        <v>731.31277571297994</v>
      </c>
      <c r="E94" s="278">
        <f t="shared" si="3"/>
        <v>9.0333889584435223E-3</v>
      </c>
    </row>
    <row r="95" spans="2:5">
      <c r="B95" s="95" t="s">
        <v>564</v>
      </c>
      <c r="C95" s="330">
        <v>790290.84938114998</v>
      </c>
      <c r="D95" s="97">
        <f t="shared" si="2"/>
        <v>790.29084938115</v>
      </c>
      <c r="E95" s="278">
        <f t="shared" si="3"/>
        <v>8.0646852655719581E-2</v>
      </c>
    </row>
    <row r="96" spans="2:5">
      <c r="B96" s="95" t="s">
        <v>565</v>
      </c>
      <c r="C96" s="330">
        <v>838256.04277361021</v>
      </c>
      <c r="D96" s="97">
        <f t="shared" si="2"/>
        <v>838.25604277361026</v>
      </c>
      <c r="E96" s="278">
        <f t="shared" si="3"/>
        <v>6.0693089677072987E-2</v>
      </c>
    </row>
    <row r="97" spans="2:5">
      <c r="B97" s="95" t="s">
        <v>566</v>
      </c>
      <c r="C97" s="330">
        <v>902428.12045604002</v>
      </c>
      <c r="D97" s="97">
        <f t="shared" si="2"/>
        <v>902.42812045604001</v>
      </c>
      <c r="E97" s="278">
        <f t="shared" si="3"/>
        <v>7.6554267918067076E-2</v>
      </c>
    </row>
    <row r="98" spans="2:5">
      <c r="B98" s="95" t="s">
        <v>567</v>
      </c>
      <c r="C98" s="330">
        <v>905008.72347773006</v>
      </c>
      <c r="D98" s="97">
        <f t="shared" si="2"/>
        <v>905.00872347773009</v>
      </c>
      <c r="E98" s="278">
        <f t="shared" si="3"/>
        <v>2.8596216842022848E-3</v>
      </c>
    </row>
    <row r="99" spans="2:5">
      <c r="B99" s="95" t="s">
        <v>568</v>
      </c>
      <c r="C99" s="330">
        <v>773535.61783613998</v>
      </c>
      <c r="D99" s="97">
        <f t="shared" si="2"/>
        <v>773.53561783613998</v>
      </c>
      <c r="E99" s="278">
        <f t="shared" si="3"/>
        <v>-0.14527274956684477</v>
      </c>
    </row>
    <row r="100" spans="2:5">
      <c r="B100" s="95" t="s">
        <v>570</v>
      </c>
      <c r="C100" s="330">
        <v>792348.84574573976</v>
      </c>
      <c r="D100" s="97">
        <f t="shared" si="2"/>
        <v>792.34884574573971</v>
      </c>
      <c r="E100" s="278">
        <f t="shared" si="3"/>
        <v>2.4321088099636734E-2</v>
      </c>
    </row>
    <row r="101" spans="2:5">
      <c r="B101" s="95" t="s">
        <v>572</v>
      </c>
      <c r="C101" s="330">
        <v>829763.61905296007</v>
      </c>
      <c r="D101" s="97">
        <f t="shared" si="2"/>
        <v>829.76361905296005</v>
      </c>
      <c r="E101" s="278">
        <f t="shared" si="3"/>
        <v>4.7220076747895634E-2</v>
      </c>
    </row>
    <row r="102" spans="2:5">
      <c r="B102" s="95" t="s">
        <v>574</v>
      </c>
      <c r="C102" s="330">
        <v>894490.31166527979</v>
      </c>
      <c r="D102" s="97">
        <f t="shared" si="2"/>
        <v>894.49031166527982</v>
      </c>
      <c r="E102" s="278">
        <f t="shared" si="3"/>
        <v>7.8006182876750874E-2</v>
      </c>
    </row>
    <row r="103" spans="2:5">
      <c r="B103" s="95" t="s">
        <v>575</v>
      </c>
      <c r="C103" s="330">
        <v>904453.81443917018</v>
      </c>
      <c r="D103" s="97">
        <f t="shared" si="2"/>
        <v>904.45381443917017</v>
      </c>
      <c r="E103" s="278">
        <f t="shared" si="3"/>
        <v>1.113874867503184E-2</v>
      </c>
    </row>
    <row r="104" spans="2:5">
      <c r="B104" s="95" t="s">
        <v>577</v>
      </c>
      <c r="C104" s="330">
        <v>906538.79407433001</v>
      </c>
      <c r="D104" s="97">
        <f t="shared" si="2"/>
        <v>906.53879407432999</v>
      </c>
      <c r="E104" s="278">
        <f t="shared" si="3"/>
        <v>2.3052361567545976E-3</v>
      </c>
    </row>
    <row r="105" spans="2:5">
      <c r="B105" s="95" t="s">
        <v>580</v>
      </c>
      <c r="C105" s="330">
        <v>912716.53530721006</v>
      </c>
      <c r="D105" s="97">
        <f t="shared" si="2"/>
        <v>912.71653530721005</v>
      </c>
      <c r="E105" s="278">
        <f t="shared" si="3"/>
        <v>6.8146462934199903E-3</v>
      </c>
    </row>
    <row r="106" spans="2:5">
      <c r="B106" s="95" t="s">
        <v>582</v>
      </c>
      <c r="C106" s="371">
        <v>1028480.26816857</v>
      </c>
      <c r="D106" s="97">
        <f t="shared" si="2"/>
        <v>1028.4802681685701</v>
      </c>
      <c r="E106" s="278">
        <f t="shared" si="3"/>
        <v>0.12683426713902501</v>
      </c>
    </row>
    <row r="107" spans="2:5">
      <c r="B107" s="95" t="s">
        <v>584</v>
      </c>
      <c r="C107" s="370">
        <v>1047459.0771702297</v>
      </c>
      <c r="D107" s="97">
        <f t="shared" si="2"/>
        <v>1047.4590771702296</v>
      </c>
      <c r="E107" s="278">
        <f t="shared" si="3"/>
        <v>1.8453255340965757E-2</v>
      </c>
    </row>
    <row r="108" spans="2:5">
      <c r="B108" s="95" t="s">
        <v>587</v>
      </c>
      <c r="C108" s="370">
        <v>995057.92523380008</v>
      </c>
      <c r="D108" s="97">
        <f t="shared" si="2"/>
        <v>995.05792523380012</v>
      </c>
      <c r="E108" s="278">
        <f t="shared" si="3"/>
        <v>-5.0026920457832302E-2</v>
      </c>
    </row>
    <row r="109" spans="2:5">
      <c r="B109" s="95" t="s">
        <v>588</v>
      </c>
      <c r="C109" s="370">
        <v>924086.92276392004</v>
      </c>
      <c r="D109" s="97">
        <f t="shared" si="2"/>
        <v>924.08692276392003</v>
      </c>
      <c r="E109" s="278">
        <f t="shared" si="3"/>
        <v>-7.1323488482546993E-2</v>
      </c>
    </row>
    <row r="110" spans="2:5">
      <c r="B110" s="95" t="s">
        <v>593</v>
      </c>
      <c r="C110" s="370">
        <v>999904.14965029969</v>
      </c>
      <c r="D110" s="97">
        <f t="shared" si="2"/>
        <v>999.9041496502997</v>
      </c>
      <c r="E110" s="278">
        <f t="shared" si="3"/>
        <v>8.2045557640413547E-2</v>
      </c>
    </row>
    <row r="111" spans="2:5">
      <c r="B111" s="95" t="s">
        <v>615</v>
      </c>
      <c r="C111" s="370">
        <v>961977.49834058026</v>
      </c>
      <c r="D111" s="97">
        <f t="shared" si="2"/>
        <v>961.97749834058027</v>
      </c>
      <c r="E111" s="278">
        <f t="shared" si="3"/>
        <v>-3.793028694098699E-2</v>
      </c>
    </row>
    <row r="112" spans="2:5">
      <c r="B112" s="95" t="s">
        <v>617</v>
      </c>
      <c r="C112" s="370">
        <v>930914.28293016972</v>
      </c>
      <c r="D112" s="97">
        <f t="shared" si="2"/>
        <v>930.91428293016975</v>
      </c>
      <c r="E112" s="278">
        <f t="shared" si="3"/>
        <v>-3.2291000011949178E-2</v>
      </c>
    </row>
    <row r="113" spans="2:5">
      <c r="B113" s="95" t="s">
        <v>640</v>
      </c>
      <c r="C113" s="370">
        <v>828704.49417999981</v>
      </c>
      <c r="D113" s="97">
        <f t="shared" si="2"/>
        <v>828.70449417999976</v>
      </c>
      <c r="E113" s="278">
        <f t="shared" si="3"/>
        <v>-0.10979505914169863</v>
      </c>
    </row>
    <row r="114" spans="2:5">
      <c r="B114" s="95" t="s">
        <v>644</v>
      </c>
      <c r="C114" s="370">
        <v>890002.58069833042</v>
      </c>
      <c r="D114" s="97">
        <f t="shared" ref="D114" si="4">IF(LEN(C114)=0,#N/A,C114/1000)</f>
        <v>890.00258069833046</v>
      </c>
      <c r="E114" s="278">
        <f t="shared" ref="E114" si="5">IF(LEN(D114)=0,#N/A,(D114/D113-1))</f>
        <v>7.3968570158395197E-2</v>
      </c>
    </row>
    <row r="115" spans="2:5">
      <c r="B115" s="95" t="s">
        <v>660</v>
      </c>
      <c r="C115" s="370">
        <v>905598.47632000002</v>
      </c>
      <c r="D115" s="97">
        <f t="shared" ref="D115:D118" si="6">IF(LEN(C115)=0,#N/A,C115/1000)</f>
        <v>905.59847632000003</v>
      </c>
      <c r="E115" s="278">
        <f t="shared" ref="E115:E118" si="7">IF(LEN(D115)=0,#N/A,(D115/D114-1))</f>
        <v>1.7523427414595227E-2</v>
      </c>
    </row>
    <row r="116" spans="2:5">
      <c r="B116" s="95" t="s">
        <v>661</v>
      </c>
      <c r="C116" s="370">
        <v>935073.68079796026</v>
      </c>
      <c r="D116" s="97">
        <f t="shared" si="6"/>
        <v>935.07368079796026</v>
      </c>
      <c r="E116" s="278">
        <f t="shared" si="7"/>
        <v>3.2547762886854681E-2</v>
      </c>
    </row>
    <row r="117" spans="2:5">
      <c r="B117" s="95" t="s">
        <v>662</v>
      </c>
      <c r="C117" s="370">
        <v>1092944.7843757104</v>
      </c>
      <c r="D117" s="97">
        <f t="shared" si="6"/>
        <v>1092.9447843757105</v>
      </c>
      <c r="E117" s="278">
        <f t="shared" si="7"/>
        <v>0.16883279555363839</v>
      </c>
    </row>
    <row r="118" spans="2:5">
      <c r="B118" s="95" t="s">
        <v>663</v>
      </c>
      <c r="C118" s="370">
        <v>1017179.3413862599</v>
      </c>
      <c r="D118" s="97">
        <f t="shared" si="6"/>
        <v>1017.1793413862599</v>
      </c>
      <c r="E118" s="278">
        <f t="shared" si="7"/>
        <v>-6.9322297038754588E-2</v>
      </c>
    </row>
    <row r="119" spans="2:5">
      <c r="B119" s="95"/>
      <c r="C119" s="370"/>
      <c r="D119" s="97"/>
      <c r="E119" s="278"/>
    </row>
    <row r="120" spans="2:5">
      <c r="B120" s="95"/>
      <c r="C120" s="370"/>
      <c r="D120" s="97"/>
      <c r="E120" s="278"/>
    </row>
    <row r="121" spans="2:5">
      <c r="B121" s="95"/>
      <c r="C121" s="370"/>
      <c r="D121" s="97"/>
      <c r="E121" s="278"/>
    </row>
    <row r="122" spans="2:5">
      <c r="B122" s="95"/>
      <c r="C122" s="370"/>
      <c r="D122" s="97"/>
      <c r="E122" s="278"/>
    </row>
    <row r="123" spans="2:5">
      <c r="B123" s="95"/>
      <c r="C123" s="370"/>
      <c r="D123" s="97"/>
      <c r="E123" s="278"/>
    </row>
    <row r="124" spans="2:5">
      <c r="B124" s="95"/>
      <c r="C124" s="370"/>
      <c r="D124" s="97"/>
      <c r="E124" s="278"/>
    </row>
    <row r="125" spans="2:5">
      <c r="B125" s="95"/>
      <c r="C125" s="370"/>
      <c r="D125" s="97"/>
      <c r="E125" s="278"/>
    </row>
    <row r="126" spans="2:5">
      <c r="B126" s="95"/>
      <c r="C126" s="370"/>
      <c r="D126" s="97"/>
      <c r="E126" s="278"/>
    </row>
    <row r="127" spans="2:5">
      <c r="B127" s="95"/>
      <c r="C127" s="370"/>
      <c r="D127" s="97"/>
      <c r="E127" s="278"/>
    </row>
    <row r="128" spans="2:5">
      <c r="B128" s="95"/>
      <c r="C128" s="370"/>
      <c r="D128" s="97"/>
      <c r="E128" s="278"/>
    </row>
    <row r="129" spans="2:5">
      <c r="B129" s="95"/>
      <c r="C129" s="370"/>
      <c r="D129" s="97"/>
      <c r="E129" s="278"/>
    </row>
    <row r="130" spans="2:5">
      <c r="B130" s="95"/>
      <c r="C130" s="370"/>
      <c r="D130" s="97"/>
      <c r="E130" s="278"/>
    </row>
  </sheetData>
  <mergeCells count="2">
    <mergeCell ref="A1:B1"/>
    <mergeCell ref="B20:E20"/>
  </mergeCells>
  <phoneticPr fontId="6" type="noConversion"/>
  <hyperlinks>
    <hyperlink ref="A1" location="Index!A1" display="Return to Index" xr:uid="{00000000-0004-0000-0C00-000000000000}"/>
    <hyperlink ref="A1:B1" location="Contents!A1" display="Go to Contents" xr:uid="{00000000-0004-0000-0C00-000001000000}"/>
  </hyperlinks>
  <pageMargins left="0.25" right="0.25" top="0.26" bottom="0.27" header="0.2" footer="0.21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outlinePr summaryBelow="0" summaryRight="0"/>
  </sheetPr>
  <dimension ref="A1:M45"/>
  <sheetViews>
    <sheetView showGridLines="0" zoomScaleNormal="100" workbookViewId="0">
      <selection sqref="A1:B1"/>
    </sheetView>
  </sheetViews>
  <sheetFormatPr defaultColWidth="9.140625" defaultRowHeight="12.75"/>
  <cols>
    <col min="1" max="1" width="4.85546875" style="9" customWidth="1"/>
    <col min="2" max="2" width="6" style="9" customWidth="1"/>
    <col min="3" max="3" width="35.5703125" style="9" customWidth="1"/>
    <col min="4" max="4" width="3.140625" style="9" customWidth="1"/>
    <col min="5" max="10" width="11.85546875" style="9" customWidth="1"/>
    <col min="11" max="11" width="10.5703125" style="9" bestFit="1" customWidth="1"/>
    <col min="12" max="16384" width="9.140625" style="9"/>
  </cols>
  <sheetData>
    <row r="1" spans="1:10">
      <c r="A1" s="594" t="s">
        <v>346</v>
      </c>
      <c r="B1" s="596"/>
    </row>
    <row r="2" spans="1:10" ht="18.75">
      <c r="B2" s="104" t="s">
        <v>92</v>
      </c>
    </row>
    <row r="3" spans="1:10">
      <c r="C3" s="110" t="s">
        <v>550</v>
      </c>
    </row>
    <row r="4" spans="1:10">
      <c r="B4" s="26"/>
      <c r="C4" s="34"/>
      <c r="D4" s="34"/>
      <c r="E4" s="34"/>
      <c r="F4" s="34"/>
      <c r="G4" s="34"/>
      <c r="H4" s="34"/>
      <c r="I4" s="34"/>
      <c r="J4" s="34"/>
    </row>
    <row r="5" spans="1:10" ht="15.75">
      <c r="B5" s="26"/>
      <c r="C5" s="610" t="s">
        <v>449</v>
      </c>
      <c r="D5" s="610"/>
      <c r="E5" s="610"/>
      <c r="F5" s="610"/>
      <c r="G5" s="610"/>
      <c r="H5" s="610"/>
      <c r="I5" s="610"/>
      <c r="J5" s="34"/>
    </row>
    <row r="6" spans="1:10" s="17" customFormat="1" ht="11.25">
      <c r="C6" s="611"/>
      <c r="D6" s="611"/>
      <c r="E6" s="611"/>
      <c r="F6" s="611"/>
      <c r="G6" s="611"/>
      <c r="H6" s="611"/>
      <c r="I6" s="611"/>
      <c r="J6" s="284"/>
    </row>
    <row r="7" spans="1:10">
      <c r="B7" s="26"/>
      <c r="C7" s="612" t="s">
        <v>62</v>
      </c>
      <c r="D7" s="612"/>
      <c r="E7" s="612"/>
      <c r="F7" s="612"/>
      <c r="G7" s="612"/>
      <c r="H7" s="612"/>
      <c r="I7" s="612"/>
      <c r="J7" s="34"/>
    </row>
    <row r="8" spans="1:10">
      <c r="B8" s="26"/>
      <c r="C8" s="16"/>
      <c r="D8" s="16"/>
      <c r="E8" s="16"/>
      <c r="F8" s="16"/>
      <c r="G8" s="16"/>
      <c r="H8" s="16"/>
      <c r="I8" s="16"/>
      <c r="J8" s="16"/>
    </row>
    <row r="9" spans="1:10">
      <c r="B9" s="26"/>
    </row>
    <row r="32" spans="3:13">
      <c r="C32" s="72"/>
      <c r="D32" s="72"/>
      <c r="E32" s="98">
        <v>43830</v>
      </c>
      <c r="F32" s="98">
        <v>44196</v>
      </c>
      <c r="G32" s="98">
        <v>44561</v>
      </c>
      <c r="H32" s="98">
        <v>44926</v>
      </c>
      <c r="I32" s="98">
        <v>45291</v>
      </c>
      <c r="J32" s="98">
        <f>Date_EOP_Current</f>
        <v>45657</v>
      </c>
      <c r="K32" s="27"/>
      <c r="M32" s="27"/>
    </row>
    <row r="33" spans="2:13">
      <c r="B33" s="39" t="s">
        <v>2</v>
      </c>
      <c r="C33" s="99" t="s">
        <v>55</v>
      </c>
      <c r="D33" s="99"/>
      <c r="E33" s="102"/>
      <c r="F33" s="108">
        <v>-8.0749358495905348</v>
      </c>
      <c r="G33" s="108">
        <v>17.617424856520671</v>
      </c>
      <c r="H33" s="108">
        <v>2.7399453795132667</v>
      </c>
      <c r="I33" s="108">
        <v>-6.3</v>
      </c>
      <c r="J33" s="108">
        <f ca="1">'II. Category'!$D$7</f>
        <v>17.91184382428742</v>
      </c>
      <c r="K33" s="28"/>
      <c r="M33" s="28"/>
    </row>
    <row r="34" spans="2:13">
      <c r="B34" s="39"/>
      <c r="C34" s="236" t="s">
        <v>56</v>
      </c>
      <c r="D34" s="236"/>
      <c r="E34" s="237">
        <v>100</v>
      </c>
      <c r="F34" s="238">
        <f>(1+(F33/100))*E34</f>
        <v>91.925064150409469</v>
      </c>
      <c r="G34" s="238">
        <f>(1+(G33/100))*F34</f>
        <v>108.11989325141627</v>
      </c>
      <c r="H34" s="238">
        <f>(1+(H33/100))*G34</f>
        <v>111.08231927089314</v>
      </c>
      <c r="I34" s="238">
        <f>(1+(I33/100))*H34</f>
        <v>104.08413315682688</v>
      </c>
      <c r="J34" s="238">
        <f ca="1">(1+(J33/100))*I34</f>
        <v>122.72752053374109</v>
      </c>
      <c r="K34" s="14"/>
      <c r="M34" s="14"/>
    </row>
    <row r="35" spans="2:13">
      <c r="B35" s="39" t="s">
        <v>3</v>
      </c>
      <c r="C35" s="239" t="s">
        <v>63</v>
      </c>
      <c r="D35" s="239"/>
      <c r="E35" s="240"/>
      <c r="F35" s="241">
        <v>-9.0137575386257609</v>
      </c>
      <c r="G35" s="241">
        <v>16.721153483692103</v>
      </c>
      <c r="H35" s="241">
        <v>3.589956423148243</v>
      </c>
      <c r="I35" s="241">
        <v>-3.9173</v>
      </c>
      <c r="J35" s="241">
        <f ca="1">'II. Category'!$D$8</f>
        <v>18.741459607597559</v>
      </c>
      <c r="K35" s="28"/>
      <c r="M35" s="28"/>
    </row>
    <row r="36" spans="2:13">
      <c r="B36" s="39"/>
      <c r="C36" s="236" t="s">
        <v>64</v>
      </c>
      <c r="D36" s="236"/>
      <c r="E36" s="237">
        <v>100</v>
      </c>
      <c r="F36" s="238">
        <f>(1+(F35/100))*E36</f>
        <v>90.986242461374232</v>
      </c>
      <c r="G36" s="238">
        <f t="shared" ref="G36:H36" si="0">(1+(G35/100))*F36</f>
        <v>106.20019171238485</v>
      </c>
      <c r="H36" s="238">
        <f t="shared" si="0"/>
        <v>110.01273231615934</v>
      </c>
      <c r="I36" s="238">
        <f>(1+(I35/100))*H36</f>
        <v>105.70320355313844</v>
      </c>
      <c r="J36" s="238">
        <f ca="1">(1+(J35/100))*I36</f>
        <v>125.51352675098651</v>
      </c>
      <c r="K36" s="14"/>
      <c r="M36" s="14"/>
    </row>
    <row r="37" spans="2:13">
      <c r="B37" s="39" t="s">
        <v>4</v>
      </c>
      <c r="C37" s="239" t="s">
        <v>65</v>
      </c>
      <c r="D37" s="239"/>
      <c r="E37" s="240"/>
      <c r="F37" s="241">
        <v>-4.9455302194731168</v>
      </c>
      <c r="G37" s="241">
        <v>21.090476426231358</v>
      </c>
      <c r="H37" s="241">
        <v>-1.1458193913894836</v>
      </c>
      <c r="I37" s="241">
        <v>-22.5014</v>
      </c>
      <c r="J37" s="241">
        <f ca="1">'II. Category'!$D$9</f>
        <v>12.436379654440485</v>
      </c>
      <c r="K37" s="28"/>
      <c r="M37" s="28"/>
    </row>
    <row r="38" spans="2:13">
      <c r="B38" s="39"/>
      <c r="C38" s="236" t="s">
        <v>66</v>
      </c>
      <c r="D38" s="236"/>
      <c r="E38" s="237">
        <v>100</v>
      </c>
      <c r="F38" s="238">
        <f>(1+(F37/100))*E38</f>
        <v>95.054469780526887</v>
      </c>
      <c r="G38" s="238">
        <f t="shared" ref="G38" si="1">(1+(G37/100))*F38</f>
        <v>115.10191032166813</v>
      </c>
      <c r="H38" s="238">
        <f>(1+(H37/100))*G38</f>
        <v>113.78305031334273</v>
      </c>
      <c r="I38" s="238">
        <f>(1+(I37/100))*H38</f>
        <v>88.180271030136225</v>
      </c>
      <c r="J38" s="238">
        <f ca="1">(1+(J37/100))*I38</f>
        <v>99.146704315758569</v>
      </c>
      <c r="K38" s="14"/>
      <c r="M38" s="14"/>
    </row>
    <row r="39" spans="2:13">
      <c r="B39" s="39"/>
      <c r="K39" s="28"/>
      <c r="M39" s="28"/>
    </row>
    <row r="40" spans="2:13">
      <c r="K40" s="14"/>
      <c r="M40" s="14"/>
    </row>
    <row r="41" spans="2:13">
      <c r="C41" s="132" t="s">
        <v>329</v>
      </c>
      <c r="E41" s="15"/>
      <c r="F41" s="15"/>
      <c r="G41" s="15"/>
      <c r="H41" s="15"/>
      <c r="I41" s="15"/>
      <c r="J41" s="15"/>
    </row>
    <row r="42" spans="2:13">
      <c r="C42" s="133" t="s">
        <v>390</v>
      </c>
      <c r="E42" s="15"/>
      <c r="F42" s="15"/>
      <c r="G42" s="15"/>
      <c r="H42" s="15"/>
      <c r="I42" s="15"/>
      <c r="J42" s="15"/>
    </row>
    <row r="43" spans="2:13">
      <c r="C43" s="133" t="s">
        <v>664</v>
      </c>
    </row>
    <row r="44" spans="2:13">
      <c r="C44" s="133"/>
    </row>
    <row r="45" spans="2:13">
      <c r="C45" s="13" t="s">
        <v>545</v>
      </c>
    </row>
  </sheetData>
  <mergeCells count="4">
    <mergeCell ref="A1:B1"/>
    <mergeCell ref="C5:I5"/>
    <mergeCell ref="C6:I6"/>
    <mergeCell ref="C7:I7"/>
  </mergeCells>
  <phoneticPr fontId="6" type="noConversion"/>
  <hyperlinks>
    <hyperlink ref="A1" location="Index!A1" display="Return to Index" xr:uid="{00000000-0004-0000-0D00-000000000000}"/>
    <hyperlink ref="A1:B1" location="Contents!A1" display="Go to Contents" xr:uid="{00000000-0004-0000-0D00-000001000000}"/>
  </hyperlinks>
  <pageMargins left="0.2" right="0.34" top="0.18" bottom="0.17" header="0.17" footer="0.17"/>
  <pageSetup scale="8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outlinePr summaryBelow="0" summaryRight="0"/>
  </sheetPr>
  <dimension ref="A1:Z49"/>
  <sheetViews>
    <sheetView showGridLines="0" zoomScaleNormal="100" workbookViewId="0">
      <selection sqref="A1:B1"/>
    </sheetView>
  </sheetViews>
  <sheetFormatPr defaultColWidth="9.140625" defaultRowHeight="12.75" outlineLevelCol="1"/>
  <cols>
    <col min="1" max="1" width="3.28515625" style="78" customWidth="1"/>
    <col min="2" max="2" width="40.7109375" style="78" customWidth="1"/>
    <col min="3" max="3" width="14.85546875" style="78" customWidth="1"/>
    <col min="4" max="4" width="10.85546875" style="78" customWidth="1"/>
    <col min="5" max="5" width="9.140625" style="78" collapsed="1"/>
    <col min="6" max="7" width="9.140625" style="78" hidden="1" customWidth="1" outlineLevel="1"/>
    <col min="8" max="8" width="2.7109375" style="78" hidden="1" customWidth="1" outlineLevel="1"/>
    <col min="9" max="9" width="7.28515625" style="171" hidden="1" customWidth="1" outlineLevel="1"/>
    <col min="10" max="10" width="29.5703125" style="78" hidden="1" customWidth="1" outlineLevel="1"/>
    <col min="11" max="11" width="12.42578125" style="78" hidden="1" customWidth="1" outlineLevel="1"/>
    <col min="12" max="12" width="2.7109375" style="78" hidden="1" customWidth="1" outlineLevel="1"/>
    <col min="13" max="13" width="17" style="192" hidden="1" customWidth="1" outlineLevel="1"/>
    <col min="14" max="14" width="3.140625" style="78" hidden="1" customWidth="1" outlineLevel="1"/>
    <col min="15" max="15" width="9.5703125" style="194" hidden="1" customWidth="1" outlineLevel="1"/>
    <col min="16" max="16" width="2.7109375" style="220" hidden="1" customWidth="1" outlineLevel="1"/>
    <col min="17" max="17" width="12.42578125" style="232" hidden="1" customWidth="1" outlineLevel="1"/>
    <col min="18" max="18" width="2.7109375" style="78" hidden="1" customWidth="1" outlineLevel="1"/>
    <col min="19" max="19" width="11.85546875" style="200" hidden="1" customWidth="1" outlineLevel="1"/>
    <col min="20" max="20" width="2.7109375" style="199" hidden="1" customWidth="1" outlineLevel="1" collapsed="1"/>
    <col min="21" max="21" width="8.7109375" style="199" hidden="1" customWidth="1" outlineLevel="1"/>
    <col min="22" max="23" width="8.7109375" style="78" hidden="1" customWidth="1" outlineLevel="1"/>
    <col min="24" max="24" width="8.7109375" style="200" hidden="1" customWidth="1" outlineLevel="1"/>
    <col min="25" max="25" width="2.7109375" style="78" hidden="1" customWidth="1" outlineLevel="1"/>
    <col min="26" max="26" width="9.140625" style="78" collapsed="1"/>
    <col min="27" max="16384" width="9.140625" style="78"/>
  </cols>
  <sheetData>
    <row r="1" spans="1:24">
      <c r="A1" s="594" t="s">
        <v>346</v>
      </c>
      <c r="B1" s="596"/>
      <c r="H1" s="186"/>
      <c r="I1" s="186"/>
      <c r="J1" s="477" t="str">
        <f>Quarter_Year_Qtr</f>
        <v>2024.4</v>
      </c>
      <c r="K1" s="141"/>
      <c r="L1" s="141"/>
      <c r="P1" s="212"/>
    </row>
    <row r="2" spans="1:24" ht="18.75">
      <c r="B2" s="104" t="s">
        <v>93</v>
      </c>
      <c r="C2" s="263"/>
      <c r="H2" s="173"/>
      <c r="I2" s="173"/>
      <c r="J2" s="477"/>
      <c r="K2" s="173"/>
      <c r="L2" s="173"/>
      <c r="M2" s="613" t="s">
        <v>367</v>
      </c>
      <c r="N2" s="615"/>
      <c r="O2" s="616"/>
      <c r="P2" s="213"/>
      <c r="Q2" s="613" t="s">
        <v>368</v>
      </c>
      <c r="R2" s="615"/>
      <c r="S2" s="616"/>
      <c r="T2" s="193"/>
      <c r="U2" s="613" t="s">
        <v>369</v>
      </c>
      <c r="V2" s="614"/>
      <c r="W2" s="615"/>
      <c r="X2" s="616"/>
    </row>
    <row r="3" spans="1:24">
      <c r="B3" s="105" t="str">
        <f>"Period ending "&amp;TEXT(Date_EOP_Current,"m/dd/yyyy")</f>
        <v>Period ending 12/31/2024</v>
      </c>
      <c r="H3" s="173"/>
      <c r="I3" s="173"/>
      <c r="J3" s="396" t="s">
        <v>337</v>
      </c>
      <c r="K3" s="174" t="s">
        <v>292</v>
      </c>
      <c r="L3" s="174"/>
      <c r="M3" s="205" t="str">
        <f>$J$1</f>
        <v>2024.4</v>
      </c>
      <c r="N3" s="175"/>
      <c r="O3" s="480" t="s">
        <v>328</v>
      </c>
      <c r="P3" s="214"/>
      <c r="Q3" s="228" t="s">
        <v>1</v>
      </c>
      <c r="R3" s="176"/>
      <c r="S3" s="480" t="s">
        <v>328</v>
      </c>
      <c r="T3" s="193"/>
      <c r="U3" s="228" t="s">
        <v>326</v>
      </c>
      <c r="V3" s="177" t="s">
        <v>327</v>
      </c>
      <c r="W3" s="177" t="s">
        <v>327</v>
      </c>
      <c r="X3" s="480" t="s">
        <v>370</v>
      </c>
    </row>
    <row r="4" spans="1:24">
      <c r="H4" s="173"/>
      <c r="I4" s="173"/>
      <c r="J4" s="174"/>
      <c r="K4" s="174"/>
      <c r="L4" s="174"/>
      <c r="M4" s="279" t="s">
        <v>348</v>
      </c>
      <c r="N4" s="175"/>
      <c r="O4" s="195"/>
      <c r="P4" s="214"/>
      <c r="Q4" s="228"/>
      <c r="R4" s="176"/>
      <c r="S4" s="211"/>
      <c r="T4" s="193"/>
      <c r="U4" s="234"/>
      <c r="V4" s="184"/>
      <c r="W4" s="184"/>
      <c r="X4" s="395"/>
    </row>
    <row r="5" spans="1:24" ht="15.75">
      <c r="B5" s="601" t="s">
        <v>71</v>
      </c>
      <c r="C5" s="601"/>
      <c r="D5" s="617"/>
      <c r="H5" s="180"/>
      <c r="I5" s="180"/>
      <c r="J5" s="179"/>
      <c r="K5" s="179"/>
      <c r="L5" s="179"/>
      <c r="M5" s="201" t="str">
        <f>M3 &amp; ":::" &amp; M4</f>
        <v>2024.4:::% Return</v>
      </c>
      <c r="N5" s="179"/>
      <c r="O5" s="207"/>
      <c r="P5" s="215"/>
      <c r="Q5" s="233"/>
      <c r="R5" s="179"/>
      <c r="S5" s="196"/>
      <c r="T5" s="193"/>
      <c r="U5" s="234"/>
      <c r="V5" s="184"/>
      <c r="W5" s="184"/>
      <c r="X5" s="395"/>
    </row>
    <row r="6" spans="1:24">
      <c r="B6" s="618" t="s">
        <v>450</v>
      </c>
      <c r="C6" s="597"/>
      <c r="D6" s="597"/>
      <c r="F6" s="83" t="s">
        <v>61</v>
      </c>
      <c r="G6" s="83" t="s">
        <v>328</v>
      </c>
      <c r="H6" s="183"/>
      <c r="I6" s="183"/>
      <c r="J6" s="167" t="s">
        <v>339</v>
      </c>
      <c r="K6" s="182"/>
      <c r="L6" s="182"/>
      <c r="M6" s="202" t="s">
        <v>351</v>
      </c>
      <c r="N6" s="167"/>
      <c r="O6" s="393" t="str">
        <f>M6</f>
        <v>'Calc_YTD'!</v>
      </c>
      <c r="P6" s="216"/>
      <c r="Q6" s="235" t="s">
        <v>352</v>
      </c>
      <c r="R6" s="184"/>
      <c r="S6" s="394"/>
      <c r="T6" s="193"/>
      <c r="U6" s="234"/>
      <c r="V6" s="184"/>
      <c r="W6" s="184"/>
      <c r="X6" s="395"/>
    </row>
    <row r="7" spans="1:24">
      <c r="B7" s="111" t="s">
        <v>391</v>
      </c>
      <c r="C7" s="270" t="s">
        <v>392</v>
      </c>
      <c r="D7" s="258" t="s">
        <v>1</v>
      </c>
      <c r="H7" s="183"/>
      <c r="I7" s="183"/>
      <c r="J7" s="276" t="str">
        <f>J6</f>
        <v>'CompanyList'!</v>
      </c>
      <c r="K7" s="168" t="str">
        <f>J7</f>
        <v>'CompanyList'!</v>
      </c>
      <c r="L7" s="168"/>
      <c r="M7" s="202" t="s">
        <v>341</v>
      </c>
      <c r="N7" s="167"/>
      <c r="O7" s="394" t="s">
        <v>606</v>
      </c>
      <c r="P7" s="217"/>
      <c r="Q7" s="390" t="str">
        <f>Q6</f>
        <v>'Reg_Percent'!</v>
      </c>
      <c r="R7" s="391"/>
      <c r="S7" s="478" t="str">
        <f>Q7</f>
        <v>'Reg_Percent'!</v>
      </c>
      <c r="T7" s="193"/>
      <c r="U7" s="234"/>
      <c r="V7" s="184"/>
      <c r="W7" s="184"/>
      <c r="X7" s="395"/>
    </row>
    <row r="8" spans="1:24">
      <c r="B8" s="89" t="str">
        <f t="shared" ref="B8:B17" ca="1" si="0">OFFSET( $J$11, $G8, 0 )</f>
        <v>MDU Resources Group, Inc.</v>
      </c>
      <c r="C8" s="267">
        <f t="shared" ref="C8:C17" ca="1" si="1">OFFSET( $M$11, $G8, 0 )</f>
        <v>72.45</v>
      </c>
      <c r="D8" s="264" t="str">
        <f t="shared" ref="D8:D17" ca="1" si="2">OFFSET( $Q$11, $G8, 0 )</f>
        <v>MR</v>
      </c>
      <c r="F8" s="131">
        <v>1</v>
      </c>
      <c r="G8" s="171">
        <f t="shared" ref="G8:G17" ca="1" si="3">MATCH( F8, $X$12:$X$49, 0 )</f>
        <v>21</v>
      </c>
      <c r="H8" s="183"/>
      <c r="I8" s="183"/>
      <c r="J8" s="169" t="s">
        <v>594</v>
      </c>
      <c r="K8" s="392" t="s">
        <v>595</v>
      </c>
      <c r="L8" s="169"/>
      <c r="M8" s="203" t="s">
        <v>596</v>
      </c>
      <c r="N8" s="182"/>
      <c r="O8" s="395"/>
      <c r="P8" s="218"/>
      <c r="Q8" s="235" t="s">
        <v>601</v>
      </c>
      <c r="R8" s="392"/>
      <c r="S8" s="394" t="s">
        <v>602</v>
      </c>
      <c r="T8" s="193"/>
      <c r="U8" s="234"/>
      <c r="V8" s="184"/>
      <c r="W8" s="184"/>
      <c r="X8" s="395"/>
    </row>
    <row r="9" spans="1:24">
      <c r="B9" s="90" t="str">
        <f t="shared" ca="1" si="0"/>
        <v>Entergy Corporation</v>
      </c>
      <c r="C9" s="268">
        <f t="shared" ca="1" si="1"/>
        <v>55.93</v>
      </c>
      <c r="D9" s="265" t="str">
        <f t="shared" ca="1" si="2"/>
        <v>R</v>
      </c>
      <c r="F9" s="171">
        <f>F8+1</f>
        <v>2</v>
      </c>
      <c r="G9" s="171">
        <f t="shared" ca="1" si="3"/>
        <v>14</v>
      </c>
      <c r="H9" s="183"/>
      <c r="I9" s="183"/>
      <c r="J9" s="182"/>
      <c r="K9" s="183"/>
      <c r="L9" s="183"/>
      <c r="M9" s="204">
        <f ca="1">MATCH( M$5, INDIRECT( M$6 &amp; M$7 ), 0 )</f>
        <v>6</v>
      </c>
      <c r="N9" s="182"/>
      <c r="O9" s="395"/>
      <c r="P9" s="219"/>
      <c r="Q9" s="229"/>
      <c r="R9" s="190"/>
      <c r="S9" s="197"/>
      <c r="T9" s="193"/>
      <c r="U9" s="234"/>
      <c r="V9" s="184"/>
      <c r="W9" s="184"/>
      <c r="X9" s="395"/>
    </row>
    <row r="10" spans="1:24">
      <c r="B10" s="90" t="str">
        <f t="shared" ca="1" si="0"/>
        <v>NiSource Inc.</v>
      </c>
      <c r="C10" s="268">
        <f t="shared" ca="1" si="1"/>
        <v>43.17158085905308</v>
      </c>
      <c r="D10" s="265" t="str">
        <f t="shared" ca="1" si="2"/>
        <v>R</v>
      </c>
      <c r="F10" s="171">
        <f t="shared" ref="F10:F17" si="4">F9+1</f>
        <v>3</v>
      </c>
      <c r="G10" s="171">
        <f t="shared" ca="1" si="3"/>
        <v>24</v>
      </c>
      <c r="H10" s="183"/>
      <c r="I10" s="183"/>
      <c r="J10" s="183"/>
      <c r="K10" s="183"/>
      <c r="L10" s="183"/>
      <c r="M10" s="193"/>
      <c r="N10" s="186"/>
      <c r="O10" s="395"/>
      <c r="P10" s="219"/>
      <c r="Q10" s="234"/>
      <c r="R10" s="182"/>
      <c r="S10" s="197"/>
      <c r="T10" s="193"/>
      <c r="U10" s="234"/>
      <c r="V10" s="184"/>
      <c r="W10" s="184"/>
      <c r="X10" s="395"/>
    </row>
    <row r="11" spans="1:24">
      <c r="B11" s="90" t="str">
        <f t="shared" ca="1" si="0"/>
        <v>Public Service Enterprise Group Incorporated</v>
      </c>
      <c r="C11" s="268">
        <f t="shared" ca="1" si="1"/>
        <v>42.49483970618855</v>
      </c>
      <c r="D11" s="265" t="str">
        <f t="shared" ca="1" si="2"/>
        <v>R</v>
      </c>
      <c r="F11" s="171">
        <f t="shared" si="4"/>
        <v>4</v>
      </c>
      <c r="G11" s="171">
        <f t="shared" ca="1" si="3"/>
        <v>33</v>
      </c>
      <c r="H11" s="183"/>
      <c r="I11" s="183"/>
      <c r="J11" s="183"/>
      <c r="K11" s="183"/>
      <c r="L11" s="183"/>
      <c r="M11" s="205"/>
      <c r="N11" s="186"/>
      <c r="O11" s="395"/>
      <c r="P11" s="219"/>
      <c r="Q11" s="234"/>
      <c r="R11" s="182"/>
      <c r="S11" s="197"/>
      <c r="T11" s="193"/>
      <c r="U11" s="234"/>
      <c r="V11" s="184"/>
      <c r="W11" s="184"/>
      <c r="X11" s="395"/>
    </row>
    <row r="12" spans="1:24">
      <c r="B12" s="90" t="str">
        <f t="shared" ca="1" si="0"/>
        <v>MGE Energy, Inc.</v>
      </c>
      <c r="C12" s="268">
        <f t="shared" ca="1" si="1"/>
        <v>32.672596185477772</v>
      </c>
      <c r="D12" s="265" t="str">
        <f t="shared" ca="1" si="2"/>
        <v>R</v>
      </c>
      <c r="F12" s="171">
        <f t="shared" si="4"/>
        <v>5</v>
      </c>
      <c r="G12" s="171">
        <f t="shared" ca="1" si="3"/>
        <v>22</v>
      </c>
      <c r="H12" s="187"/>
      <c r="I12" s="187">
        <v>1</v>
      </c>
      <c r="J12" s="182" t="str">
        <f t="shared" ref="J12:J43" ca="1" si="5">OFFSET( INDIRECT( J$6 &amp; J$8 ), $I12 - 1, 0 )</f>
        <v>ALLETE, Inc.</v>
      </c>
      <c r="K12" s="184" t="str">
        <f t="shared" ref="K12:K43" ca="1" si="6">OFFSET( INDIRECT( K$7 &amp; K$8 ), $I12 - 1, 0 )</f>
        <v>ALE</v>
      </c>
      <c r="L12" s="182"/>
      <c r="M12" s="206">
        <f t="shared" ref="M12:M49" ca="1" si="7">IF( ISNA( $O12 ), "", OFFSET( INDIRECT( M$6 &amp; M$8 ), $O12 - 1, M$9 - 1 ) )</f>
        <v>10.799439740200633</v>
      </c>
      <c r="N12" s="189"/>
      <c r="O12" s="479">
        <f t="shared" ref="O12:O49" ca="1" si="8">MATCH( $K12, INDIRECT( O$6 &amp; O$7 ), 0 )</f>
        <v>10</v>
      </c>
      <c r="P12" s="216"/>
      <c r="Q12" s="229" t="str">
        <f t="shared" ref="Q12:Q43" ca="1" si="9">OFFSET( INDIRECT( Q$7 &amp; Q$8 ), $S12 - 1, 0 )</f>
        <v>MR</v>
      </c>
      <c r="R12" s="183"/>
      <c r="S12" s="479">
        <f t="shared" ref="S12:S43" ca="1" si="10">MATCH( $K12, INDIRECT( S$7 &amp; S$8 ), 0 )</f>
        <v>16</v>
      </c>
      <c r="T12" s="193"/>
      <c r="U12" s="229">
        <f t="shared" ref="U12:U49" ca="1" si="11">IF( LEN( M12 ) = 0, 100, RANK( M12, M$12:M$49, 0 ) )</f>
        <v>29</v>
      </c>
      <c r="V12" s="183">
        <f ca="1">COUNTIF( U$12:U12, U12 ) - 1</f>
        <v>0</v>
      </c>
      <c r="W12" s="183">
        <f ca="1">U12 + V12 / 10</f>
        <v>29</v>
      </c>
      <c r="X12" s="481">
        <f t="shared" ref="X12:X49" ca="1" si="12">RANK( W12, $W$12:$W$49, 1 )</f>
        <v>29</v>
      </c>
    </row>
    <row r="13" spans="1:24">
      <c r="B13" s="90" t="str">
        <f t="shared" ca="1" si="0"/>
        <v>Ameren Corporation</v>
      </c>
      <c r="C13" s="268">
        <f t="shared" ca="1" si="1"/>
        <v>27.423580301773519</v>
      </c>
      <c r="D13" s="265" t="str">
        <f t="shared" ca="1" si="2"/>
        <v>R</v>
      </c>
      <c r="F13" s="171">
        <f t="shared" si="4"/>
        <v>6</v>
      </c>
      <c r="G13" s="171">
        <f t="shared" ca="1" si="3"/>
        <v>3</v>
      </c>
      <c r="H13" s="183"/>
      <c r="I13" s="183">
        <f>I12+1</f>
        <v>2</v>
      </c>
      <c r="J13" s="182" t="str">
        <f t="shared" ca="1" si="5"/>
        <v>Alliant Energy Corporation</v>
      </c>
      <c r="K13" s="184" t="str">
        <f t="shared" ca="1" si="6"/>
        <v>LNT</v>
      </c>
      <c r="L13" s="182"/>
      <c r="M13" s="206">
        <f t="shared" ca="1" si="7"/>
        <v>19.368251772407376</v>
      </c>
      <c r="N13" s="189"/>
      <c r="O13" s="479">
        <f t="shared" ca="1" si="8"/>
        <v>11</v>
      </c>
      <c r="P13" s="216"/>
      <c r="Q13" s="229" t="str">
        <f t="shared" ca="1" si="9"/>
        <v>R</v>
      </c>
      <c r="R13" s="183"/>
      <c r="S13" s="479">
        <f t="shared" ca="1" si="10"/>
        <v>17</v>
      </c>
      <c r="T13" s="193"/>
      <c r="U13" s="229">
        <f t="shared" ca="1" si="11"/>
        <v>16</v>
      </c>
      <c r="V13" s="183">
        <f ca="1">COUNTIF( U$12:U13, U13 ) - 1</f>
        <v>0</v>
      </c>
      <c r="W13" s="183">
        <f t="shared" ref="W13:W49" ca="1" si="13">U13 + V13 / 10</f>
        <v>16</v>
      </c>
      <c r="X13" s="481">
        <f t="shared" ca="1" si="12"/>
        <v>16</v>
      </c>
    </row>
    <row r="14" spans="1:24">
      <c r="B14" s="90" t="str">
        <f t="shared" ca="1" si="0"/>
        <v>PPL Corporation</v>
      </c>
      <c r="C14" s="268">
        <f t="shared" ca="1" si="1"/>
        <v>24.026020875805031</v>
      </c>
      <c r="D14" s="265" t="str">
        <f t="shared" ca="1" si="2"/>
        <v>R</v>
      </c>
      <c r="F14" s="171">
        <f t="shared" si="4"/>
        <v>7</v>
      </c>
      <c r="G14" s="171">
        <f t="shared" ca="1" si="3"/>
        <v>32</v>
      </c>
      <c r="H14" s="183"/>
      <c r="I14" s="183">
        <f t="shared" ref="I14:I49" si="14">I13+1</f>
        <v>3</v>
      </c>
      <c r="J14" s="182" t="str">
        <f t="shared" ca="1" si="5"/>
        <v>Ameren Corporation</v>
      </c>
      <c r="K14" s="184" t="str">
        <f t="shared" ca="1" si="6"/>
        <v>AEE</v>
      </c>
      <c r="L14" s="182"/>
      <c r="M14" s="206">
        <f t="shared" ca="1" si="7"/>
        <v>27.423580301773519</v>
      </c>
      <c r="N14" s="189"/>
      <c r="O14" s="479">
        <f t="shared" ca="1" si="8"/>
        <v>12</v>
      </c>
      <c r="P14" s="216"/>
      <c r="Q14" s="229" t="str">
        <f t="shared" ca="1" si="9"/>
        <v>R</v>
      </c>
      <c r="R14" s="183"/>
      <c r="S14" s="479">
        <f t="shared" ca="1" si="10"/>
        <v>18</v>
      </c>
      <c r="T14" s="193"/>
      <c r="U14" s="229">
        <f t="shared" ca="1" si="11"/>
        <v>6</v>
      </c>
      <c r="V14" s="183">
        <f ca="1">COUNTIF( U$12:U14, U14 ) - 1</f>
        <v>0</v>
      </c>
      <c r="W14" s="183">
        <f t="shared" ca="1" si="13"/>
        <v>6</v>
      </c>
      <c r="X14" s="481">
        <f t="shared" ca="1" si="12"/>
        <v>6</v>
      </c>
    </row>
    <row r="15" spans="1:24">
      <c r="B15" s="90" t="str">
        <f t="shared" ca="1" si="0"/>
        <v>OGE Energy Corp.</v>
      </c>
      <c r="C15" s="268">
        <f t="shared" ca="1" si="1"/>
        <v>23.422999315054561</v>
      </c>
      <c r="D15" s="265" t="str">
        <f t="shared" ca="1" si="2"/>
        <v>R</v>
      </c>
      <c r="F15" s="171">
        <f t="shared" si="4"/>
        <v>8</v>
      </c>
      <c r="G15" s="171">
        <f t="shared" ca="1" si="3"/>
        <v>26</v>
      </c>
      <c r="H15" s="183"/>
      <c r="I15" s="183">
        <f t="shared" si="14"/>
        <v>4</v>
      </c>
      <c r="J15" s="182" t="str">
        <f t="shared" ca="1" si="5"/>
        <v>American Electric Power Company, Inc.</v>
      </c>
      <c r="K15" s="184" t="str">
        <f t="shared" ca="1" si="6"/>
        <v>AEP</v>
      </c>
      <c r="L15" s="182"/>
      <c r="M15" s="206">
        <f t="shared" ca="1" si="7"/>
        <v>18.03910868587284</v>
      </c>
      <c r="N15" s="189"/>
      <c r="O15" s="479">
        <f t="shared" ca="1" si="8"/>
        <v>13</v>
      </c>
      <c r="P15" s="216"/>
      <c r="Q15" s="229" t="str">
        <f t="shared" ca="1" si="9"/>
        <v>R</v>
      </c>
      <c r="R15" s="183"/>
      <c r="S15" s="479">
        <f t="shared" ca="1" si="10"/>
        <v>19</v>
      </c>
      <c r="T15" s="193"/>
      <c r="U15" s="229">
        <f t="shared" ca="1" si="11"/>
        <v>18</v>
      </c>
      <c r="V15" s="183">
        <f ca="1">COUNTIF( U$12:U15, U15 ) - 1</f>
        <v>0</v>
      </c>
      <c r="W15" s="183">
        <f t="shared" ca="1" si="13"/>
        <v>18</v>
      </c>
      <c r="X15" s="481">
        <f t="shared" ca="1" si="12"/>
        <v>18</v>
      </c>
    </row>
    <row r="16" spans="1:24">
      <c r="B16" s="90" t="str">
        <f t="shared" ca="1" si="0"/>
        <v>Evergy, Inc.</v>
      </c>
      <c r="C16" s="268">
        <f t="shared" ca="1" si="1"/>
        <v>23.35334257786721</v>
      </c>
      <c r="D16" s="265" t="str">
        <f t="shared" ca="1" si="2"/>
        <v>R</v>
      </c>
      <c r="F16" s="171">
        <f t="shared" si="4"/>
        <v>9</v>
      </c>
      <c r="G16" s="171">
        <f t="shared" ca="1" si="3"/>
        <v>15</v>
      </c>
      <c r="H16" s="183"/>
      <c r="I16" s="183">
        <f t="shared" si="14"/>
        <v>5</v>
      </c>
      <c r="J16" s="182" t="str">
        <f t="shared" ca="1" si="5"/>
        <v>Avista Corporation</v>
      </c>
      <c r="K16" s="184" t="str">
        <f t="shared" ca="1" si="6"/>
        <v>AVA</v>
      </c>
      <c r="L16" s="182"/>
      <c r="M16" s="206">
        <f t="shared" ca="1" si="7"/>
        <v>7.9791870647401675</v>
      </c>
      <c r="N16" s="189"/>
      <c r="O16" s="479">
        <f t="shared" ca="1" si="8"/>
        <v>14</v>
      </c>
      <c r="P16" s="216"/>
      <c r="Q16" s="229" t="str">
        <f t="shared" ca="1" si="9"/>
        <v>R</v>
      </c>
      <c r="R16" s="183"/>
      <c r="S16" s="479">
        <f t="shared" ca="1" si="10"/>
        <v>20</v>
      </c>
      <c r="T16" s="193"/>
      <c r="U16" s="229">
        <f t="shared" ca="1" si="11"/>
        <v>32</v>
      </c>
      <c r="V16" s="183">
        <f ca="1">COUNTIF( U$12:U16, U16 ) - 1</f>
        <v>0</v>
      </c>
      <c r="W16" s="183">
        <f t="shared" ca="1" si="13"/>
        <v>32</v>
      </c>
      <c r="X16" s="481">
        <f t="shared" ca="1" si="12"/>
        <v>32</v>
      </c>
    </row>
    <row r="17" spans="2:24">
      <c r="B17" s="91" t="str">
        <f t="shared" ca="1" si="0"/>
        <v>Pinnacle West Capital Corporation</v>
      </c>
      <c r="C17" s="269">
        <f t="shared" ca="1" si="1"/>
        <v>23.250626858562097</v>
      </c>
      <c r="D17" s="266" t="str">
        <f t="shared" ca="1" si="2"/>
        <v>R</v>
      </c>
      <c r="F17" s="171">
        <f t="shared" si="4"/>
        <v>10</v>
      </c>
      <c r="G17" s="171">
        <f t="shared" ca="1" si="3"/>
        <v>29</v>
      </c>
      <c r="H17" s="183"/>
      <c r="I17" s="183">
        <f t="shared" si="14"/>
        <v>6</v>
      </c>
      <c r="J17" s="182" t="str">
        <f t="shared" ca="1" si="5"/>
        <v>Black Hills Corporation</v>
      </c>
      <c r="K17" s="184" t="str">
        <f t="shared" ca="1" si="6"/>
        <v>BKH</v>
      </c>
      <c r="L17" s="182"/>
      <c r="M17" s="206">
        <f t="shared" ca="1" si="7"/>
        <v>13.502211956654087</v>
      </c>
      <c r="N17" s="189"/>
      <c r="O17" s="479">
        <f t="shared" ca="1" si="8"/>
        <v>15</v>
      </c>
      <c r="P17" s="216"/>
      <c r="Q17" s="229" t="str">
        <f t="shared" ca="1" si="9"/>
        <v>R</v>
      </c>
      <c r="R17" s="183"/>
      <c r="S17" s="479">
        <f t="shared" ca="1" si="10"/>
        <v>21</v>
      </c>
      <c r="T17" s="193"/>
      <c r="U17" s="229">
        <f t="shared" ca="1" si="11"/>
        <v>24</v>
      </c>
      <c r="V17" s="183">
        <f ca="1">COUNTIF( U$12:U17, U17 ) - 1</f>
        <v>0</v>
      </c>
      <c r="W17" s="183">
        <f t="shared" ca="1" si="13"/>
        <v>24</v>
      </c>
      <c r="X17" s="481">
        <f t="shared" ca="1" si="12"/>
        <v>24</v>
      </c>
    </row>
    <row r="18" spans="2:24">
      <c r="H18" s="183"/>
      <c r="I18" s="183">
        <f t="shared" si="14"/>
        <v>7</v>
      </c>
      <c r="J18" s="182" t="str">
        <f t="shared" ca="1" si="5"/>
        <v>CenterPoint Energy, Inc.</v>
      </c>
      <c r="K18" s="184" t="str">
        <f t="shared" ca="1" si="6"/>
        <v>CNP</v>
      </c>
      <c r="L18" s="182"/>
      <c r="M18" s="206">
        <f t="shared" ca="1" si="7"/>
        <v>14.151704743634163</v>
      </c>
      <c r="N18" s="189"/>
      <c r="O18" s="479">
        <f t="shared" ca="1" si="8"/>
        <v>16</v>
      </c>
      <c r="P18" s="216"/>
      <c r="Q18" s="229" t="str">
        <f t="shared" ca="1" si="9"/>
        <v>R</v>
      </c>
      <c r="R18" s="183"/>
      <c r="S18" s="479">
        <f t="shared" ca="1" si="10"/>
        <v>22</v>
      </c>
      <c r="T18" s="193"/>
      <c r="U18" s="229">
        <f t="shared" ca="1" si="11"/>
        <v>23</v>
      </c>
      <c r="V18" s="183">
        <f ca="1">COUNTIF( U$12:U18, U18 ) - 1</f>
        <v>0</v>
      </c>
      <c r="W18" s="183">
        <f t="shared" ca="1" si="13"/>
        <v>23</v>
      </c>
      <c r="X18" s="481">
        <f t="shared" ca="1" si="12"/>
        <v>23</v>
      </c>
    </row>
    <row r="19" spans="2:24">
      <c r="B19" s="78" t="s">
        <v>98</v>
      </c>
      <c r="H19" s="183"/>
      <c r="I19" s="183">
        <f t="shared" si="14"/>
        <v>8</v>
      </c>
      <c r="J19" s="182" t="str">
        <f t="shared" ca="1" si="5"/>
        <v>CMS Energy Corporation</v>
      </c>
      <c r="K19" s="184" t="str">
        <f t="shared" ca="1" si="6"/>
        <v>CMS</v>
      </c>
      <c r="L19" s="182"/>
      <c r="M19" s="206">
        <f t="shared" ca="1" si="7"/>
        <v>18.516358236624409</v>
      </c>
      <c r="N19" s="189"/>
      <c r="O19" s="479">
        <f t="shared" ca="1" si="8"/>
        <v>17</v>
      </c>
      <c r="P19" s="216"/>
      <c r="Q19" s="229" t="str">
        <f t="shared" ca="1" si="9"/>
        <v>R</v>
      </c>
      <c r="R19" s="183"/>
      <c r="S19" s="479">
        <f t="shared" ca="1" si="10"/>
        <v>23</v>
      </c>
      <c r="T19" s="193"/>
      <c r="U19" s="229">
        <f t="shared" ca="1" si="11"/>
        <v>17</v>
      </c>
      <c r="V19" s="183">
        <f ca="1">COUNTIF( U$12:U19, U19 ) - 1</f>
        <v>0</v>
      </c>
      <c r="W19" s="183">
        <f t="shared" ca="1" si="13"/>
        <v>17</v>
      </c>
      <c r="X19" s="481">
        <f t="shared" ca="1" si="12"/>
        <v>17</v>
      </c>
    </row>
    <row r="20" spans="2:24">
      <c r="B20" s="78" t="s">
        <v>513</v>
      </c>
      <c r="H20" s="183"/>
      <c r="I20" s="183">
        <f t="shared" si="14"/>
        <v>9</v>
      </c>
      <c r="J20" s="182" t="str">
        <f t="shared" ca="1" si="5"/>
        <v>Consolidated Edison, Inc.</v>
      </c>
      <c r="K20" s="184" t="str">
        <f t="shared" ca="1" si="6"/>
        <v>ED</v>
      </c>
      <c r="L20" s="182"/>
      <c r="M20" s="206">
        <f t="shared" ca="1" si="7"/>
        <v>1.6355522821581925</v>
      </c>
      <c r="N20" s="189"/>
      <c r="O20" s="479">
        <f t="shared" ca="1" si="8"/>
        <v>18</v>
      </c>
      <c r="P20" s="216"/>
      <c r="Q20" s="229" t="str">
        <f t="shared" ca="1" si="9"/>
        <v>R</v>
      </c>
      <c r="R20" s="183"/>
      <c r="S20" s="479">
        <f t="shared" ca="1" si="10"/>
        <v>24</v>
      </c>
      <c r="T20" s="193"/>
      <c r="U20" s="229">
        <f t="shared" ca="1" si="11"/>
        <v>35</v>
      </c>
      <c r="V20" s="183">
        <f ca="1">COUNTIF( U$12:U20, U20 ) - 1</f>
        <v>0</v>
      </c>
      <c r="W20" s="183">
        <f t="shared" ca="1" si="13"/>
        <v>35</v>
      </c>
      <c r="X20" s="481">
        <f t="shared" ca="1" si="12"/>
        <v>35</v>
      </c>
    </row>
    <row r="21" spans="2:24">
      <c r="H21" s="183"/>
      <c r="I21" s="183">
        <f t="shared" si="14"/>
        <v>10</v>
      </c>
      <c r="J21" s="182" t="str">
        <f t="shared" ca="1" si="5"/>
        <v>Dominion Energy, Inc.</v>
      </c>
      <c r="K21" s="184" t="str">
        <f t="shared" ca="1" si="6"/>
        <v>D</v>
      </c>
      <c r="L21" s="182"/>
      <c r="M21" s="206">
        <f t="shared" ca="1" si="7"/>
        <v>20.56886376040832</v>
      </c>
      <c r="N21" s="189"/>
      <c r="O21" s="479">
        <f t="shared" ca="1" si="8"/>
        <v>19</v>
      </c>
      <c r="P21" s="216"/>
      <c r="Q21" s="229" t="str">
        <f t="shared" ca="1" si="9"/>
        <v>R</v>
      </c>
      <c r="R21" s="183"/>
      <c r="S21" s="479">
        <f t="shared" ca="1" si="10"/>
        <v>25</v>
      </c>
      <c r="T21" s="193"/>
      <c r="U21" s="229">
        <f t="shared" ca="1" si="11"/>
        <v>15</v>
      </c>
      <c r="V21" s="183">
        <f ca="1">COUNTIF( U$12:U21, U21 ) - 1</f>
        <v>0</v>
      </c>
      <c r="W21" s="183">
        <f t="shared" ca="1" si="13"/>
        <v>15</v>
      </c>
      <c r="X21" s="481">
        <f t="shared" ca="1" si="12"/>
        <v>15</v>
      </c>
    </row>
    <row r="22" spans="2:24">
      <c r="H22" s="183"/>
      <c r="I22" s="183">
        <f t="shared" si="14"/>
        <v>11</v>
      </c>
      <c r="J22" s="182" t="str">
        <f t="shared" ca="1" si="5"/>
        <v>DTE Energy Company</v>
      </c>
      <c r="K22" s="184" t="str">
        <f t="shared" ca="1" si="6"/>
        <v>DTE</v>
      </c>
      <c r="L22" s="182"/>
      <c r="M22" s="206">
        <f t="shared" ca="1" si="7"/>
        <v>13.426002844596606</v>
      </c>
      <c r="N22" s="189"/>
      <c r="O22" s="479">
        <f t="shared" ca="1" si="8"/>
        <v>20</v>
      </c>
      <c r="P22" s="216"/>
      <c r="Q22" s="229" t="str">
        <f t="shared" ca="1" si="9"/>
        <v>R</v>
      </c>
      <c r="R22" s="183"/>
      <c r="S22" s="479">
        <f t="shared" ca="1" si="10"/>
        <v>26</v>
      </c>
      <c r="T22" s="193"/>
      <c r="U22" s="229">
        <f t="shared" ca="1" si="11"/>
        <v>25</v>
      </c>
      <c r="V22" s="183">
        <f ca="1">COUNTIF( U$12:U22, U22 ) - 1</f>
        <v>0</v>
      </c>
      <c r="W22" s="183">
        <f t="shared" ca="1" si="13"/>
        <v>25</v>
      </c>
      <c r="X22" s="481">
        <f t="shared" ca="1" si="12"/>
        <v>25</v>
      </c>
    </row>
    <row r="23" spans="2:24">
      <c r="H23" s="183"/>
      <c r="I23" s="183">
        <f t="shared" si="14"/>
        <v>12</v>
      </c>
      <c r="J23" s="182" t="str">
        <f t="shared" ca="1" si="5"/>
        <v>Duke Energy Corporation</v>
      </c>
      <c r="K23" s="184" t="str">
        <f t="shared" ca="1" si="6"/>
        <v>DUK</v>
      </c>
      <c r="L23" s="182"/>
      <c r="M23" s="206">
        <f t="shared" ca="1" si="7"/>
        <v>15.487273010956116</v>
      </c>
      <c r="N23" s="189"/>
      <c r="O23" s="479">
        <f t="shared" ca="1" si="8"/>
        <v>21</v>
      </c>
      <c r="P23" s="216"/>
      <c r="Q23" s="229" t="str">
        <f t="shared" ca="1" si="9"/>
        <v>R</v>
      </c>
      <c r="R23" s="183"/>
      <c r="S23" s="479">
        <f t="shared" ca="1" si="10"/>
        <v>27</v>
      </c>
      <c r="T23" s="193"/>
      <c r="U23" s="229">
        <f t="shared" ca="1" si="11"/>
        <v>21</v>
      </c>
      <c r="V23" s="183">
        <f ca="1">COUNTIF( U$12:U23, U23 ) - 1</f>
        <v>0</v>
      </c>
      <c r="W23" s="183">
        <f t="shared" ca="1" si="13"/>
        <v>21</v>
      </c>
      <c r="X23" s="481">
        <f t="shared" ca="1" si="12"/>
        <v>21</v>
      </c>
    </row>
    <row r="24" spans="2:24">
      <c r="B24"/>
      <c r="C24"/>
      <c r="D24"/>
      <c r="H24" s="183"/>
      <c r="I24" s="183">
        <f t="shared" si="14"/>
        <v>13</v>
      </c>
      <c r="J24" s="182" t="str">
        <f t="shared" ca="1" si="5"/>
        <v>Edison International</v>
      </c>
      <c r="K24" s="184" t="str">
        <f t="shared" ca="1" si="6"/>
        <v>EIX</v>
      </c>
      <c r="L24" s="182"/>
      <c r="M24" s="206">
        <f t="shared" ca="1" si="7"/>
        <v>16.353814651360786</v>
      </c>
      <c r="N24" s="189"/>
      <c r="O24" s="479">
        <f t="shared" ca="1" si="8"/>
        <v>22</v>
      </c>
      <c r="P24" s="216"/>
      <c r="Q24" s="229" t="str">
        <f t="shared" ca="1" si="9"/>
        <v>R</v>
      </c>
      <c r="R24" s="183"/>
      <c r="S24" s="479">
        <f t="shared" ca="1" si="10"/>
        <v>28</v>
      </c>
      <c r="T24" s="193"/>
      <c r="U24" s="229">
        <f t="shared" ca="1" si="11"/>
        <v>19</v>
      </c>
      <c r="V24" s="183">
        <f ca="1">COUNTIF( U$12:U24, U24 ) - 1</f>
        <v>0</v>
      </c>
      <c r="W24" s="183">
        <f t="shared" ca="1" si="13"/>
        <v>19</v>
      </c>
      <c r="X24" s="481">
        <f t="shared" ca="1" si="12"/>
        <v>19</v>
      </c>
    </row>
    <row r="25" spans="2:24">
      <c r="B25"/>
      <c r="C25"/>
      <c r="D25"/>
      <c r="H25" s="183"/>
      <c r="I25" s="183">
        <f t="shared" si="14"/>
        <v>14</v>
      </c>
      <c r="J25" s="182" t="str">
        <f t="shared" ca="1" si="5"/>
        <v>Entergy Corporation</v>
      </c>
      <c r="K25" s="184" t="str">
        <f t="shared" ca="1" si="6"/>
        <v>ETR</v>
      </c>
      <c r="L25" s="182"/>
      <c r="M25" s="206">
        <f t="shared" ca="1" si="7"/>
        <v>55.93</v>
      </c>
      <c r="N25" s="189"/>
      <c r="O25" s="479">
        <f t="shared" ca="1" si="8"/>
        <v>23</v>
      </c>
      <c r="P25" s="216"/>
      <c r="Q25" s="229" t="str">
        <f t="shared" ca="1" si="9"/>
        <v>R</v>
      </c>
      <c r="R25" s="183"/>
      <c r="S25" s="479">
        <f t="shared" ca="1" si="10"/>
        <v>29</v>
      </c>
      <c r="T25" s="193"/>
      <c r="U25" s="229">
        <f t="shared" ca="1" si="11"/>
        <v>2</v>
      </c>
      <c r="V25" s="183">
        <f ca="1">COUNTIF( U$12:U25, U25 ) - 1</f>
        <v>0</v>
      </c>
      <c r="W25" s="183">
        <f t="shared" ca="1" si="13"/>
        <v>2</v>
      </c>
      <c r="X25" s="481">
        <f t="shared" ca="1" si="12"/>
        <v>2</v>
      </c>
    </row>
    <row r="26" spans="2:24">
      <c r="B26"/>
      <c r="C26"/>
      <c r="D26"/>
      <c r="H26" s="183"/>
      <c r="I26" s="183">
        <f t="shared" si="14"/>
        <v>15</v>
      </c>
      <c r="J26" s="182" t="str">
        <f t="shared" ca="1" si="5"/>
        <v>Evergy, Inc.</v>
      </c>
      <c r="K26" s="184" t="str">
        <f t="shared" ca="1" si="6"/>
        <v>EVRG</v>
      </c>
      <c r="L26" s="182"/>
      <c r="M26" s="206">
        <f t="shared" ca="1" si="7"/>
        <v>23.35334257786721</v>
      </c>
      <c r="N26" s="189"/>
      <c r="O26" s="479">
        <f t="shared" ca="1" si="8"/>
        <v>25</v>
      </c>
      <c r="P26" s="216"/>
      <c r="Q26" s="229" t="str">
        <f t="shared" ca="1" si="9"/>
        <v>R</v>
      </c>
      <c r="R26" s="183"/>
      <c r="S26" s="479">
        <f t="shared" ca="1" si="10"/>
        <v>30</v>
      </c>
      <c r="T26" s="193"/>
      <c r="U26" s="229">
        <f t="shared" ca="1" si="11"/>
        <v>9</v>
      </c>
      <c r="V26" s="183">
        <f ca="1">COUNTIF( U$12:U26, U26 ) - 1</f>
        <v>0</v>
      </c>
      <c r="W26" s="183">
        <f t="shared" ca="1" si="13"/>
        <v>9</v>
      </c>
      <c r="X26" s="481">
        <f t="shared" ca="1" si="12"/>
        <v>9</v>
      </c>
    </row>
    <row r="27" spans="2:24">
      <c r="B27"/>
      <c r="C27"/>
      <c r="D27"/>
      <c r="H27" s="183"/>
      <c r="I27" s="183">
        <f t="shared" si="14"/>
        <v>16</v>
      </c>
      <c r="J27" s="182" t="str">
        <f t="shared" ca="1" si="5"/>
        <v>Eversource Energy</v>
      </c>
      <c r="K27" s="184" t="str">
        <f t="shared" ca="1" si="6"/>
        <v>ES</v>
      </c>
      <c r="L27" s="182"/>
      <c r="M27" s="206">
        <f t="shared" ca="1" si="7"/>
        <v>-2.4490370047575927</v>
      </c>
      <c r="N27" s="189"/>
      <c r="O27" s="479">
        <f t="shared" ca="1" si="8"/>
        <v>24</v>
      </c>
      <c r="P27" s="216"/>
      <c r="Q27" s="229" t="str">
        <f t="shared" ca="1" si="9"/>
        <v>R</v>
      </c>
      <c r="R27" s="183"/>
      <c r="S27" s="479">
        <f t="shared" ca="1" si="10"/>
        <v>31</v>
      </c>
      <c r="T27" s="193"/>
      <c r="U27" s="229">
        <f t="shared" ca="1" si="11"/>
        <v>36</v>
      </c>
      <c r="V27" s="183">
        <f ca="1">COUNTIF( U$12:U27, U27 ) - 1</f>
        <v>0</v>
      </c>
      <c r="W27" s="183">
        <f t="shared" ca="1" si="13"/>
        <v>36</v>
      </c>
      <c r="X27" s="481">
        <f t="shared" ca="1" si="12"/>
        <v>36</v>
      </c>
    </row>
    <row r="28" spans="2:24">
      <c r="H28" s="183"/>
      <c r="I28" s="183">
        <f t="shared" si="14"/>
        <v>17</v>
      </c>
      <c r="J28" s="182" t="str">
        <f t="shared" ca="1" si="5"/>
        <v>Exelon Corporation</v>
      </c>
      <c r="K28" s="184" t="str">
        <f t="shared" ca="1" si="6"/>
        <v>EXC</v>
      </c>
      <c r="L28" s="182"/>
      <c r="M28" s="206">
        <f t="shared" ca="1" si="7"/>
        <v>9.164512183102147</v>
      </c>
      <c r="N28" s="189"/>
      <c r="O28" s="479">
        <f t="shared" ca="1" si="8"/>
        <v>26</v>
      </c>
      <c r="P28" s="216"/>
      <c r="Q28" s="229" t="str">
        <f t="shared" ca="1" si="9"/>
        <v>R</v>
      </c>
      <c r="R28" s="183"/>
      <c r="S28" s="479">
        <f t="shared" ca="1" si="10"/>
        <v>32</v>
      </c>
      <c r="T28" s="193"/>
      <c r="U28" s="229">
        <f t="shared" ca="1" si="11"/>
        <v>31</v>
      </c>
      <c r="V28" s="183">
        <f ca="1">COUNTIF( U$12:U28, U28 ) - 1</f>
        <v>0</v>
      </c>
      <c r="W28" s="183">
        <f t="shared" ca="1" si="13"/>
        <v>31</v>
      </c>
      <c r="X28" s="481">
        <f t="shared" ca="1" si="12"/>
        <v>31</v>
      </c>
    </row>
    <row r="29" spans="2:24">
      <c r="C29"/>
      <c r="H29" s="183"/>
      <c r="I29" s="183">
        <f t="shared" si="14"/>
        <v>18</v>
      </c>
      <c r="J29" s="182" t="str">
        <f t="shared" ca="1" si="5"/>
        <v>FirstEnergy Corp.</v>
      </c>
      <c r="K29" s="184" t="str">
        <f t="shared" ca="1" si="6"/>
        <v>FE</v>
      </c>
      <c r="L29" s="182"/>
      <c r="M29" s="206">
        <f t="shared" ca="1" si="7"/>
        <v>13.182458347516102</v>
      </c>
      <c r="N29" s="189"/>
      <c r="O29" s="479">
        <f t="shared" ca="1" si="8"/>
        <v>27</v>
      </c>
      <c r="P29" s="216"/>
      <c r="Q29" s="229" t="str">
        <f t="shared" ca="1" si="9"/>
        <v>R</v>
      </c>
      <c r="R29" s="183"/>
      <c r="S29" s="479">
        <f t="shared" ca="1" si="10"/>
        <v>33</v>
      </c>
      <c r="T29" s="193"/>
      <c r="U29" s="229">
        <f t="shared" ca="1" si="11"/>
        <v>26</v>
      </c>
      <c r="V29" s="183">
        <f ca="1">COUNTIF( U$12:U29, U29 ) - 1</f>
        <v>0</v>
      </c>
      <c r="W29" s="183">
        <f t="shared" ca="1" si="13"/>
        <v>26</v>
      </c>
      <c r="X29" s="481">
        <f t="shared" ca="1" si="12"/>
        <v>26</v>
      </c>
    </row>
    <row r="30" spans="2:24">
      <c r="C30"/>
      <c r="H30" s="183"/>
      <c r="I30" s="183">
        <f t="shared" si="14"/>
        <v>19</v>
      </c>
      <c r="J30" s="182" t="str">
        <f t="shared" ca="1" si="5"/>
        <v>Hawaiian Electric Industries, Inc.</v>
      </c>
      <c r="K30" s="184" t="str">
        <f t="shared" ca="1" si="6"/>
        <v>HE</v>
      </c>
      <c r="L30" s="182"/>
      <c r="M30" s="206">
        <f t="shared" ca="1" si="7"/>
        <v>-31.430584918957017</v>
      </c>
      <c r="N30" s="189"/>
      <c r="O30" s="479">
        <f t="shared" ca="1" si="8"/>
        <v>28</v>
      </c>
      <c r="P30" s="216"/>
      <c r="Q30" s="229" t="str">
        <f t="shared" ca="1" si="9"/>
        <v>MR</v>
      </c>
      <c r="R30" s="183"/>
      <c r="S30" s="479">
        <f t="shared" ca="1" si="10"/>
        <v>34</v>
      </c>
      <c r="T30" s="193"/>
      <c r="U30" s="229">
        <f t="shared" ca="1" si="11"/>
        <v>38</v>
      </c>
      <c r="V30" s="183">
        <f ca="1">COUNTIF( U$12:U30, U30 ) - 1</f>
        <v>0</v>
      </c>
      <c r="W30" s="183">
        <f t="shared" ca="1" si="13"/>
        <v>38</v>
      </c>
      <c r="X30" s="481">
        <f t="shared" ca="1" si="12"/>
        <v>38</v>
      </c>
    </row>
    <row r="31" spans="2:24">
      <c r="C31"/>
      <c r="H31" s="183"/>
      <c r="I31" s="183">
        <f t="shared" si="14"/>
        <v>20</v>
      </c>
      <c r="J31" s="182" t="str">
        <f t="shared" ca="1" si="5"/>
        <v>IDACORP, Inc.</v>
      </c>
      <c r="K31" s="184" t="str">
        <f t="shared" ca="1" si="6"/>
        <v>IDA</v>
      </c>
      <c r="L31" s="182"/>
      <c r="M31" s="206">
        <f t="shared" ca="1" si="7"/>
        <v>14.948074083685835</v>
      </c>
      <c r="N31" s="189"/>
      <c r="O31" s="479">
        <f t="shared" ca="1" si="8"/>
        <v>29</v>
      </c>
      <c r="P31" s="216"/>
      <c r="Q31" s="229" t="str">
        <f t="shared" ca="1" si="9"/>
        <v>R</v>
      </c>
      <c r="R31" s="183"/>
      <c r="S31" s="479">
        <f t="shared" ca="1" si="10"/>
        <v>35</v>
      </c>
      <c r="T31" s="193"/>
      <c r="U31" s="229">
        <f t="shared" ca="1" si="11"/>
        <v>22</v>
      </c>
      <c r="V31" s="183">
        <f ca="1">COUNTIF( U$12:U31, U31 ) - 1</f>
        <v>0</v>
      </c>
      <c r="W31" s="183">
        <f t="shared" ca="1" si="13"/>
        <v>22</v>
      </c>
      <c r="X31" s="481">
        <f t="shared" ca="1" si="12"/>
        <v>22</v>
      </c>
    </row>
    <row r="32" spans="2:24">
      <c r="C32"/>
      <c r="H32" s="183"/>
      <c r="I32" s="183">
        <f t="shared" si="14"/>
        <v>21</v>
      </c>
      <c r="J32" s="182" t="str">
        <f t="shared" ca="1" si="5"/>
        <v>MDU Resources Group, Inc.</v>
      </c>
      <c r="K32" s="184" t="str">
        <f t="shared" ca="1" si="6"/>
        <v>MDU</v>
      </c>
      <c r="L32" s="182"/>
      <c r="M32" s="206">
        <f t="shared" ca="1" si="7"/>
        <v>72.45</v>
      </c>
      <c r="N32" s="189"/>
      <c r="O32" s="479">
        <f t="shared" ca="1" si="8"/>
        <v>30</v>
      </c>
      <c r="P32" s="216"/>
      <c r="Q32" s="229" t="str">
        <f t="shared" ca="1" si="9"/>
        <v>MR</v>
      </c>
      <c r="R32" s="183"/>
      <c r="S32" s="479">
        <f t="shared" ca="1" si="10"/>
        <v>36</v>
      </c>
      <c r="T32" s="193"/>
      <c r="U32" s="229">
        <f t="shared" ca="1" si="11"/>
        <v>1</v>
      </c>
      <c r="V32" s="183">
        <f ca="1">COUNTIF( U$12:U32, U32 ) - 1</f>
        <v>0</v>
      </c>
      <c r="W32" s="183">
        <f t="shared" ca="1" si="13"/>
        <v>1</v>
      </c>
      <c r="X32" s="481">
        <f t="shared" ca="1" si="12"/>
        <v>1</v>
      </c>
    </row>
    <row r="33" spans="3:24">
      <c r="C33"/>
      <c r="H33" s="183"/>
      <c r="I33" s="183">
        <f t="shared" si="14"/>
        <v>22</v>
      </c>
      <c r="J33" s="182" t="str">
        <f t="shared" ca="1" si="5"/>
        <v>MGE Energy, Inc.</v>
      </c>
      <c r="K33" s="184" t="str">
        <f t="shared" ca="1" si="6"/>
        <v>MGEE</v>
      </c>
      <c r="L33" s="182"/>
      <c r="M33" s="206">
        <f t="shared" ca="1" si="7"/>
        <v>32.672596185477772</v>
      </c>
      <c r="N33" s="189"/>
      <c r="O33" s="479">
        <f t="shared" ca="1" si="8"/>
        <v>31</v>
      </c>
      <c r="P33" s="216"/>
      <c r="Q33" s="229" t="str">
        <f t="shared" ca="1" si="9"/>
        <v>R</v>
      </c>
      <c r="R33" s="183"/>
      <c r="S33" s="479">
        <f t="shared" ca="1" si="10"/>
        <v>37</v>
      </c>
      <c r="T33" s="193"/>
      <c r="U33" s="229">
        <f t="shared" ca="1" si="11"/>
        <v>5</v>
      </c>
      <c r="V33" s="183">
        <f ca="1">COUNTIF( U$12:U33, U33 ) - 1</f>
        <v>0</v>
      </c>
      <c r="W33" s="183">
        <f t="shared" ca="1" si="13"/>
        <v>5</v>
      </c>
      <c r="X33" s="481">
        <f t="shared" ca="1" si="12"/>
        <v>5</v>
      </c>
    </row>
    <row r="34" spans="3:24">
      <c r="C34"/>
      <c r="H34" s="183"/>
      <c r="I34" s="183">
        <f t="shared" si="14"/>
        <v>23</v>
      </c>
      <c r="J34" s="182" t="str">
        <f t="shared" ca="1" si="5"/>
        <v>NextEra Energy, Inc.</v>
      </c>
      <c r="K34" s="184" t="str">
        <f t="shared" ca="1" si="6"/>
        <v>NEE</v>
      </c>
      <c r="L34" s="182"/>
      <c r="M34" s="206">
        <f t="shared" ca="1" si="7"/>
        <v>21.440402190398466</v>
      </c>
      <c r="N34" s="189"/>
      <c r="O34" s="479">
        <f t="shared" ca="1" si="8"/>
        <v>32</v>
      </c>
      <c r="P34" s="216"/>
      <c r="Q34" s="229" t="str">
        <f t="shared" ca="1" si="9"/>
        <v>MR</v>
      </c>
      <c r="R34" s="183"/>
      <c r="S34" s="479">
        <f t="shared" ca="1" si="10"/>
        <v>38</v>
      </c>
      <c r="T34" s="193"/>
      <c r="U34" s="229">
        <f t="shared" ca="1" si="11"/>
        <v>13</v>
      </c>
      <c r="V34" s="183">
        <f ca="1">COUNTIF( U$12:U34, U34 ) - 1</f>
        <v>0</v>
      </c>
      <c r="W34" s="183">
        <f t="shared" ca="1" si="13"/>
        <v>13</v>
      </c>
      <c r="X34" s="481">
        <f t="shared" ca="1" si="12"/>
        <v>13</v>
      </c>
    </row>
    <row r="35" spans="3:24">
      <c r="C35"/>
      <c r="H35" s="183"/>
      <c r="I35" s="183">
        <f t="shared" si="14"/>
        <v>24</v>
      </c>
      <c r="J35" s="182" t="str">
        <f t="shared" ca="1" si="5"/>
        <v>NiSource Inc.</v>
      </c>
      <c r="K35" s="184" t="str">
        <f t="shared" ca="1" si="6"/>
        <v>NI</v>
      </c>
      <c r="L35" s="182"/>
      <c r="M35" s="206">
        <f t="shared" ca="1" si="7"/>
        <v>43.17158085905308</v>
      </c>
      <c r="N35" s="189"/>
      <c r="O35" s="479">
        <f t="shared" ca="1" si="8"/>
        <v>33</v>
      </c>
      <c r="P35" s="216"/>
      <c r="Q35" s="229" t="str">
        <f t="shared" ca="1" si="9"/>
        <v>R</v>
      </c>
      <c r="R35" s="183"/>
      <c r="S35" s="479">
        <f t="shared" ca="1" si="10"/>
        <v>39</v>
      </c>
      <c r="T35" s="193"/>
      <c r="U35" s="229">
        <f t="shared" ca="1" si="11"/>
        <v>3</v>
      </c>
      <c r="V35" s="183">
        <f ca="1">COUNTIF( U$12:U35, U35 ) - 1</f>
        <v>0</v>
      </c>
      <c r="W35" s="183">
        <f t="shared" ca="1" si="13"/>
        <v>3</v>
      </c>
      <c r="X35" s="481">
        <f t="shared" ca="1" si="12"/>
        <v>3</v>
      </c>
    </row>
    <row r="36" spans="3:24">
      <c r="C36"/>
      <c r="H36" s="183"/>
      <c r="I36" s="183">
        <f t="shared" si="14"/>
        <v>25</v>
      </c>
      <c r="J36" s="182" t="str">
        <f t="shared" ca="1" si="5"/>
        <v>NorthWestern Corporation</v>
      </c>
      <c r="K36" s="184" t="str">
        <f t="shared" ca="1" si="6"/>
        <v>NWE</v>
      </c>
      <c r="L36" s="182"/>
      <c r="M36" s="206">
        <f t="shared" ca="1" si="7"/>
        <v>10.321184386893133</v>
      </c>
      <c r="N36" s="189"/>
      <c r="O36" s="479">
        <f t="shared" ca="1" si="8"/>
        <v>34</v>
      </c>
      <c r="P36" s="216"/>
      <c r="Q36" s="229" t="str">
        <f t="shared" ca="1" si="9"/>
        <v>R</v>
      </c>
      <c r="R36" s="183"/>
      <c r="S36" s="479">
        <f t="shared" ca="1" si="10"/>
        <v>40</v>
      </c>
      <c r="T36" s="193"/>
      <c r="U36" s="229">
        <f t="shared" ca="1" si="11"/>
        <v>30</v>
      </c>
      <c r="V36" s="183">
        <f ca="1">COUNTIF( U$12:U36, U36 ) - 1</f>
        <v>0</v>
      </c>
      <c r="W36" s="183">
        <f t="shared" ca="1" si="13"/>
        <v>30</v>
      </c>
      <c r="X36" s="481">
        <f t="shared" ca="1" si="12"/>
        <v>30</v>
      </c>
    </row>
    <row r="37" spans="3:24">
      <c r="C37"/>
      <c r="H37" s="183"/>
      <c r="I37" s="183">
        <f t="shared" si="14"/>
        <v>26</v>
      </c>
      <c r="J37" s="182" t="str">
        <f t="shared" ca="1" si="5"/>
        <v>OGE Energy Corp.</v>
      </c>
      <c r="K37" s="184" t="str">
        <f t="shared" ca="1" si="6"/>
        <v>OGE</v>
      </c>
      <c r="L37" s="182"/>
      <c r="M37" s="206">
        <f t="shared" ca="1" si="7"/>
        <v>23.422999315054561</v>
      </c>
      <c r="N37" s="189"/>
      <c r="O37" s="479">
        <f t="shared" ca="1" si="8"/>
        <v>35</v>
      </c>
      <c r="P37" s="216"/>
      <c r="Q37" s="229" t="str">
        <f t="shared" ca="1" si="9"/>
        <v>R</v>
      </c>
      <c r="R37" s="183"/>
      <c r="S37" s="479">
        <f t="shared" ca="1" si="10"/>
        <v>41</v>
      </c>
      <c r="T37" s="193"/>
      <c r="U37" s="229">
        <f t="shared" ca="1" si="11"/>
        <v>8</v>
      </c>
      <c r="V37" s="183">
        <f ca="1">COUNTIF( U$12:U37, U37 ) - 1</f>
        <v>0</v>
      </c>
      <c r="W37" s="183">
        <f t="shared" ca="1" si="13"/>
        <v>8</v>
      </c>
      <c r="X37" s="481">
        <f t="shared" ca="1" si="12"/>
        <v>8</v>
      </c>
    </row>
    <row r="38" spans="3:24">
      <c r="C38"/>
      <c r="H38" s="183"/>
      <c r="I38" s="183">
        <f t="shared" si="14"/>
        <v>27</v>
      </c>
      <c r="J38" s="182" t="str">
        <f t="shared" ca="1" si="5"/>
        <v>Otter Tail Corporation</v>
      </c>
      <c r="K38" s="184" t="str">
        <f t="shared" ca="1" si="6"/>
        <v>OTTR</v>
      </c>
      <c r="L38" s="182"/>
      <c r="M38" s="206">
        <f t="shared" ca="1" si="7"/>
        <v>-11.077358739439669</v>
      </c>
      <c r="N38" s="189"/>
      <c r="O38" s="479">
        <f t="shared" ca="1" si="8"/>
        <v>36</v>
      </c>
      <c r="P38" s="216"/>
      <c r="Q38" s="229" t="str">
        <f t="shared" ca="1" si="9"/>
        <v>MR</v>
      </c>
      <c r="R38" s="183"/>
      <c r="S38" s="479">
        <f t="shared" ca="1" si="10"/>
        <v>42</v>
      </c>
      <c r="T38" s="193"/>
      <c r="U38" s="229">
        <f t="shared" ca="1" si="11"/>
        <v>37</v>
      </c>
      <c r="V38" s="183">
        <f ca="1">COUNTIF( U$12:U38, U38 ) - 1</f>
        <v>0</v>
      </c>
      <c r="W38" s="183">
        <f t="shared" ca="1" si="13"/>
        <v>37</v>
      </c>
      <c r="X38" s="481">
        <f t="shared" ca="1" si="12"/>
        <v>37</v>
      </c>
    </row>
    <row r="39" spans="3:24">
      <c r="H39" s="183"/>
      <c r="I39" s="183">
        <f t="shared" si="14"/>
        <v>28</v>
      </c>
      <c r="J39" s="182" t="str">
        <f t="shared" ca="1" si="5"/>
        <v>PG&amp;E Corporation</v>
      </c>
      <c r="K39" s="184" t="str">
        <f t="shared" ca="1" si="6"/>
        <v>PCG</v>
      </c>
      <c r="L39" s="182"/>
      <c r="M39" s="206">
        <f t="shared" ca="1" si="7"/>
        <v>12.251062362450282</v>
      </c>
      <c r="N39" s="189"/>
      <c r="O39" s="479">
        <f t="shared" ca="1" si="8"/>
        <v>37</v>
      </c>
      <c r="P39" s="216"/>
      <c r="Q39" s="229" t="str">
        <f t="shared" ca="1" si="9"/>
        <v>R</v>
      </c>
      <c r="R39" s="183"/>
      <c r="S39" s="479">
        <f t="shared" ca="1" si="10"/>
        <v>43</v>
      </c>
      <c r="T39" s="193"/>
      <c r="U39" s="229">
        <f t="shared" ca="1" si="11"/>
        <v>28</v>
      </c>
      <c r="V39" s="183">
        <f ca="1">COUNTIF( U$12:U39, U39 ) - 1</f>
        <v>0</v>
      </c>
      <c r="W39" s="183">
        <f t="shared" ca="1" si="13"/>
        <v>28</v>
      </c>
      <c r="X39" s="481">
        <f t="shared" ca="1" si="12"/>
        <v>28</v>
      </c>
    </row>
    <row r="40" spans="3:24">
      <c r="H40" s="183"/>
      <c r="I40" s="183">
        <f t="shared" si="14"/>
        <v>29</v>
      </c>
      <c r="J40" s="182" t="str">
        <f t="shared" ca="1" si="5"/>
        <v>Pinnacle West Capital Corporation</v>
      </c>
      <c r="K40" s="184" t="str">
        <f t="shared" ca="1" si="6"/>
        <v>PNW</v>
      </c>
      <c r="L40" s="182"/>
      <c r="M40" s="206">
        <f t="shared" ca="1" si="7"/>
        <v>23.250626858562097</v>
      </c>
      <c r="N40" s="189"/>
      <c r="O40" s="479">
        <f t="shared" ca="1" si="8"/>
        <v>38</v>
      </c>
      <c r="P40" s="216"/>
      <c r="Q40" s="229" t="str">
        <f t="shared" ca="1" si="9"/>
        <v>R</v>
      </c>
      <c r="R40" s="183"/>
      <c r="S40" s="479">
        <f t="shared" ca="1" si="10"/>
        <v>44</v>
      </c>
      <c r="T40" s="193"/>
      <c r="U40" s="229">
        <f t="shared" ca="1" si="11"/>
        <v>10</v>
      </c>
      <c r="V40" s="183">
        <f ca="1">COUNTIF( U$12:U40, U40 ) - 1</f>
        <v>0</v>
      </c>
      <c r="W40" s="183">
        <f t="shared" ca="1" si="13"/>
        <v>10</v>
      </c>
      <c r="X40" s="481">
        <f t="shared" ca="1" si="12"/>
        <v>10</v>
      </c>
    </row>
    <row r="41" spans="3:24">
      <c r="H41" s="183"/>
      <c r="I41" s="183">
        <f t="shared" si="14"/>
        <v>30</v>
      </c>
      <c r="J41" s="182" t="str">
        <f t="shared" ca="1" si="5"/>
        <v>TXNM Energy, Inc.</v>
      </c>
      <c r="K41" s="184" t="str">
        <f t="shared" ca="1" si="6"/>
        <v>TXNM</v>
      </c>
      <c r="L41" s="182"/>
      <c r="M41" s="206">
        <f t="shared" ca="1" si="7"/>
        <v>22.743063141327035</v>
      </c>
      <c r="N41" s="189"/>
      <c r="O41" s="479">
        <f t="shared" ca="1" si="8"/>
        <v>39</v>
      </c>
      <c r="P41" s="216"/>
      <c r="Q41" s="229" t="str">
        <f t="shared" ca="1" si="9"/>
        <v>R</v>
      </c>
      <c r="R41" s="183"/>
      <c r="S41" s="479">
        <f t="shared" ca="1" si="10"/>
        <v>45</v>
      </c>
      <c r="T41" s="193"/>
      <c r="U41" s="229">
        <f t="shared" ca="1" si="11"/>
        <v>11</v>
      </c>
      <c r="V41" s="183">
        <f ca="1">COUNTIF( U$12:U41, U41 ) - 1</f>
        <v>0</v>
      </c>
      <c r="W41" s="183">
        <f t="shared" ca="1" si="13"/>
        <v>11</v>
      </c>
      <c r="X41" s="481">
        <f t="shared" ca="1" si="12"/>
        <v>11</v>
      </c>
    </row>
    <row r="42" spans="3:24">
      <c r="H42" s="183"/>
      <c r="I42" s="183">
        <f t="shared" si="14"/>
        <v>31</v>
      </c>
      <c r="J42" s="182" t="str">
        <f t="shared" ca="1" si="5"/>
        <v>Portland General Electric Company</v>
      </c>
      <c r="K42" s="184" t="str">
        <f t="shared" ca="1" si="6"/>
        <v>POR</v>
      </c>
      <c r="L42" s="182"/>
      <c r="M42" s="206">
        <f t="shared" ca="1" si="7"/>
        <v>5.2285619966704999</v>
      </c>
      <c r="N42" s="189"/>
      <c r="O42" s="479">
        <f t="shared" ca="1" si="8"/>
        <v>40</v>
      </c>
      <c r="P42" s="216"/>
      <c r="Q42" s="229" t="str">
        <f t="shared" ca="1" si="9"/>
        <v>R</v>
      </c>
      <c r="R42" s="183"/>
      <c r="S42" s="479">
        <f t="shared" ca="1" si="10"/>
        <v>46</v>
      </c>
      <c r="T42" s="193"/>
      <c r="U42" s="229">
        <f t="shared" ca="1" si="11"/>
        <v>34</v>
      </c>
      <c r="V42" s="183">
        <f ca="1">COUNTIF( U$12:U42, U42 ) - 1</f>
        <v>0</v>
      </c>
      <c r="W42" s="183">
        <f t="shared" ca="1" si="13"/>
        <v>34</v>
      </c>
      <c r="X42" s="481">
        <f t="shared" ca="1" si="12"/>
        <v>34</v>
      </c>
    </row>
    <row r="43" spans="3:24">
      <c r="H43" s="183"/>
      <c r="I43" s="183">
        <f t="shared" si="14"/>
        <v>32</v>
      </c>
      <c r="J43" s="182" t="str">
        <f t="shared" ca="1" si="5"/>
        <v>PPL Corporation</v>
      </c>
      <c r="K43" s="184" t="str">
        <f t="shared" ca="1" si="6"/>
        <v>PPL</v>
      </c>
      <c r="L43" s="182"/>
      <c r="M43" s="206">
        <f t="shared" ca="1" si="7"/>
        <v>24.026020875805031</v>
      </c>
      <c r="N43" s="189"/>
      <c r="O43" s="479">
        <f t="shared" ca="1" si="8"/>
        <v>41</v>
      </c>
      <c r="P43" s="216"/>
      <c r="Q43" s="229" t="str">
        <f t="shared" ca="1" si="9"/>
        <v>R</v>
      </c>
      <c r="R43" s="183"/>
      <c r="S43" s="479">
        <f t="shared" ca="1" si="10"/>
        <v>47</v>
      </c>
      <c r="T43" s="193"/>
      <c r="U43" s="229">
        <f t="shared" ca="1" si="11"/>
        <v>7</v>
      </c>
      <c r="V43" s="183">
        <f ca="1">COUNTIF( U$12:U43, U43 ) - 1</f>
        <v>0</v>
      </c>
      <c r="W43" s="183">
        <f t="shared" ca="1" si="13"/>
        <v>7</v>
      </c>
      <c r="X43" s="481">
        <f t="shared" ca="1" si="12"/>
        <v>7</v>
      </c>
    </row>
    <row r="44" spans="3:24">
      <c r="H44" s="183"/>
      <c r="I44" s="183">
        <f t="shared" si="14"/>
        <v>33</v>
      </c>
      <c r="J44" s="182" t="str">
        <f t="shared" ref="J44:J49" ca="1" si="15">OFFSET( INDIRECT( J$6 &amp; J$8 ), $I44 - 1, 0 )</f>
        <v>Public Service Enterprise Group Incorporated</v>
      </c>
      <c r="K44" s="184" t="str">
        <f t="shared" ref="K44:K49" ca="1" si="16">OFFSET( INDIRECT( K$7 &amp; K$8 ), $I44 - 1, 0 )</f>
        <v>PEG</v>
      </c>
      <c r="L44" s="182"/>
      <c r="M44" s="206">
        <f t="shared" ca="1" si="7"/>
        <v>42.49483970618855</v>
      </c>
      <c r="N44" s="189"/>
      <c r="O44" s="479">
        <f t="shared" ca="1" si="8"/>
        <v>42</v>
      </c>
      <c r="P44" s="216"/>
      <c r="Q44" s="229" t="str">
        <f t="shared" ref="Q44:Q49" ca="1" si="17">OFFSET( INDIRECT( Q$7 &amp; Q$8 ), $S44 - 1, 0 )</f>
        <v>R</v>
      </c>
      <c r="R44" s="183"/>
      <c r="S44" s="479">
        <f t="shared" ref="S44:S49" ca="1" si="18">MATCH( $K44, INDIRECT( S$7 &amp; S$8 ), 0 )</f>
        <v>48</v>
      </c>
      <c r="T44" s="193"/>
      <c r="U44" s="229">
        <f t="shared" ca="1" si="11"/>
        <v>4</v>
      </c>
      <c r="V44" s="183">
        <f ca="1">COUNTIF( U$12:U44, U44 ) - 1</f>
        <v>0</v>
      </c>
      <c r="W44" s="183">
        <f t="shared" ca="1" si="13"/>
        <v>4</v>
      </c>
      <c r="X44" s="481">
        <f t="shared" ca="1" si="12"/>
        <v>4</v>
      </c>
    </row>
    <row r="45" spans="3:24">
      <c r="H45" s="183"/>
      <c r="I45" s="183">
        <f t="shared" si="14"/>
        <v>34</v>
      </c>
      <c r="J45" s="182" t="str">
        <f t="shared" ca="1" si="15"/>
        <v xml:space="preserve">Sempra </v>
      </c>
      <c r="K45" s="184" t="str">
        <f t="shared" ca="1" si="16"/>
        <v>SRE</v>
      </c>
      <c r="L45" s="182"/>
      <c r="M45" s="206">
        <f t="shared" ca="1" si="7"/>
        <v>21.095646999662911</v>
      </c>
      <c r="N45" s="189"/>
      <c r="O45" s="479">
        <f t="shared" ca="1" si="8"/>
        <v>43</v>
      </c>
      <c r="P45" s="216"/>
      <c r="Q45" s="229" t="str">
        <f t="shared" ca="1" si="17"/>
        <v>R</v>
      </c>
      <c r="R45" s="183"/>
      <c r="S45" s="479">
        <f t="shared" ca="1" si="18"/>
        <v>49</v>
      </c>
      <c r="T45" s="193"/>
      <c r="U45" s="229">
        <f t="shared" ca="1" si="11"/>
        <v>14</v>
      </c>
      <c r="V45" s="183">
        <f ca="1">COUNTIF( U$12:U45, U45 ) - 1</f>
        <v>0</v>
      </c>
      <c r="W45" s="183">
        <f t="shared" ca="1" si="13"/>
        <v>14</v>
      </c>
      <c r="X45" s="481">
        <f t="shared" ca="1" si="12"/>
        <v>14</v>
      </c>
    </row>
    <row r="46" spans="3:24">
      <c r="H46" s="183"/>
      <c r="I46" s="183">
        <f t="shared" si="14"/>
        <v>35</v>
      </c>
      <c r="J46" s="182" t="str">
        <f t="shared" ca="1" si="15"/>
        <v>Southern Company</v>
      </c>
      <c r="K46" s="184" t="str">
        <f t="shared" ca="1" si="16"/>
        <v>SO</v>
      </c>
      <c r="L46" s="182"/>
      <c r="M46" s="206">
        <f t="shared" ca="1" si="7"/>
        <v>21.654633936471555</v>
      </c>
      <c r="N46" s="189"/>
      <c r="O46" s="479">
        <f t="shared" ca="1" si="8"/>
        <v>44</v>
      </c>
      <c r="P46" s="216"/>
      <c r="Q46" s="229" t="str">
        <f t="shared" ca="1" si="17"/>
        <v>R</v>
      </c>
      <c r="R46" s="183"/>
      <c r="S46" s="479">
        <f t="shared" ca="1" si="18"/>
        <v>50</v>
      </c>
      <c r="T46" s="193"/>
      <c r="U46" s="229">
        <f t="shared" ca="1" si="11"/>
        <v>12</v>
      </c>
      <c r="V46" s="183">
        <f ca="1">COUNTIF( U$12:U46, U46 ) - 1</f>
        <v>0</v>
      </c>
      <c r="W46" s="183">
        <f t="shared" ca="1" si="13"/>
        <v>12</v>
      </c>
      <c r="X46" s="481">
        <f t="shared" ca="1" si="12"/>
        <v>12</v>
      </c>
    </row>
    <row r="47" spans="3:24">
      <c r="H47" s="183"/>
      <c r="I47" s="183">
        <f t="shared" si="14"/>
        <v>36</v>
      </c>
      <c r="J47" s="182" t="str">
        <f t="shared" ca="1" si="15"/>
        <v>Unitil Corporation</v>
      </c>
      <c r="K47" s="184" t="str">
        <f t="shared" ca="1" si="16"/>
        <v>UTL</v>
      </c>
      <c r="L47" s="182"/>
      <c r="M47" s="206">
        <f t="shared" ca="1" si="7"/>
        <v>6.3337305610909</v>
      </c>
      <c r="N47" s="189"/>
      <c r="O47" s="479">
        <f t="shared" ca="1" si="8"/>
        <v>45</v>
      </c>
      <c r="P47" s="216"/>
      <c r="Q47" s="229" t="str">
        <f t="shared" ca="1" si="17"/>
        <v>R</v>
      </c>
      <c r="R47" s="183"/>
      <c r="S47" s="479">
        <f t="shared" ca="1" si="18"/>
        <v>51</v>
      </c>
      <c r="T47" s="193"/>
      <c r="U47" s="229">
        <f t="shared" ca="1" si="11"/>
        <v>33</v>
      </c>
      <c r="V47" s="183">
        <f ca="1">COUNTIF( U$12:U47, U47 ) - 1</f>
        <v>0</v>
      </c>
      <c r="W47" s="183">
        <f t="shared" ca="1" si="13"/>
        <v>33</v>
      </c>
      <c r="X47" s="481">
        <f t="shared" ca="1" si="12"/>
        <v>33</v>
      </c>
    </row>
    <row r="48" spans="3:24">
      <c r="H48" s="183"/>
      <c r="I48" s="183">
        <f t="shared" si="14"/>
        <v>37</v>
      </c>
      <c r="J48" s="182" t="str">
        <f t="shared" ca="1" si="15"/>
        <v>WEC Energy Group, Inc.</v>
      </c>
      <c r="K48" s="184" t="str">
        <f t="shared" ca="1" si="16"/>
        <v>WEC</v>
      </c>
      <c r="L48" s="182"/>
      <c r="M48" s="206">
        <f t="shared" ca="1" si="7"/>
        <v>16.075270288134689</v>
      </c>
      <c r="N48" s="189"/>
      <c r="O48" s="479">
        <f t="shared" ca="1" si="8"/>
        <v>46</v>
      </c>
      <c r="P48" s="216"/>
      <c r="Q48" s="229" t="str">
        <f t="shared" ca="1" si="17"/>
        <v>R</v>
      </c>
      <c r="R48" s="183"/>
      <c r="S48" s="479">
        <f t="shared" ca="1" si="18"/>
        <v>52</v>
      </c>
      <c r="T48" s="193"/>
      <c r="U48" s="229">
        <f t="shared" ca="1" si="11"/>
        <v>20</v>
      </c>
      <c r="V48" s="183">
        <f ca="1">COUNTIF( U$12:U48, U48 ) - 1</f>
        <v>0</v>
      </c>
      <c r="W48" s="183">
        <f t="shared" ca="1" si="13"/>
        <v>20</v>
      </c>
      <c r="X48" s="481">
        <f t="shared" ca="1" si="12"/>
        <v>20</v>
      </c>
    </row>
    <row r="49" spans="8:24">
      <c r="H49" s="183"/>
      <c r="I49" s="183">
        <f t="shared" si="14"/>
        <v>38</v>
      </c>
      <c r="J49" s="182" t="str">
        <f t="shared" ca="1" si="15"/>
        <v>Xcel Energy Inc.</v>
      </c>
      <c r="K49" s="184" t="str">
        <f t="shared" ca="1" si="16"/>
        <v>XEL</v>
      </c>
      <c r="L49" s="182"/>
      <c r="M49" s="206">
        <f t="shared" ca="1" si="7"/>
        <v>13.145090079277221</v>
      </c>
      <c r="N49" s="189"/>
      <c r="O49" s="479">
        <f t="shared" ca="1" si="8"/>
        <v>47</v>
      </c>
      <c r="P49" s="216"/>
      <c r="Q49" s="229" t="str">
        <f t="shared" ca="1" si="17"/>
        <v>R</v>
      </c>
      <c r="R49" s="183"/>
      <c r="S49" s="479">
        <f t="shared" ca="1" si="18"/>
        <v>53</v>
      </c>
      <c r="T49" s="193"/>
      <c r="U49" s="229">
        <f t="shared" ca="1" si="11"/>
        <v>27</v>
      </c>
      <c r="V49" s="183">
        <f ca="1">COUNTIF( U$12:U49, U49 ) - 1</f>
        <v>0</v>
      </c>
      <c r="W49" s="183">
        <f t="shared" ca="1" si="13"/>
        <v>27</v>
      </c>
      <c r="X49" s="481">
        <f t="shared" ca="1" si="12"/>
        <v>27</v>
      </c>
    </row>
  </sheetData>
  <mergeCells count="6">
    <mergeCell ref="U2:X2"/>
    <mergeCell ref="B5:D5"/>
    <mergeCell ref="B6:D6"/>
    <mergeCell ref="A1:B1"/>
    <mergeCell ref="M2:O2"/>
    <mergeCell ref="Q2:S2"/>
  </mergeCells>
  <phoneticPr fontId="6" type="noConversion"/>
  <hyperlinks>
    <hyperlink ref="A1" location="Index!A1" display="Return to Index" xr:uid="{00000000-0004-0000-0E00-000000000000}"/>
    <hyperlink ref="A1:B1" location="Contents!A1" display="Go to Contents" xr:uid="{00000000-0004-0000-0E00-000001000000}"/>
  </hyperlinks>
  <pageMargins left="0.25" right="0.31" top="0.36" bottom="1" header="0.2" footer="0.5"/>
  <pageSetup scale="1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>
    <tabColor theme="0" tint="-0.249977111117893"/>
    <outlinePr summaryBelow="0" summaryRight="0"/>
  </sheetPr>
  <dimension ref="A1:AK55"/>
  <sheetViews>
    <sheetView zoomScaleNormal="100" workbookViewId="0">
      <selection activeCell="Z61" sqref="Z61"/>
    </sheetView>
  </sheetViews>
  <sheetFormatPr defaultColWidth="9.140625" defaultRowHeight="11.1" customHeight="1"/>
  <cols>
    <col min="1" max="1" width="2.7109375" style="78" customWidth="1"/>
    <col min="2" max="2" width="4.7109375" style="171" customWidth="1"/>
    <col min="3" max="3" width="30.7109375" style="78" customWidth="1"/>
    <col min="4" max="4" width="12.7109375" style="84" customWidth="1"/>
    <col min="5" max="5" width="2.7109375" style="78" customWidth="1"/>
    <col min="6" max="7" width="15.7109375" style="172" customWidth="1"/>
    <col min="8" max="8" width="2.7109375" style="78" customWidth="1"/>
    <col min="9" max="9" width="7.85546875" style="172" customWidth="1"/>
    <col min="10" max="10" width="2.7109375" style="78" customWidth="1"/>
    <col min="11" max="12" width="15.7109375" style="172" customWidth="1"/>
    <col min="13" max="13" width="9.85546875" style="78" customWidth="1"/>
    <col min="14" max="14" width="2.7109375" style="78" customWidth="1"/>
    <col min="15" max="15" width="7.85546875" style="172" customWidth="1"/>
    <col min="16" max="16" width="2.7109375" style="78" customWidth="1"/>
    <col min="17" max="19" width="12.7109375" style="78" customWidth="1"/>
    <col min="20" max="20" width="2.7109375" style="78" customWidth="1"/>
    <col min="21" max="21" width="8.7109375" style="78" customWidth="1"/>
    <col min="22" max="22" width="10.7109375" style="78" customWidth="1"/>
    <col min="23" max="23" width="2.7109375" style="78" customWidth="1"/>
    <col min="24" max="26" width="8.7109375" style="172" customWidth="1"/>
    <col min="27" max="28" width="2.7109375" style="172" customWidth="1"/>
    <col min="29" max="31" width="8.7109375" style="172" customWidth="1"/>
    <col min="32" max="33" width="2.7109375" style="172" customWidth="1"/>
    <col min="34" max="36" width="8.7109375" style="172" customWidth="1"/>
    <col min="37" max="37" width="2.7109375" style="172" customWidth="1"/>
    <col min="38" max="16384" width="9.140625" style="78"/>
  </cols>
  <sheetData>
    <row r="1" spans="1:37" ht="11.1" customHeight="1">
      <c r="B1" s="397"/>
      <c r="D1" s="141"/>
      <c r="E1" s="141"/>
      <c r="J1" s="141"/>
    </row>
    <row r="2" spans="1:37" s="400" customFormat="1" ht="11.1" customHeight="1">
      <c r="A2" s="83"/>
      <c r="B2" s="398"/>
      <c r="C2" s="398" t="str">
        <f>Quarter_Year_Qtr</f>
        <v>2024.4</v>
      </c>
      <c r="D2" s="398"/>
      <c r="E2" s="398"/>
      <c r="F2" s="619" t="s">
        <v>353</v>
      </c>
      <c r="G2" s="606"/>
      <c r="H2" s="606"/>
      <c r="I2" s="606"/>
      <c r="J2" s="398"/>
      <c r="K2" s="619" t="s">
        <v>613</v>
      </c>
      <c r="L2" s="606"/>
      <c r="M2" s="606"/>
      <c r="N2" s="606"/>
      <c r="O2" s="606"/>
      <c r="P2" s="399"/>
      <c r="Q2" s="619" t="s">
        <v>612</v>
      </c>
      <c r="R2" s="619"/>
      <c r="S2" s="619"/>
      <c r="T2" s="486"/>
      <c r="U2" s="542"/>
      <c r="V2" s="542"/>
      <c r="W2" s="486"/>
      <c r="X2" s="542"/>
      <c r="Y2" s="542"/>
      <c r="Z2" s="542"/>
      <c r="AA2" s="486"/>
      <c r="AB2" s="486"/>
      <c r="AC2" s="542"/>
      <c r="AD2" s="542"/>
      <c r="AE2" s="542"/>
      <c r="AF2" s="486"/>
      <c r="AG2" s="486"/>
      <c r="AH2" s="542"/>
      <c r="AI2" s="542"/>
      <c r="AJ2" s="542"/>
      <c r="AK2" s="486"/>
    </row>
    <row r="3" spans="1:37" s="400" customFormat="1" ht="11.1" customHeight="1">
      <c r="A3" s="401"/>
      <c r="B3" s="398"/>
      <c r="C3" s="402" t="s">
        <v>337</v>
      </c>
      <c r="D3" s="403" t="s">
        <v>292</v>
      </c>
      <c r="E3" s="403"/>
      <c r="F3" s="171" t="str">
        <f>$C$2</f>
        <v>2024.4</v>
      </c>
      <c r="G3" s="171" t="str">
        <f>$C$2</f>
        <v>2024.4</v>
      </c>
      <c r="H3" s="403"/>
      <c r="I3" s="83" t="s">
        <v>328</v>
      </c>
      <c r="J3" s="403"/>
      <c r="K3" s="171" t="str">
        <f>$C$2</f>
        <v>2024.4</v>
      </c>
      <c r="L3" s="171" t="str">
        <f>$C$2</f>
        <v>2024.4</v>
      </c>
      <c r="M3" s="403"/>
      <c r="N3" s="403"/>
      <c r="O3" s="83" t="s">
        <v>328</v>
      </c>
      <c r="P3" s="83"/>
      <c r="Q3" s="83" t="s">
        <v>328</v>
      </c>
      <c r="R3" s="83" t="s">
        <v>1</v>
      </c>
      <c r="S3" s="83" t="s">
        <v>1</v>
      </c>
      <c r="T3" s="83"/>
      <c r="U3" s="83" t="s">
        <v>285</v>
      </c>
      <c r="V3" s="83" t="s">
        <v>284</v>
      </c>
      <c r="W3" s="83"/>
      <c r="X3" s="83" t="s">
        <v>287</v>
      </c>
      <c r="Y3" s="84"/>
      <c r="Z3" s="84"/>
      <c r="AA3" s="84"/>
      <c r="AB3" s="84"/>
      <c r="AC3" s="83" t="s">
        <v>110</v>
      </c>
      <c r="AD3" s="84"/>
      <c r="AE3" s="84"/>
      <c r="AF3" s="84"/>
      <c r="AG3" s="84"/>
      <c r="AH3" s="83" t="s">
        <v>288</v>
      </c>
      <c r="AI3" s="84"/>
      <c r="AJ3" s="84"/>
      <c r="AK3" s="172"/>
    </row>
    <row r="4" spans="1:37" s="400" customFormat="1" ht="11.1" customHeight="1">
      <c r="A4" s="83"/>
      <c r="B4" s="398"/>
      <c r="C4" s="403"/>
      <c r="D4" s="403"/>
      <c r="E4" s="403"/>
      <c r="F4" s="403" t="s">
        <v>348</v>
      </c>
      <c r="G4" s="403" t="s">
        <v>284</v>
      </c>
      <c r="H4" s="403"/>
      <c r="I4" s="83"/>
      <c r="J4" s="403"/>
      <c r="K4" s="403" t="s">
        <v>221</v>
      </c>
      <c r="L4" s="403" t="s">
        <v>220</v>
      </c>
      <c r="M4" s="403" t="s">
        <v>343</v>
      </c>
      <c r="N4" s="403"/>
      <c r="O4" s="83"/>
      <c r="P4" s="543"/>
      <c r="Q4" s="83"/>
      <c r="R4" s="83"/>
      <c r="S4" s="83"/>
      <c r="T4" s="83"/>
      <c r="U4" s="83"/>
      <c r="V4" s="83" t="s">
        <v>284</v>
      </c>
      <c r="W4" s="543"/>
      <c r="X4" s="83" t="s">
        <v>286</v>
      </c>
      <c r="Y4" s="83" t="s">
        <v>95</v>
      </c>
      <c r="Z4" s="83" t="s">
        <v>192</v>
      </c>
      <c r="AA4" s="83"/>
      <c r="AB4" s="83"/>
      <c r="AC4" s="83" t="s">
        <v>286</v>
      </c>
      <c r="AD4" s="83" t="s">
        <v>95</v>
      </c>
      <c r="AE4" s="83" t="s">
        <v>192</v>
      </c>
      <c r="AF4" s="83"/>
      <c r="AG4" s="83"/>
      <c r="AH4" s="83" t="s">
        <v>286</v>
      </c>
      <c r="AI4" s="83" t="s">
        <v>95</v>
      </c>
      <c r="AJ4" s="83" t="s">
        <v>192</v>
      </c>
      <c r="AK4" s="226"/>
    </row>
    <row r="5" spans="1:37" s="405" customFormat="1" ht="11.1" customHeight="1">
      <c r="B5" s="406"/>
      <c r="D5" s="541"/>
      <c r="F5" s="541" t="str">
        <f>F3 &amp; ":::" &amp; F4</f>
        <v>2024.4:::% Return</v>
      </c>
      <c r="G5" s="541" t="str">
        <f>G3 &amp; ":::" &amp; G4</f>
        <v>2024.4:::Mkt Cap</v>
      </c>
      <c r="H5" s="541"/>
      <c r="I5" s="541"/>
      <c r="J5" s="541"/>
      <c r="K5" s="541" t="str">
        <f>K3 &amp; ":::" &amp; K4</f>
        <v>2024.4:::Price</v>
      </c>
      <c r="L5" s="541" t="str">
        <f>L3 &amp; ":::" &amp; L4</f>
        <v>2024.4:::Shares</v>
      </c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</row>
    <row r="6" spans="1:37" ht="11.1" customHeight="1">
      <c r="C6" s="407" t="s">
        <v>339</v>
      </c>
      <c r="F6" s="544" t="s">
        <v>351</v>
      </c>
      <c r="G6" s="545" t="str">
        <f t="shared" ref="G6:G8" si="0">F6</f>
        <v>'Calc_YTD'!</v>
      </c>
      <c r="H6" s="544"/>
      <c r="I6" s="545" t="str">
        <f>G6</f>
        <v>'Calc_YTD'!</v>
      </c>
      <c r="J6" s="84"/>
      <c r="K6" s="544" t="s">
        <v>609</v>
      </c>
      <c r="L6" s="545" t="str">
        <f t="shared" ref="L6:L8" si="1">K6</f>
        <v>'MASTER'!</v>
      </c>
      <c r="M6" s="544"/>
      <c r="N6" s="544"/>
      <c r="O6" s="545" t="str">
        <f>L6</f>
        <v>'MASTER'!</v>
      </c>
      <c r="P6" s="84"/>
      <c r="Q6" s="375" t="s">
        <v>352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78"/>
    </row>
    <row r="7" spans="1:37" ht="11.1" customHeight="1">
      <c r="C7" s="408" t="str">
        <f>C6</f>
        <v>'CompanyList'!</v>
      </c>
      <c r="D7" s="157" t="str">
        <f>C7</f>
        <v>'CompanyList'!</v>
      </c>
      <c r="E7" s="157"/>
      <c r="F7" s="544" t="s">
        <v>341</v>
      </c>
      <c r="G7" s="545" t="str">
        <f t="shared" si="0"/>
        <v>5:5</v>
      </c>
      <c r="H7" s="544"/>
      <c r="I7" s="375" t="s">
        <v>606</v>
      </c>
      <c r="J7" s="157"/>
      <c r="K7" s="544" t="s">
        <v>341</v>
      </c>
      <c r="L7" s="545" t="str">
        <f t="shared" si="1"/>
        <v>5:5</v>
      </c>
      <c r="M7" s="544"/>
      <c r="N7" s="544"/>
      <c r="O7" s="375" t="s">
        <v>607</v>
      </c>
      <c r="P7" s="84"/>
      <c r="Q7" s="546" t="str">
        <f>Q6</f>
        <v>'Reg_Percent'!</v>
      </c>
      <c r="R7" s="546" t="str">
        <f>Q7</f>
        <v>'Reg_Percent'!</v>
      </c>
      <c r="S7" s="546" t="str">
        <f>R7</f>
        <v>'Reg_Percent'!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</row>
    <row r="8" spans="1:37" ht="11.1" customHeight="1">
      <c r="C8" s="383" t="s">
        <v>594</v>
      </c>
      <c r="D8" s="375" t="s">
        <v>595</v>
      </c>
      <c r="E8" s="383"/>
      <c r="F8" s="375" t="s">
        <v>596</v>
      </c>
      <c r="G8" s="545" t="str">
        <f t="shared" si="0"/>
        <v>A1</v>
      </c>
      <c r="H8" s="84"/>
      <c r="I8" s="84"/>
      <c r="J8" s="375"/>
      <c r="K8" s="375" t="s">
        <v>596</v>
      </c>
      <c r="L8" s="545" t="str">
        <f t="shared" si="1"/>
        <v>A1</v>
      </c>
      <c r="M8" s="84"/>
      <c r="N8" s="84"/>
      <c r="O8" s="84"/>
      <c r="P8" s="84"/>
      <c r="Q8" s="375" t="s">
        <v>602</v>
      </c>
      <c r="R8" s="375" t="s">
        <v>601</v>
      </c>
      <c r="S8" s="375" t="s">
        <v>608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</row>
    <row r="9" spans="1:37" ht="11.1" customHeight="1">
      <c r="A9" s="84"/>
      <c r="D9" s="171"/>
      <c r="E9" s="171"/>
      <c r="F9" s="547">
        <f ca="1">MATCH(F$5,INDIRECT(F$6&amp;F$7),0)</f>
        <v>6</v>
      </c>
      <c r="G9" s="547">
        <f ca="1">MATCH(G$5,INDIRECT(G$6&amp;G$7),0)</f>
        <v>9</v>
      </c>
      <c r="H9" s="84"/>
      <c r="I9" s="84"/>
      <c r="J9" s="171"/>
      <c r="K9" s="547">
        <f ca="1">MATCH( K$5, INDIRECT( K$6 &amp; K$7 ), 0 )</f>
        <v>4</v>
      </c>
      <c r="L9" s="547">
        <f ca="1">MATCH( L$5, INDIRECT( L$6 &amp; L$7 ), 0 )</f>
        <v>3</v>
      </c>
      <c r="M9" s="84"/>
      <c r="N9" s="84"/>
      <c r="O9" s="84"/>
      <c r="P9" s="84"/>
      <c r="Q9" s="84"/>
      <c r="R9" s="171">
        <f ca="1">COUNTIF( R12:R49, "MR")</f>
        <v>5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</row>
    <row r="10" spans="1:37" ht="11.1" customHeight="1">
      <c r="A10" s="84"/>
      <c r="C10" s="171"/>
      <c r="D10" s="171"/>
      <c r="E10" s="171"/>
      <c r="F10" s="78"/>
      <c r="G10" s="78"/>
      <c r="H10" s="397"/>
      <c r="J10" s="171"/>
      <c r="K10" s="78"/>
      <c r="L10" s="78"/>
      <c r="M10" s="397"/>
      <c r="N10" s="397"/>
      <c r="X10" s="410"/>
    </row>
    <row r="11" spans="1:37" ht="11.1" customHeight="1">
      <c r="A11" s="411"/>
      <c r="C11" s="171"/>
      <c r="D11" s="171"/>
      <c r="E11" s="171"/>
      <c r="F11" s="404"/>
      <c r="G11" s="397"/>
      <c r="H11" s="397"/>
      <c r="J11" s="171"/>
      <c r="K11" s="404"/>
      <c r="L11" s="397"/>
      <c r="M11" s="397"/>
      <c r="N11" s="397"/>
    </row>
    <row r="12" spans="1:37" ht="11.1" customHeight="1">
      <c r="A12" s="412"/>
      <c r="B12" s="131">
        <v>1</v>
      </c>
      <c r="C12" s="78" t="str">
        <f t="shared" ref="C12:C43" ca="1" si="2">OFFSET( INDIRECT( C$6 &amp; C$8 ), $B12 - 1, 0 )</f>
        <v>ALLETE, Inc.</v>
      </c>
      <c r="D12" s="84" t="str">
        <f t="shared" ref="D12:D43" ca="1" si="3">OFFSET( INDIRECT( D$7 &amp; D$8 ), $B12 - 1, 0 )</f>
        <v>ALE</v>
      </c>
      <c r="F12" s="413">
        <f ca="1">IF(ISNA($I12),"",OFFSET(INDIRECT(F$6&amp;F$8),$I12-1,F$9-1))</f>
        <v>10.799439740200633</v>
      </c>
      <c r="G12" s="414">
        <f ca="1">IF( ISNA( $I12 ), "", OFFSET( INDIRECT( G$6 &amp; G$8 ), $I12 - 1, G$9 - 1 ) )</f>
        <v>3745.4399999999996</v>
      </c>
      <c r="H12" s="414"/>
      <c r="I12" s="547">
        <f t="shared" ref="I12:I43" ca="1" si="4">MATCH( $D12, INDIRECT( I$6 &amp; I$7 ), 0 )</f>
        <v>10</v>
      </c>
      <c r="K12" s="413">
        <f ca="1">IF( ISNA( $O12 ), "", OFFSET( INDIRECT( K$6 &amp; K$8 ), $O12 - 1, K$9 - 1 ) )</f>
        <v>64.8</v>
      </c>
      <c r="L12" s="415">
        <f ca="1">IF( ISNA( $O12 ), "", OFFSET( INDIRECT( L$6 &amp; L$8 ), $O12 - 1, L$9 - 1 ) )</f>
        <v>57.8</v>
      </c>
      <c r="M12" s="414">
        <f ca="1">IF( ISNA( $O12 ), "", K12 * L12 )</f>
        <v>3745.4399999999996</v>
      </c>
      <c r="N12" s="414"/>
      <c r="O12" s="547">
        <f t="shared" ref="O12:O49" ca="1" si="5">MATCH( $D12, INDIRECT( O$6 &amp; O$7 ), 0 )</f>
        <v>87</v>
      </c>
      <c r="Q12" s="547">
        <f ca="1">MATCH( $D12, INDIRECT( Q$7 &amp; Q$8 ), 0 )</f>
        <v>16</v>
      </c>
      <c r="R12" s="171" t="str">
        <f t="shared" ref="R12:S49" ca="1" si="6">IF( ISNA( $Q12 ), "", OFFSET( INDIRECT( R$7 &amp; R$8 ), $Q12 - 1, 0 ) )</f>
        <v>MR</v>
      </c>
      <c r="S12" s="416">
        <f ca="1">IF( ISNA( $Q12 ), "", OFFSET( INDIRECT( S$7 &amp; S$8 ), $Q12 - 1, 0 ) )</f>
        <v>0</v>
      </c>
      <c r="U12" s="417">
        <f ca="1">F12</f>
        <v>10.799439740200633</v>
      </c>
      <c r="V12" s="418">
        <f ca="1">M12</f>
        <v>3745.4399999999996</v>
      </c>
      <c r="X12" s="410">
        <f t="shared" ref="X12:X49" ca="1" si="7">IF( LEN( $V12 ) = 0, "", $V12 / X$53 )</f>
        <v>3.6821825292829248E-3</v>
      </c>
      <c r="Y12" s="410" t="str">
        <f t="shared" ref="Y12:AA31" ca="1" si="8">IF( $R12 = Y$4, $V12 / Y$53, "" )</f>
        <v/>
      </c>
      <c r="Z12" s="410">
        <f t="shared" ca="1" si="8"/>
        <v>2.3580825799091577E-2</v>
      </c>
      <c r="AA12" s="410" t="str">
        <f t="shared" ca="1" si="8"/>
        <v/>
      </c>
      <c r="AC12" s="419">
        <f t="shared" ref="AC12:AC49" ca="1" si="9">IF( LEN( $U12 ) = 0, "", $U12 )</f>
        <v>10.799439740200633</v>
      </c>
      <c r="AD12" s="419" t="str">
        <f ca="1">IF( $R12 = AD$4, $U12, "" )</f>
        <v/>
      </c>
      <c r="AE12" s="419">
        <f t="shared" ref="AE12:AF31" ca="1" si="10">IF( $R12 = AE$4, $U12, "" )</f>
        <v>10.799439740200633</v>
      </c>
      <c r="AF12" s="419" t="str">
        <f t="shared" ca="1" si="10"/>
        <v/>
      </c>
      <c r="AG12" s="420"/>
      <c r="AH12" s="416">
        <f t="shared" ref="AH12:AH49" ca="1" si="11">IF( OR( LEN( X12 ) = 0, LEN( AC12 ) = 0 ), "", X12 * AC12 )</f>
        <v>3.97655083374105E-2</v>
      </c>
      <c r="AI12" s="416" t="str">
        <f ca="1">IF( $R12 = AI$4, Y12 * AD12, "" )</f>
        <v/>
      </c>
      <c r="AJ12" s="416">
        <f t="shared" ref="AJ12:AJ49" ca="1" si="12">IF( $R12 = AJ$4, Z12 * AE12, "" )</f>
        <v>0.25465970724145792</v>
      </c>
      <c r="AK12" s="416" t="str">
        <f t="shared" ref="AK12:AK49" ca="1" si="13">IF( $R12 = AK$4, AA12 * AF12, "" )</f>
        <v/>
      </c>
    </row>
    <row r="13" spans="1:37" ht="11.1" customHeight="1">
      <c r="A13" s="421"/>
      <c r="B13" s="171">
        <f>B12+1</f>
        <v>2</v>
      </c>
      <c r="C13" s="78" t="str">
        <f t="shared" ca="1" si="2"/>
        <v>Alliant Energy Corporation</v>
      </c>
      <c r="D13" s="84" t="str">
        <f t="shared" ca="1" si="3"/>
        <v>LNT</v>
      </c>
      <c r="F13" s="413">
        <f t="shared" ref="F13:F49" ca="1" si="14">IF(ISNA($I13),"",OFFSET(INDIRECT(F$6&amp;F$8),$I13-1,F$9-1))</f>
        <v>19.368251772407376</v>
      </c>
      <c r="G13" s="414">
        <f t="shared" ref="G13:G49" ca="1" si="15">IF( ISNA( $I13 ), "", OFFSET( INDIRECT( G$6 &amp; G$8 ), $I13 - 1, G$9 - 1 ) )</f>
        <v>15175.324000000002</v>
      </c>
      <c r="H13" s="414"/>
      <c r="I13" s="547">
        <f t="shared" ca="1" si="4"/>
        <v>11</v>
      </c>
      <c r="K13" s="413">
        <f t="shared" ref="K13:L49" ca="1" si="16">IF( ISNA( $O13 ), "", OFFSET( INDIRECT( K$6 &amp; K$8 ), $O13 - 1, K$9 - 1 ) )</f>
        <v>59.14</v>
      </c>
      <c r="L13" s="415">
        <f t="shared" ca="1" si="16"/>
        <v>256.60000000000002</v>
      </c>
      <c r="M13" s="414">
        <f t="shared" ref="M13:M49" ca="1" si="17">IF( ISNA( $O13 ), "", K13 * L13 )</f>
        <v>15175.324000000002</v>
      </c>
      <c r="N13" s="414"/>
      <c r="O13" s="547">
        <f t="shared" ca="1" si="5"/>
        <v>108</v>
      </c>
      <c r="Q13" s="547">
        <f t="shared" ref="Q13:Q49" ca="1" si="18">MATCH( $D13, INDIRECT( Q$7 &amp; Q$8 ), 0 )</f>
        <v>17</v>
      </c>
      <c r="R13" s="171" t="str">
        <f t="shared" ca="1" si="6"/>
        <v>R</v>
      </c>
      <c r="S13" s="416">
        <f t="shared" ca="1" si="6"/>
        <v>0</v>
      </c>
      <c r="U13" s="417">
        <f t="shared" ref="U13:U49" ca="1" si="19">F13</f>
        <v>19.368251772407376</v>
      </c>
      <c r="V13" s="418">
        <f t="shared" ref="V13:V49" ca="1" si="20">M13</f>
        <v>15175.324000000002</v>
      </c>
      <c r="X13" s="410">
        <f t="shared" ca="1" si="7"/>
        <v>1.4919024976773859E-2</v>
      </c>
      <c r="Y13" s="410">
        <f t="shared" ca="1" si="8"/>
        <v>1.7679744508178406E-2</v>
      </c>
      <c r="Z13" s="410" t="str">
        <f t="shared" ca="1" si="8"/>
        <v/>
      </c>
      <c r="AA13" s="410" t="str">
        <f t="shared" ca="1" si="8"/>
        <v/>
      </c>
      <c r="AC13" s="419">
        <f t="shared" ca="1" si="9"/>
        <v>19.368251772407376</v>
      </c>
      <c r="AD13" s="419">
        <f t="shared" ref="AD13:AF32" ca="1" si="21">IF( $R13 = AD$4, $U13, "" )</f>
        <v>19.368251772407376</v>
      </c>
      <c r="AE13" s="419" t="str">
        <f t="shared" ca="1" si="10"/>
        <v/>
      </c>
      <c r="AF13" s="419" t="str">
        <f t="shared" ca="1" si="10"/>
        <v/>
      </c>
      <c r="AG13" s="420"/>
      <c r="AH13" s="416">
        <f t="shared" ca="1" si="11"/>
        <v>0.2889554319489902</v>
      </c>
      <c r="AI13" s="416">
        <f t="shared" ref="AI13:AI49" ca="1" si="22">IF( $R13 = AI$4, Y13 * AD13, "" )</f>
        <v>0.34242574290623601</v>
      </c>
      <c r="AJ13" s="416" t="str">
        <f t="shared" ca="1" si="12"/>
        <v/>
      </c>
      <c r="AK13" s="416" t="str">
        <f t="shared" ca="1" si="13"/>
        <v/>
      </c>
    </row>
    <row r="14" spans="1:37" ht="11.1" customHeight="1">
      <c r="A14" s="421"/>
      <c r="B14" s="171">
        <f t="shared" ref="B14:B49" si="23">B13+1</f>
        <v>3</v>
      </c>
      <c r="C14" s="78" t="str">
        <f t="shared" ca="1" si="2"/>
        <v>Ameren Corporation</v>
      </c>
      <c r="D14" s="84" t="str">
        <f t="shared" ca="1" si="3"/>
        <v>AEE</v>
      </c>
      <c r="F14" s="413">
        <f t="shared" ca="1" si="14"/>
        <v>27.423580301773519</v>
      </c>
      <c r="G14" s="414">
        <f t="shared" ca="1" si="15"/>
        <v>23782.552</v>
      </c>
      <c r="H14" s="414"/>
      <c r="I14" s="547">
        <f t="shared" ca="1" si="4"/>
        <v>12</v>
      </c>
      <c r="K14" s="413">
        <f t="shared" ca="1" si="16"/>
        <v>89.14</v>
      </c>
      <c r="L14" s="415">
        <f t="shared" ca="1" si="16"/>
        <v>266.8</v>
      </c>
      <c r="M14" s="414">
        <f t="shared" ca="1" si="17"/>
        <v>23782.552</v>
      </c>
      <c r="N14" s="414"/>
      <c r="O14" s="547">
        <f t="shared" ca="1" si="5"/>
        <v>65</v>
      </c>
      <c r="Q14" s="547">
        <f t="shared" ca="1" si="18"/>
        <v>18</v>
      </c>
      <c r="R14" s="171" t="str">
        <f t="shared" ca="1" si="6"/>
        <v>R</v>
      </c>
      <c r="S14" s="416">
        <f t="shared" ca="1" si="6"/>
        <v>0</v>
      </c>
      <c r="U14" s="417">
        <f t="shared" ca="1" si="19"/>
        <v>27.423580301773519</v>
      </c>
      <c r="V14" s="418">
        <f t="shared" ca="1" si="20"/>
        <v>23782.552</v>
      </c>
      <c r="X14" s="410">
        <f t="shared" ca="1" si="7"/>
        <v>2.3380883815029126E-2</v>
      </c>
      <c r="Y14" s="410">
        <f t="shared" ca="1" si="8"/>
        <v>2.7707444210908927E-2</v>
      </c>
      <c r="Z14" s="410" t="str">
        <f t="shared" ca="1" si="8"/>
        <v/>
      </c>
      <c r="AA14" s="410" t="str">
        <f t="shared" ca="1" si="8"/>
        <v/>
      </c>
      <c r="AC14" s="419">
        <f t="shared" ca="1" si="9"/>
        <v>27.423580301773519</v>
      </c>
      <c r="AD14" s="419">
        <f t="shared" ca="1" si="21"/>
        <v>27.423580301773519</v>
      </c>
      <c r="AE14" s="419" t="str">
        <f t="shared" ca="1" si="10"/>
        <v/>
      </c>
      <c r="AF14" s="419" t="str">
        <f t="shared" ca="1" si="10"/>
        <v/>
      </c>
      <c r="AG14" s="420"/>
      <c r="AH14" s="416">
        <f t="shared" ca="1" si="11"/>
        <v>0.64118754482788798</v>
      </c>
      <c r="AI14" s="416">
        <f t="shared" ca="1" si="22"/>
        <v>0.75983732127477077</v>
      </c>
      <c r="AJ14" s="416" t="str">
        <f t="shared" ca="1" si="12"/>
        <v/>
      </c>
      <c r="AK14" s="416" t="str">
        <f t="shared" ca="1" si="13"/>
        <v/>
      </c>
    </row>
    <row r="15" spans="1:37" ht="11.1" customHeight="1">
      <c r="A15" s="421"/>
      <c r="B15" s="171">
        <f t="shared" si="23"/>
        <v>4</v>
      </c>
      <c r="C15" s="78" t="str">
        <f t="shared" ca="1" si="2"/>
        <v>American Electric Power Company, Inc.</v>
      </c>
      <c r="D15" s="84" t="str">
        <f t="shared" ca="1" si="3"/>
        <v>AEP</v>
      </c>
      <c r="F15" s="413">
        <f t="shared" ca="1" si="14"/>
        <v>18.03910868587284</v>
      </c>
      <c r="G15" s="414">
        <f t="shared" ca="1" si="15"/>
        <v>49085.624633480002</v>
      </c>
      <c r="H15" s="414"/>
      <c r="I15" s="547">
        <f t="shared" ca="1" si="4"/>
        <v>13</v>
      </c>
      <c r="K15" s="413">
        <f t="shared" ca="1" si="16"/>
        <v>92.23</v>
      </c>
      <c r="L15" s="415">
        <f t="shared" ca="1" si="16"/>
        <v>532.20887600000003</v>
      </c>
      <c r="M15" s="414">
        <f t="shared" ca="1" si="17"/>
        <v>49085.624633480002</v>
      </c>
      <c r="N15" s="414"/>
      <c r="O15" s="547">
        <f t="shared" ca="1" si="5"/>
        <v>11</v>
      </c>
      <c r="Q15" s="547">
        <f t="shared" ca="1" si="18"/>
        <v>19</v>
      </c>
      <c r="R15" s="171" t="str">
        <f t="shared" ca="1" si="6"/>
        <v>R</v>
      </c>
      <c r="S15" s="416">
        <f t="shared" ca="1" si="6"/>
        <v>0</v>
      </c>
      <c r="U15" s="417">
        <f t="shared" ca="1" si="19"/>
        <v>18.03910868587284</v>
      </c>
      <c r="V15" s="418">
        <f t="shared" ca="1" si="20"/>
        <v>49085.624633480002</v>
      </c>
      <c r="X15" s="410">
        <f t="shared" ca="1" si="7"/>
        <v>4.8256607892354343E-2</v>
      </c>
      <c r="Y15" s="410">
        <f t="shared" ca="1" si="8"/>
        <v>5.7186344261531061E-2</v>
      </c>
      <c r="Z15" s="410" t="str">
        <f t="shared" ca="1" si="8"/>
        <v/>
      </c>
      <c r="AA15" s="410" t="str">
        <f t="shared" ca="1" si="8"/>
        <v/>
      </c>
      <c r="AC15" s="419">
        <f t="shared" ca="1" si="9"/>
        <v>18.03910868587284</v>
      </c>
      <c r="AD15" s="419">
        <f t="shared" ca="1" si="21"/>
        <v>18.03910868587284</v>
      </c>
      <c r="AE15" s="419" t="str">
        <f t="shared" ca="1" si="10"/>
        <v/>
      </c>
      <c r="AF15" s="419" t="str">
        <f t="shared" ca="1" si="10"/>
        <v/>
      </c>
      <c r="AG15" s="420"/>
      <c r="AH15" s="416">
        <f t="shared" ca="1" si="11"/>
        <v>0.87050619458172906</v>
      </c>
      <c r="AI15" s="416">
        <f t="shared" ca="1" si="22"/>
        <v>1.0315906794814993</v>
      </c>
      <c r="AJ15" s="416" t="str">
        <f t="shared" ca="1" si="12"/>
        <v/>
      </c>
      <c r="AK15" s="416" t="str">
        <f t="shared" ca="1" si="13"/>
        <v/>
      </c>
    </row>
    <row r="16" spans="1:37" ht="11.1" customHeight="1">
      <c r="B16" s="171">
        <f t="shared" si="23"/>
        <v>5</v>
      </c>
      <c r="C16" s="78" t="str">
        <f t="shared" ca="1" si="2"/>
        <v>Avista Corporation</v>
      </c>
      <c r="D16" s="84" t="str">
        <f t="shared" ca="1" si="3"/>
        <v>AVA</v>
      </c>
      <c r="F16" s="413">
        <f t="shared" ca="1" si="14"/>
        <v>7.9791870647401675</v>
      </c>
      <c r="G16" s="414">
        <f t="shared" ca="1" si="15"/>
        <v>2887.7626800000003</v>
      </c>
      <c r="H16" s="414"/>
      <c r="I16" s="547">
        <f t="shared" ca="1" si="4"/>
        <v>14</v>
      </c>
      <c r="K16" s="413">
        <f t="shared" ca="1" si="16"/>
        <v>36.630000000000003</v>
      </c>
      <c r="L16" s="415">
        <f t="shared" ca="1" si="16"/>
        <v>78.835999999999999</v>
      </c>
      <c r="M16" s="414">
        <f t="shared" ca="1" si="17"/>
        <v>2887.7626800000003</v>
      </c>
      <c r="N16" s="414"/>
      <c r="O16" s="547">
        <f t="shared" ca="1" si="5"/>
        <v>109</v>
      </c>
      <c r="Q16" s="547">
        <f t="shared" ca="1" si="18"/>
        <v>20</v>
      </c>
      <c r="R16" s="171" t="str">
        <f t="shared" ca="1" si="6"/>
        <v>R</v>
      </c>
      <c r="S16" s="416">
        <f t="shared" ca="1" si="6"/>
        <v>0</v>
      </c>
      <c r="U16" s="417">
        <f t="shared" ca="1" si="19"/>
        <v>7.9791870647401675</v>
      </c>
      <c r="V16" s="418">
        <f t="shared" ca="1" si="20"/>
        <v>2887.7626800000003</v>
      </c>
      <c r="X16" s="410">
        <f t="shared" ca="1" si="7"/>
        <v>2.8389906897483977E-3</v>
      </c>
      <c r="Y16" s="410">
        <f t="shared" ca="1" si="8"/>
        <v>3.3643371556780302E-3</v>
      </c>
      <c r="Z16" s="410" t="str">
        <f t="shared" ca="1" si="8"/>
        <v/>
      </c>
      <c r="AA16" s="410" t="str">
        <f t="shared" ca="1" si="8"/>
        <v/>
      </c>
      <c r="AC16" s="419">
        <f t="shared" ca="1" si="9"/>
        <v>7.9791870647401675</v>
      </c>
      <c r="AD16" s="419">
        <f t="shared" ca="1" si="21"/>
        <v>7.9791870647401675</v>
      </c>
      <c r="AE16" s="419" t="str">
        <f t="shared" ca="1" si="10"/>
        <v/>
      </c>
      <c r="AF16" s="419" t="str">
        <f t="shared" ca="1" si="10"/>
        <v/>
      </c>
      <c r="AG16" s="420"/>
      <c r="AH16" s="416">
        <f t="shared" ca="1" si="11"/>
        <v>2.2652837788558183E-2</v>
      </c>
      <c r="AI16" s="416">
        <f t="shared" ca="1" si="22"/>
        <v>2.6844675514010867E-2</v>
      </c>
      <c r="AJ16" s="416" t="str">
        <f t="shared" ca="1" si="12"/>
        <v/>
      </c>
      <c r="AK16" s="416" t="str">
        <f t="shared" ca="1" si="13"/>
        <v/>
      </c>
    </row>
    <row r="17" spans="1:37" ht="11.1" customHeight="1">
      <c r="B17" s="171">
        <f t="shared" si="23"/>
        <v>6</v>
      </c>
      <c r="C17" s="78" t="str">
        <f t="shared" ca="1" si="2"/>
        <v>Black Hills Corporation</v>
      </c>
      <c r="D17" s="84" t="str">
        <f t="shared" ca="1" si="3"/>
        <v>BKH</v>
      </c>
      <c r="F17" s="413">
        <f t="shared" ca="1" si="14"/>
        <v>13.502211956654087</v>
      </c>
      <c r="G17" s="414">
        <f t="shared" ca="1" si="15"/>
        <v>4125.66</v>
      </c>
      <c r="H17" s="414"/>
      <c r="I17" s="547">
        <f t="shared" ca="1" si="4"/>
        <v>15</v>
      </c>
      <c r="K17" s="413">
        <f t="shared" ca="1" si="16"/>
        <v>58.52</v>
      </c>
      <c r="L17" s="415">
        <f t="shared" ca="1" si="16"/>
        <v>70.5</v>
      </c>
      <c r="M17" s="414">
        <f t="shared" ca="1" si="17"/>
        <v>4125.66</v>
      </c>
      <c r="N17" s="414"/>
      <c r="O17" s="547">
        <f t="shared" ca="1" si="5"/>
        <v>14</v>
      </c>
      <c r="Q17" s="547">
        <f t="shared" ca="1" si="18"/>
        <v>21</v>
      </c>
      <c r="R17" s="171" t="str">
        <f t="shared" ca="1" si="6"/>
        <v>R</v>
      </c>
      <c r="S17" s="416">
        <f t="shared" ca="1" si="6"/>
        <v>0</v>
      </c>
      <c r="U17" s="417">
        <f t="shared" ca="1" si="19"/>
        <v>13.502211956654087</v>
      </c>
      <c r="V17" s="418">
        <f t="shared" ca="1" si="20"/>
        <v>4125.66</v>
      </c>
      <c r="X17" s="410">
        <f t="shared" ca="1" si="7"/>
        <v>4.0559809191340378E-3</v>
      </c>
      <c r="Y17" s="410">
        <f t="shared" ca="1" si="8"/>
        <v>4.8065276713440391E-3</v>
      </c>
      <c r="Z17" s="410" t="str">
        <f t="shared" ca="1" si="8"/>
        <v/>
      </c>
      <c r="AA17" s="410" t="str">
        <f t="shared" ca="1" si="8"/>
        <v/>
      </c>
      <c r="AC17" s="419">
        <f t="shared" ca="1" si="9"/>
        <v>13.502211956654087</v>
      </c>
      <c r="AD17" s="419">
        <f t="shared" ca="1" si="21"/>
        <v>13.502211956654087</v>
      </c>
      <c r="AE17" s="419" t="str">
        <f t="shared" ca="1" si="10"/>
        <v/>
      </c>
      <c r="AF17" s="419" t="str">
        <f t="shared" ca="1" si="10"/>
        <v/>
      </c>
      <c r="AG17" s="420"/>
      <c r="AH17" s="416">
        <f t="shared" ca="1" si="11"/>
        <v>5.4764714062292434E-2</v>
      </c>
      <c r="AI17" s="416">
        <f t="shared" ca="1" si="22"/>
        <v>6.4898755394010202E-2</v>
      </c>
      <c r="AJ17" s="416" t="str">
        <f t="shared" ca="1" si="12"/>
        <v/>
      </c>
      <c r="AK17" s="416" t="str">
        <f t="shared" ca="1" si="13"/>
        <v/>
      </c>
    </row>
    <row r="18" spans="1:37" ht="11.1" customHeight="1">
      <c r="B18" s="171">
        <f t="shared" si="23"/>
        <v>7</v>
      </c>
      <c r="C18" s="78" t="str">
        <f t="shared" ca="1" si="2"/>
        <v>CenterPoint Energy, Inc.</v>
      </c>
      <c r="D18" s="84" t="str">
        <f t="shared" ca="1" si="3"/>
        <v>CNP</v>
      </c>
      <c r="F18" s="413">
        <f t="shared" ca="1" si="14"/>
        <v>14.151704743634163</v>
      </c>
      <c r="G18" s="414">
        <f t="shared" ca="1" si="15"/>
        <v>20554.59881</v>
      </c>
      <c r="H18" s="414"/>
      <c r="I18" s="547">
        <f t="shared" ca="1" si="4"/>
        <v>16</v>
      </c>
      <c r="K18" s="413">
        <f t="shared" ca="1" si="16"/>
        <v>31.73</v>
      </c>
      <c r="L18" s="415">
        <f t="shared" ca="1" si="16"/>
        <v>647.79700000000003</v>
      </c>
      <c r="M18" s="414">
        <f t="shared" ca="1" si="17"/>
        <v>20554.59881</v>
      </c>
      <c r="N18" s="414"/>
      <c r="O18" s="547">
        <f t="shared" ca="1" si="5"/>
        <v>38</v>
      </c>
      <c r="Q18" s="547">
        <f t="shared" ca="1" si="18"/>
        <v>22</v>
      </c>
      <c r="R18" s="171" t="str">
        <f t="shared" ca="1" si="6"/>
        <v>R</v>
      </c>
      <c r="S18" s="416">
        <f t="shared" ca="1" si="6"/>
        <v>0</v>
      </c>
      <c r="U18" s="417">
        <f t="shared" ca="1" si="19"/>
        <v>14.151704743634163</v>
      </c>
      <c r="V18" s="418">
        <f t="shared" ca="1" si="20"/>
        <v>20554.59881</v>
      </c>
      <c r="X18" s="410">
        <f t="shared" ca="1" si="7"/>
        <v>2.0207448159522405E-2</v>
      </c>
      <c r="Y18" s="410">
        <f t="shared" ca="1" si="8"/>
        <v>2.3946774080665943E-2</v>
      </c>
      <c r="Z18" s="410" t="str">
        <f t="shared" ca="1" si="8"/>
        <v/>
      </c>
      <c r="AA18" s="410" t="str">
        <f t="shared" ca="1" si="8"/>
        <v/>
      </c>
      <c r="AC18" s="419">
        <f t="shared" ca="1" si="9"/>
        <v>14.151704743634163</v>
      </c>
      <c r="AD18" s="419">
        <f t="shared" ca="1" si="21"/>
        <v>14.151704743634163</v>
      </c>
      <c r="AE18" s="419" t="str">
        <f t="shared" ca="1" si="10"/>
        <v/>
      </c>
      <c r="AF18" s="419" t="str">
        <f t="shared" ca="1" si="10"/>
        <v/>
      </c>
      <c r="AG18" s="420"/>
      <c r="AH18" s="416">
        <f t="shared" ca="1" si="11"/>
        <v>0.28596983997585468</v>
      </c>
      <c r="AI18" s="416">
        <f t="shared" ca="1" si="22"/>
        <v>0.33888767635209582</v>
      </c>
      <c r="AJ18" s="416" t="str">
        <f t="shared" ca="1" si="12"/>
        <v/>
      </c>
      <c r="AK18" s="416" t="str">
        <f t="shared" ca="1" si="13"/>
        <v/>
      </c>
    </row>
    <row r="19" spans="1:37" ht="11.1" customHeight="1">
      <c r="A19" s="422"/>
      <c r="B19" s="171">
        <f t="shared" si="23"/>
        <v>8</v>
      </c>
      <c r="C19" s="78" t="str">
        <f t="shared" ca="1" si="2"/>
        <v>CMS Energy Corporation</v>
      </c>
      <c r="D19" s="84" t="str">
        <f t="shared" ca="1" si="3"/>
        <v>CMS</v>
      </c>
      <c r="F19" s="413">
        <f t="shared" ca="1" si="14"/>
        <v>18.516358236624409</v>
      </c>
      <c r="G19" s="414">
        <f t="shared" ca="1" si="15"/>
        <v>19861.7</v>
      </c>
      <c r="H19" s="414"/>
      <c r="I19" s="547">
        <f t="shared" ca="1" si="4"/>
        <v>17</v>
      </c>
      <c r="K19" s="413">
        <f t="shared" ca="1" si="16"/>
        <v>66.650000000000006</v>
      </c>
      <c r="L19" s="415">
        <f t="shared" ca="1" si="16"/>
        <v>298</v>
      </c>
      <c r="M19" s="414">
        <f t="shared" ca="1" si="17"/>
        <v>19861.7</v>
      </c>
      <c r="N19" s="414"/>
      <c r="O19" s="547">
        <f t="shared" ca="1" si="5"/>
        <v>71</v>
      </c>
      <c r="Q19" s="547">
        <f t="shared" ca="1" si="18"/>
        <v>23</v>
      </c>
      <c r="R19" s="171" t="str">
        <f t="shared" ca="1" si="6"/>
        <v>R</v>
      </c>
      <c r="S19" s="416">
        <f t="shared" ca="1" si="6"/>
        <v>0</v>
      </c>
      <c r="U19" s="417">
        <f t="shared" ca="1" si="19"/>
        <v>18.516358236624409</v>
      </c>
      <c r="V19" s="418">
        <f t="shared" ca="1" si="20"/>
        <v>19861.7</v>
      </c>
      <c r="X19" s="410">
        <f t="shared" ca="1" si="7"/>
        <v>1.9526251853416068E-2</v>
      </c>
      <c r="Y19" s="410">
        <f t="shared" ca="1" si="8"/>
        <v>2.3139524500306353E-2</v>
      </c>
      <c r="Z19" s="410" t="str">
        <f t="shared" ca="1" si="8"/>
        <v/>
      </c>
      <c r="AA19" s="410" t="str">
        <f t="shared" ca="1" si="8"/>
        <v/>
      </c>
      <c r="AC19" s="419">
        <f t="shared" ca="1" si="9"/>
        <v>18.516358236624409</v>
      </c>
      <c r="AD19" s="419">
        <f t="shared" ca="1" si="21"/>
        <v>18.516358236624409</v>
      </c>
      <c r="AE19" s="419" t="str">
        <f t="shared" ca="1" si="10"/>
        <v/>
      </c>
      <c r="AF19" s="419" t="str">
        <f t="shared" ca="1" si="10"/>
        <v/>
      </c>
      <c r="AG19" s="420"/>
      <c r="AH19" s="416">
        <f t="shared" ca="1" si="11"/>
        <v>0.36155507433640327</v>
      </c>
      <c r="AI19" s="416">
        <f t="shared" ca="1" si="22"/>
        <v>0.42845972507281987</v>
      </c>
      <c r="AJ19" s="416" t="str">
        <f t="shared" ca="1" si="12"/>
        <v/>
      </c>
      <c r="AK19" s="416" t="str">
        <f t="shared" ca="1" si="13"/>
        <v/>
      </c>
    </row>
    <row r="20" spans="1:37" ht="11.1" customHeight="1">
      <c r="A20" s="423"/>
      <c r="B20" s="171">
        <f t="shared" si="23"/>
        <v>9</v>
      </c>
      <c r="C20" s="78" t="str">
        <f t="shared" ca="1" si="2"/>
        <v>Consolidated Edison, Inc.</v>
      </c>
      <c r="D20" s="84" t="str">
        <f t="shared" ca="1" si="3"/>
        <v>ED</v>
      </c>
      <c r="F20" s="413">
        <f t="shared" ca="1" si="14"/>
        <v>1.6355522821581925</v>
      </c>
      <c r="G20" s="414">
        <f t="shared" ca="1" si="15"/>
        <v>30891.425999999999</v>
      </c>
      <c r="H20" s="414"/>
      <c r="I20" s="547">
        <f t="shared" ca="1" si="4"/>
        <v>18</v>
      </c>
      <c r="K20" s="413">
        <f t="shared" ca="1" si="16"/>
        <v>89.23</v>
      </c>
      <c r="L20" s="415">
        <f t="shared" ca="1" si="16"/>
        <v>346.2</v>
      </c>
      <c r="M20" s="414">
        <f t="shared" ca="1" si="17"/>
        <v>30891.425999999999</v>
      </c>
      <c r="N20" s="414"/>
      <c r="O20" s="547">
        <f t="shared" ca="1" si="5"/>
        <v>76</v>
      </c>
      <c r="Q20" s="547">
        <f t="shared" ca="1" si="18"/>
        <v>24</v>
      </c>
      <c r="R20" s="171" t="str">
        <f t="shared" ca="1" si="6"/>
        <v>R</v>
      </c>
      <c r="S20" s="416">
        <f t="shared" ca="1" si="6"/>
        <v>0</v>
      </c>
      <c r="U20" s="417">
        <f t="shared" ca="1" si="19"/>
        <v>1.6355522821581925</v>
      </c>
      <c r="V20" s="418">
        <f t="shared" ca="1" si="20"/>
        <v>30891.425999999999</v>
      </c>
      <c r="X20" s="410">
        <f t="shared" ca="1" si="7"/>
        <v>3.0369694647848132E-2</v>
      </c>
      <c r="Y20" s="410">
        <f t="shared" ca="1" si="8"/>
        <v>3.598951292066644E-2</v>
      </c>
      <c r="Z20" s="410" t="str">
        <f t="shared" ca="1" si="8"/>
        <v/>
      </c>
      <c r="AA20" s="410" t="str">
        <f t="shared" ca="1" si="8"/>
        <v/>
      </c>
      <c r="AC20" s="419">
        <f t="shared" ca="1" si="9"/>
        <v>1.6355522821581925</v>
      </c>
      <c r="AD20" s="419">
        <f t="shared" ca="1" si="21"/>
        <v>1.6355522821581925</v>
      </c>
      <c r="AE20" s="419" t="str">
        <f t="shared" ca="1" si="10"/>
        <v/>
      </c>
      <c r="AF20" s="419" t="str">
        <f t="shared" ca="1" si="10"/>
        <v/>
      </c>
      <c r="AG20" s="420"/>
      <c r="AH20" s="416">
        <f t="shared" ca="1" si="11"/>
        <v>4.9671223389735453E-2</v>
      </c>
      <c r="AI20" s="416">
        <f t="shared" ca="1" si="22"/>
        <v>5.8862729991157749E-2</v>
      </c>
      <c r="AJ20" s="416" t="str">
        <f t="shared" ca="1" si="12"/>
        <v/>
      </c>
      <c r="AK20" s="416" t="str">
        <f t="shared" ca="1" si="13"/>
        <v/>
      </c>
    </row>
    <row r="21" spans="1:37" ht="11.1" customHeight="1">
      <c r="A21" s="423"/>
      <c r="B21" s="171">
        <f t="shared" si="23"/>
        <v>10</v>
      </c>
      <c r="C21" s="78" t="str">
        <f t="shared" ca="1" si="2"/>
        <v>Dominion Energy, Inc.</v>
      </c>
      <c r="D21" s="84" t="str">
        <f t="shared" ca="1" si="3"/>
        <v>D</v>
      </c>
      <c r="F21" s="413">
        <f t="shared" ca="1" si="14"/>
        <v>20.56886376040832</v>
      </c>
      <c r="G21" s="414">
        <f t="shared" ca="1" si="15"/>
        <v>45188.54</v>
      </c>
      <c r="H21" s="414"/>
      <c r="I21" s="547">
        <f t="shared" ca="1" si="4"/>
        <v>19</v>
      </c>
      <c r="K21" s="413">
        <f t="shared" ca="1" si="16"/>
        <v>53.86</v>
      </c>
      <c r="L21" s="415">
        <f t="shared" ca="1" si="16"/>
        <v>839</v>
      </c>
      <c r="M21" s="414">
        <f t="shared" ca="1" si="17"/>
        <v>45188.54</v>
      </c>
      <c r="N21" s="414"/>
      <c r="O21" s="547">
        <f t="shared" ca="1" si="5"/>
        <v>25</v>
      </c>
      <c r="Q21" s="547">
        <f t="shared" ca="1" si="18"/>
        <v>25</v>
      </c>
      <c r="R21" s="171" t="str">
        <f t="shared" ca="1" si="6"/>
        <v>R</v>
      </c>
      <c r="S21" s="416">
        <f t="shared" ca="1" si="6"/>
        <v>0</v>
      </c>
      <c r="U21" s="417">
        <f t="shared" ca="1" si="19"/>
        <v>20.56886376040832</v>
      </c>
      <c r="V21" s="418">
        <f t="shared" ca="1" si="20"/>
        <v>45188.54</v>
      </c>
      <c r="X21" s="410">
        <f t="shared" ca="1" si="7"/>
        <v>4.4425341885546858E-2</v>
      </c>
      <c r="Y21" s="410">
        <f t="shared" ca="1" si="8"/>
        <v>5.2646114303562815E-2</v>
      </c>
      <c r="Z21" s="410" t="str">
        <f t="shared" ca="1" si="8"/>
        <v/>
      </c>
      <c r="AA21" s="410" t="str">
        <f t="shared" ca="1" si="8"/>
        <v/>
      </c>
      <c r="AC21" s="419">
        <f t="shared" ca="1" si="9"/>
        <v>20.56886376040832</v>
      </c>
      <c r="AD21" s="419">
        <f t="shared" ca="1" si="21"/>
        <v>20.56886376040832</v>
      </c>
      <c r="AE21" s="419" t="str">
        <f t="shared" ca="1" si="10"/>
        <v/>
      </c>
      <c r="AF21" s="419" t="str">
        <f t="shared" ca="1" si="10"/>
        <v/>
      </c>
      <c r="AG21" s="420"/>
      <c r="AH21" s="416">
        <f t="shared" ca="1" si="11"/>
        <v>0.91377880475337458</v>
      </c>
      <c r="AI21" s="416">
        <f t="shared" ca="1" si="22"/>
        <v>1.0828707526248673</v>
      </c>
      <c r="AJ21" s="416" t="str">
        <f t="shared" ca="1" si="12"/>
        <v/>
      </c>
      <c r="AK21" s="416" t="str">
        <f t="shared" ca="1" si="13"/>
        <v/>
      </c>
    </row>
    <row r="22" spans="1:37" ht="11.1" customHeight="1">
      <c r="A22" s="423"/>
      <c r="B22" s="171">
        <f t="shared" si="23"/>
        <v>11</v>
      </c>
      <c r="C22" s="78" t="str">
        <f t="shared" ca="1" si="2"/>
        <v>DTE Energy Company</v>
      </c>
      <c r="D22" s="84" t="str">
        <f t="shared" ca="1" si="3"/>
        <v>DTE</v>
      </c>
      <c r="F22" s="413">
        <f t="shared" ca="1" si="14"/>
        <v>13.426002844596606</v>
      </c>
      <c r="G22" s="414">
        <f t="shared" ca="1" si="15"/>
        <v>24995.25</v>
      </c>
      <c r="H22" s="414"/>
      <c r="I22" s="547">
        <f t="shared" ca="1" si="4"/>
        <v>20</v>
      </c>
      <c r="K22" s="413">
        <f t="shared" ca="1" si="16"/>
        <v>120.75</v>
      </c>
      <c r="L22" s="415">
        <f t="shared" ca="1" si="16"/>
        <v>207</v>
      </c>
      <c r="M22" s="414">
        <f t="shared" ca="1" si="17"/>
        <v>24995.25</v>
      </c>
      <c r="N22" s="414"/>
      <c r="O22" s="547">
        <f t="shared" ca="1" si="5"/>
        <v>24</v>
      </c>
      <c r="Q22" s="547">
        <f t="shared" ca="1" si="18"/>
        <v>26</v>
      </c>
      <c r="R22" s="171" t="str">
        <f t="shared" ca="1" si="6"/>
        <v>R</v>
      </c>
      <c r="S22" s="416">
        <f t="shared" ca="1" si="6"/>
        <v>0</v>
      </c>
      <c r="U22" s="417">
        <f t="shared" ca="1" si="19"/>
        <v>13.426002844596606</v>
      </c>
      <c r="V22" s="418">
        <f t="shared" ca="1" si="20"/>
        <v>24995.25</v>
      </c>
      <c r="X22" s="410">
        <f t="shared" ca="1" si="7"/>
        <v>2.4573100320672347E-2</v>
      </c>
      <c r="Y22" s="410">
        <f t="shared" ca="1" si="8"/>
        <v>2.9120276701706416E-2</v>
      </c>
      <c r="Z22" s="410" t="str">
        <f t="shared" ca="1" si="8"/>
        <v/>
      </c>
      <c r="AA22" s="410" t="str">
        <f t="shared" ca="1" si="8"/>
        <v/>
      </c>
      <c r="AC22" s="419">
        <f t="shared" ca="1" si="9"/>
        <v>13.426002844596606</v>
      </c>
      <c r="AD22" s="419">
        <f t="shared" ca="1" si="21"/>
        <v>13.426002844596606</v>
      </c>
      <c r="AE22" s="419" t="str">
        <f t="shared" ca="1" si="10"/>
        <v/>
      </c>
      <c r="AF22" s="419" t="str">
        <f t="shared" ca="1" si="10"/>
        <v/>
      </c>
      <c r="AG22" s="420"/>
      <c r="AH22" s="416">
        <f t="shared" ca="1" si="11"/>
        <v>0.32991851480590473</v>
      </c>
      <c r="AI22" s="416">
        <f t="shared" ca="1" si="22"/>
        <v>0.39096891783255061</v>
      </c>
      <c r="AJ22" s="416" t="str">
        <f t="shared" ca="1" si="12"/>
        <v/>
      </c>
      <c r="AK22" s="416" t="str">
        <f t="shared" ca="1" si="13"/>
        <v/>
      </c>
    </row>
    <row r="23" spans="1:37" ht="11.1" customHeight="1">
      <c r="A23" s="423"/>
      <c r="B23" s="171">
        <f t="shared" si="23"/>
        <v>12</v>
      </c>
      <c r="C23" s="78" t="str">
        <f t="shared" ca="1" si="2"/>
        <v>Duke Energy Corporation</v>
      </c>
      <c r="D23" s="84" t="str">
        <f t="shared" ca="1" si="3"/>
        <v>DUK</v>
      </c>
      <c r="F23" s="413">
        <f t="shared" ca="1" si="14"/>
        <v>15.487273010956116</v>
      </c>
      <c r="G23" s="414">
        <f t="shared" ca="1" si="15"/>
        <v>83175.28</v>
      </c>
      <c r="H23" s="414"/>
      <c r="I23" s="547">
        <f t="shared" ca="1" si="4"/>
        <v>21</v>
      </c>
      <c r="K23" s="413">
        <f t="shared" ca="1" si="16"/>
        <v>107.74</v>
      </c>
      <c r="L23" s="415">
        <f t="shared" ca="1" si="16"/>
        <v>772</v>
      </c>
      <c r="M23" s="414">
        <f t="shared" ca="1" si="17"/>
        <v>83175.28</v>
      </c>
      <c r="N23" s="414"/>
      <c r="O23" s="547">
        <f t="shared" ca="1" si="5"/>
        <v>26</v>
      </c>
      <c r="Q23" s="547">
        <f t="shared" ca="1" si="18"/>
        <v>27</v>
      </c>
      <c r="R23" s="171" t="str">
        <f t="shared" ca="1" si="6"/>
        <v>R</v>
      </c>
      <c r="S23" s="416">
        <f t="shared" ca="1" si="6"/>
        <v>0</v>
      </c>
      <c r="U23" s="417">
        <f t="shared" ca="1" si="19"/>
        <v>15.487273010956116</v>
      </c>
      <c r="V23" s="418">
        <f t="shared" ca="1" si="20"/>
        <v>83175.28</v>
      </c>
      <c r="X23" s="410">
        <f t="shared" ca="1" si="7"/>
        <v>8.1770516383713396E-2</v>
      </c>
      <c r="Y23" s="410">
        <f t="shared" ca="1" si="8"/>
        <v>9.6901898094314223E-2</v>
      </c>
      <c r="Z23" s="410" t="str">
        <f t="shared" ca="1" si="8"/>
        <v/>
      </c>
      <c r="AA23" s="410" t="str">
        <f t="shared" ca="1" si="8"/>
        <v/>
      </c>
      <c r="AC23" s="419">
        <f t="shared" ca="1" si="9"/>
        <v>15.487273010956116</v>
      </c>
      <c r="AD23" s="419">
        <f t="shared" ca="1" si="21"/>
        <v>15.487273010956116</v>
      </c>
      <c r="AE23" s="419" t="str">
        <f t="shared" ca="1" si="10"/>
        <v/>
      </c>
      <c r="AF23" s="419" t="str">
        <f t="shared" ca="1" si="10"/>
        <v/>
      </c>
      <c r="AG23" s="420"/>
      <c r="AH23" s="416">
        <f t="shared" ca="1" si="11"/>
        <v>1.2664023114814293</v>
      </c>
      <c r="AI23" s="416">
        <f t="shared" ca="1" si="22"/>
        <v>1.5007461510664926</v>
      </c>
      <c r="AJ23" s="416" t="str">
        <f t="shared" ca="1" si="12"/>
        <v/>
      </c>
      <c r="AK23" s="416" t="str">
        <f t="shared" ca="1" si="13"/>
        <v/>
      </c>
    </row>
    <row r="24" spans="1:37" ht="11.1" customHeight="1">
      <c r="A24" s="423"/>
      <c r="B24" s="171">
        <f t="shared" si="23"/>
        <v>13</v>
      </c>
      <c r="C24" s="78" t="str">
        <f t="shared" ca="1" si="2"/>
        <v>Edison International</v>
      </c>
      <c r="D24" s="84" t="str">
        <f t="shared" ca="1" si="3"/>
        <v>EIX</v>
      </c>
      <c r="F24" s="413">
        <f t="shared" ca="1" si="14"/>
        <v>16.353814651360786</v>
      </c>
      <c r="G24" s="414">
        <f t="shared" ca="1" si="15"/>
        <v>30898.080000000002</v>
      </c>
      <c r="H24" s="414"/>
      <c r="I24" s="547">
        <f t="shared" ca="1" si="4"/>
        <v>22</v>
      </c>
      <c r="K24" s="413">
        <f t="shared" ca="1" si="16"/>
        <v>79.84</v>
      </c>
      <c r="L24" s="415">
        <f t="shared" ca="1" si="16"/>
        <v>387</v>
      </c>
      <c r="M24" s="414">
        <f t="shared" ca="1" si="17"/>
        <v>30898.080000000002</v>
      </c>
      <c r="N24" s="414"/>
      <c r="O24" s="547">
        <f t="shared" ca="1" si="5"/>
        <v>58</v>
      </c>
      <c r="Q24" s="547">
        <f t="shared" ca="1" si="18"/>
        <v>28</v>
      </c>
      <c r="R24" s="171" t="str">
        <f t="shared" ca="1" si="6"/>
        <v>R</v>
      </c>
      <c r="S24" s="416">
        <f t="shared" ca="1" si="6"/>
        <v>0</v>
      </c>
      <c r="U24" s="417">
        <f t="shared" ca="1" si="19"/>
        <v>16.353814651360786</v>
      </c>
      <c r="V24" s="418">
        <f t="shared" ca="1" si="20"/>
        <v>30898.080000000002</v>
      </c>
      <c r="X24" s="410">
        <f t="shared" ca="1" si="7"/>
        <v>3.037623626713715E-2</v>
      </c>
      <c r="Y24" s="410">
        <f t="shared" ca="1" si="8"/>
        <v>3.5997265046417259E-2</v>
      </c>
      <c r="Z24" s="410" t="str">
        <f t="shared" ca="1" si="8"/>
        <v/>
      </c>
      <c r="AA24" s="410" t="str">
        <f t="shared" ca="1" si="8"/>
        <v/>
      </c>
      <c r="AC24" s="419">
        <f t="shared" ca="1" si="9"/>
        <v>16.353814651360786</v>
      </c>
      <c r="AD24" s="419">
        <f t="shared" ca="1" si="21"/>
        <v>16.353814651360786</v>
      </c>
      <c r="AE24" s="419" t="str">
        <f t="shared" ca="1" si="10"/>
        <v/>
      </c>
      <c r="AF24" s="419" t="str">
        <f t="shared" ca="1" si="10"/>
        <v/>
      </c>
      <c r="AG24" s="420"/>
      <c r="AH24" s="416">
        <f t="shared" ca="1" si="11"/>
        <v>0.4967673377187044</v>
      </c>
      <c r="AI24" s="416">
        <f t="shared" ca="1" si="22"/>
        <v>0.58869260052501604</v>
      </c>
      <c r="AJ24" s="416" t="str">
        <f t="shared" ca="1" si="12"/>
        <v/>
      </c>
      <c r="AK24" s="416" t="str">
        <f t="shared" ca="1" si="13"/>
        <v/>
      </c>
    </row>
    <row r="25" spans="1:37" ht="11.1" customHeight="1">
      <c r="A25" s="423"/>
      <c r="B25" s="171">
        <f t="shared" si="23"/>
        <v>14</v>
      </c>
      <c r="C25" s="78" t="str">
        <f t="shared" ca="1" si="2"/>
        <v>Entergy Corporation</v>
      </c>
      <c r="D25" s="84" t="str">
        <f t="shared" ca="1" si="3"/>
        <v>ETR</v>
      </c>
      <c r="F25" s="413">
        <f t="shared" ca="1" si="14"/>
        <v>55.93</v>
      </c>
      <c r="G25" s="414">
        <f t="shared" ca="1" si="15"/>
        <v>32452.850495879997</v>
      </c>
      <c r="H25" s="414"/>
      <c r="I25" s="547">
        <f t="shared" ca="1" si="4"/>
        <v>23</v>
      </c>
      <c r="K25" s="413">
        <f t="shared" ca="1" si="16"/>
        <v>75.819999999999993</v>
      </c>
      <c r="L25" s="415">
        <f t="shared" ca="1" si="16"/>
        <v>428.02493399999997</v>
      </c>
      <c r="M25" s="414">
        <f t="shared" ca="1" si="17"/>
        <v>32452.850495879997</v>
      </c>
      <c r="N25" s="414"/>
      <c r="O25" s="547">
        <f t="shared" ca="1" si="5"/>
        <v>31</v>
      </c>
      <c r="Q25" s="547">
        <f t="shared" ca="1" si="18"/>
        <v>29</v>
      </c>
      <c r="R25" s="171" t="str">
        <f t="shared" ca="1" si="6"/>
        <v>R</v>
      </c>
      <c r="S25" s="416">
        <f t="shared" ca="1" si="6"/>
        <v>0</v>
      </c>
      <c r="U25" s="417">
        <f t="shared" ca="1" si="19"/>
        <v>55.93</v>
      </c>
      <c r="V25" s="418">
        <f t="shared" ca="1" si="20"/>
        <v>32452.850495879997</v>
      </c>
      <c r="X25" s="410">
        <f t="shared" ca="1" si="7"/>
        <v>3.1904747939190063E-2</v>
      </c>
      <c r="Y25" s="410">
        <f t="shared" ca="1" si="8"/>
        <v>3.7808623086351835E-2</v>
      </c>
      <c r="Z25" s="410" t="str">
        <f t="shared" ca="1" si="8"/>
        <v/>
      </c>
      <c r="AA25" s="410" t="str">
        <f t="shared" ca="1" si="8"/>
        <v/>
      </c>
      <c r="AC25" s="419">
        <f t="shared" ca="1" si="9"/>
        <v>55.93</v>
      </c>
      <c r="AD25" s="419">
        <f t="shared" ca="1" si="21"/>
        <v>55.93</v>
      </c>
      <c r="AE25" s="419" t="str">
        <f t="shared" ca="1" si="10"/>
        <v/>
      </c>
      <c r="AF25" s="419" t="str">
        <f t="shared" ca="1" si="10"/>
        <v/>
      </c>
      <c r="AG25" s="420"/>
      <c r="AH25" s="416">
        <f t="shared" ca="1" si="11"/>
        <v>1.7844325522389002</v>
      </c>
      <c r="AI25" s="416">
        <f t="shared" ca="1" si="22"/>
        <v>2.114636289219658</v>
      </c>
      <c r="AJ25" s="416" t="str">
        <f t="shared" ca="1" si="12"/>
        <v/>
      </c>
      <c r="AK25" s="416" t="str">
        <f t="shared" ca="1" si="13"/>
        <v/>
      </c>
    </row>
    <row r="26" spans="1:37" ht="11.1" customHeight="1">
      <c r="A26" s="423"/>
      <c r="B26" s="171">
        <f t="shared" si="23"/>
        <v>15</v>
      </c>
      <c r="C26" s="78" t="str">
        <f t="shared" ca="1" si="2"/>
        <v>Evergy, Inc.</v>
      </c>
      <c r="D26" s="84" t="str">
        <f t="shared" ca="1" si="3"/>
        <v>EVRG</v>
      </c>
      <c r="F26" s="413">
        <f t="shared" ca="1" si="14"/>
        <v>23.35334257786721</v>
      </c>
      <c r="G26" s="414">
        <f t="shared" ca="1" si="15"/>
        <v>14174.965</v>
      </c>
      <c r="H26" s="414"/>
      <c r="I26" s="547">
        <f t="shared" ca="1" si="4"/>
        <v>25</v>
      </c>
      <c r="K26" s="413">
        <f t="shared" ca="1" si="16"/>
        <v>61.55</v>
      </c>
      <c r="L26" s="415">
        <f t="shared" ca="1" si="16"/>
        <v>230.3</v>
      </c>
      <c r="M26" s="414">
        <f t="shared" ca="1" si="17"/>
        <v>14174.965</v>
      </c>
      <c r="N26" s="414"/>
      <c r="O26" s="547">
        <f t="shared" ca="1" si="5"/>
        <v>42</v>
      </c>
      <c r="Q26" s="547">
        <f t="shared" ca="1" si="18"/>
        <v>30</v>
      </c>
      <c r="R26" s="171" t="str">
        <f t="shared" ca="1" si="6"/>
        <v>R</v>
      </c>
      <c r="S26" s="416">
        <f t="shared" ca="1" si="6"/>
        <v>0</v>
      </c>
      <c r="U26" s="417">
        <f t="shared" ca="1" si="19"/>
        <v>23.35334257786721</v>
      </c>
      <c r="V26" s="418">
        <f t="shared" ca="1" si="20"/>
        <v>14174.965</v>
      </c>
      <c r="X26" s="424">
        <f t="shared" ca="1" si="7"/>
        <v>1.3935561236115633E-2</v>
      </c>
      <c r="Y26" s="424">
        <f t="shared" ca="1" si="8"/>
        <v>1.6514293837309246E-2</v>
      </c>
      <c r="Z26" s="424" t="str">
        <f t="shared" ca="1" si="8"/>
        <v/>
      </c>
      <c r="AA26" s="424" t="str">
        <f t="shared" ca="1" si="8"/>
        <v/>
      </c>
      <c r="AC26" s="419">
        <f t="shared" ca="1" si="9"/>
        <v>23.35334257786721</v>
      </c>
      <c r="AD26" s="419">
        <f t="shared" ca="1" si="21"/>
        <v>23.35334257786721</v>
      </c>
      <c r="AE26" s="419" t="str">
        <f t="shared" ca="1" si="10"/>
        <v/>
      </c>
      <c r="AF26" s="419" t="str">
        <f t="shared" ca="1" si="10"/>
        <v/>
      </c>
      <c r="AG26" s="420"/>
      <c r="AH26" s="416">
        <f t="shared" ca="1" si="11"/>
        <v>0.32544193556185502</v>
      </c>
      <c r="AI26" s="416">
        <f t="shared" ca="1" si="22"/>
        <v>0.38566396141424408</v>
      </c>
      <c r="AJ26" s="416" t="str">
        <f t="shared" ca="1" si="12"/>
        <v/>
      </c>
      <c r="AK26" s="416" t="str">
        <f t="shared" ca="1" si="13"/>
        <v/>
      </c>
    </row>
    <row r="27" spans="1:37" ht="11.1" customHeight="1">
      <c r="A27" s="423"/>
      <c r="B27" s="171">
        <f t="shared" si="23"/>
        <v>16</v>
      </c>
      <c r="C27" s="78" t="str">
        <f t="shared" ca="1" si="2"/>
        <v>Eversource Energy</v>
      </c>
      <c r="D27" s="84" t="str">
        <f t="shared" ca="1" si="3"/>
        <v>ES</v>
      </c>
      <c r="F27" s="413">
        <f t="shared" ca="1" si="14"/>
        <v>-2.4490370047575927</v>
      </c>
      <c r="G27" s="414">
        <f t="shared" ca="1" si="15"/>
        <v>20647.263348739998</v>
      </c>
      <c r="H27" s="414"/>
      <c r="I27" s="547">
        <f t="shared" ca="1" si="4"/>
        <v>24</v>
      </c>
      <c r="K27" s="413">
        <f t="shared" ca="1" si="16"/>
        <v>57.43</v>
      </c>
      <c r="L27" s="415">
        <f t="shared" ca="1" si="16"/>
        <v>359.52051799999998</v>
      </c>
      <c r="M27" s="414">
        <f t="shared" ca="1" si="17"/>
        <v>20647.263348739998</v>
      </c>
      <c r="N27" s="414"/>
      <c r="O27" s="547">
        <f t="shared" ca="1" si="5"/>
        <v>48</v>
      </c>
      <c r="Q27" s="547">
        <f t="shared" ca="1" si="18"/>
        <v>31</v>
      </c>
      <c r="R27" s="171" t="str">
        <f t="shared" ca="1" si="6"/>
        <v>R</v>
      </c>
      <c r="S27" s="416">
        <f t="shared" ca="1" si="6"/>
        <v>0</v>
      </c>
      <c r="U27" s="417">
        <f t="shared" ca="1" si="19"/>
        <v>-2.4490370047575927</v>
      </c>
      <c r="V27" s="418">
        <f t="shared" ca="1" si="20"/>
        <v>20647.263348739998</v>
      </c>
      <c r="X27" s="410">
        <f t="shared" ca="1" si="7"/>
        <v>2.0298547668694222E-2</v>
      </c>
      <c r="Y27" s="410">
        <f t="shared" ca="1" si="8"/>
        <v>2.4054731272874254E-2</v>
      </c>
      <c r="Z27" s="410" t="str">
        <f t="shared" ca="1" si="8"/>
        <v/>
      </c>
      <c r="AA27" s="410" t="str">
        <f t="shared" ca="1" si="8"/>
        <v/>
      </c>
      <c r="AC27" s="419">
        <f t="shared" ca="1" si="9"/>
        <v>-2.4490370047575927</v>
      </c>
      <c r="AD27" s="419">
        <f t="shared" ca="1" si="21"/>
        <v>-2.4490370047575927</v>
      </c>
      <c r="AE27" s="419" t="str">
        <f t="shared" ca="1" si="10"/>
        <v/>
      </c>
      <c r="AF27" s="419" t="str">
        <f t="shared" ca="1" si="10"/>
        <v/>
      </c>
      <c r="AG27" s="420"/>
      <c r="AH27" s="416">
        <f t="shared" ca="1" si="11"/>
        <v>-4.9711894383468111E-2</v>
      </c>
      <c r="AI27" s="416">
        <f t="shared" ca="1" si="22"/>
        <v>-5.8910927026768756E-2</v>
      </c>
      <c r="AJ27" s="416" t="str">
        <f t="shared" ca="1" si="12"/>
        <v/>
      </c>
      <c r="AK27" s="416" t="str">
        <f t="shared" ca="1" si="13"/>
        <v/>
      </c>
    </row>
    <row r="28" spans="1:37" ht="11.1" customHeight="1">
      <c r="A28" s="423"/>
      <c r="B28" s="171">
        <f t="shared" si="23"/>
        <v>17</v>
      </c>
      <c r="C28" s="78" t="str">
        <f t="shared" ca="1" si="2"/>
        <v>Exelon Corporation</v>
      </c>
      <c r="D28" s="84" t="str">
        <f t="shared" ca="1" si="3"/>
        <v>EXC</v>
      </c>
      <c r="F28" s="413">
        <f t="shared" ca="1" si="14"/>
        <v>9.164512183102147</v>
      </c>
      <c r="G28" s="414">
        <f t="shared" ca="1" si="15"/>
        <v>37752.92</v>
      </c>
      <c r="H28" s="414"/>
      <c r="I28" s="547">
        <f t="shared" ca="1" si="4"/>
        <v>26</v>
      </c>
      <c r="K28" s="413">
        <f t="shared" ca="1" si="16"/>
        <v>37.64</v>
      </c>
      <c r="L28" s="415">
        <f t="shared" ca="1" si="16"/>
        <v>1003</v>
      </c>
      <c r="M28" s="414">
        <f t="shared" ca="1" si="17"/>
        <v>37752.92</v>
      </c>
      <c r="N28" s="414"/>
      <c r="O28" s="547">
        <f t="shared" ca="1" si="5"/>
        <v>97</v>
      </c>
      <c r="Q28" s="547">
        <f t="shared" ca="1" si="18"/>
        <v>32</v>
      </c>
      <c r="R28" s="171" t="str">
        <f t="shared" ca="1" si="6"/>
        <v>R</v>
      </c>
      <c r="S28" s="416">
        <f t="shared" ca="1" si="6"/>
        <v>0</v>
      </c>
      <c r="U28" s="417">
        <f t="shared" ca="1" si="19"/>
        <v>9.164512183102147</v>
      </c>
      <c r="V28" s="418">
        <f t="shared" ca="1" si="20"/>
        <v>37752.92</v>
      </c>
      <c r="X28" s="410">
        <f t="shared" ca="1" si="7"/>
        <v>3.7115303530003398E-2</v>
      </c>
      <c r="Y28" s="410">
        <f t="shared" ca="1" si="8"/>
        <v>4.3983375909318216E-2</v>
      </c>
      <c r="Z28" s="410" t="str">
        <f t="shared" ca="1" si="8"/>
        <v/>
      </c>
      <c r="AA28" s="410" t="str">
        <f t="shared" ca="1" si="8"/>
        <v/>
      </c>
      <c r="AC28" s="419">
        <f t="shared" ca="1" si="9"/>
        <v>9.164512183102147</v>
      </c>
      <c r="AD28" s="419">
        <f t="shared" ca="1" si="21"/>
        <v>9.164512183102147</v>
      </c>
      <c r="AE28" s="419" t="str">
        <f t="shared" ca="1" si="10"/>
        <v/>
      </c>
      <c r="AF28" s="419" t="str">
        <f t="shared" ca="1" si="10"/>
        <v/>
      </c>
      <c r="AG28" s="420"/>
      <c r="AH28" s="416">
        <f t="shared" ca="1" si="11"/>
        <v>0.34014365138025027</v>
      </c>
      <c r="AI28" s="416">
        <f t="shared" ca="1" si="22"/>
        <v>0.40308618437490829</v>
      </c>
      <c r="AJ28" s="416" t="str">
        <f t="shared" ca="1" si="12"/>
        <v/>
      </c>
      <c r="AK28" s="416" t="str">
        <f t="shared" ca="1" si="13"/>
        <v/>
      </c>
    </row>
    <row r="29" spans="1:37" ht="11.1" customHeight="1">
      <c r="A29" s="423"/>
      <c r="B29" s="171">
        <f t="shared" si="23"/>
        <v>18</v>
      </c>
      <c r="C29" s="78" t="str">
        <f t="shared" ca="1" si="2"/>
        <v>FirstEnergy Corp.</v>
      </c>
      <c r="D29" s="84" t="str">
        <f t="shared" ca="1" si="3"/>
        <v>FE</v>
      </c>
      <c r="F29" s="413">
        <f t="shared" ca="1" si="14"/>
        <v>13.182458347516102</v>
      </c>
      <c r="G29" s="414">
        <f t="shared" ca="1" si="15"/>
        <v>22913.279999999999</v>
      </c>
      <c r="H29" s="414"/>
      <c r="I29" s="547">
        <f t="shared" ca="1" si="4"/>
        <v>27</v>
      </c>
      <c r="K29" s="413">
        <f t="shared" ca="1" si="16"/>
        <v>39.78</v>
      </c>
      <c r="L29" s="415">
        <f t="shared" ca="1" si="16"/>
        <v>576</v>
      </c>
      <c r="M29" s="414">
        <f t="shared" ca="1" si="17"/>
        <v>22913.279999999999</v>
      </c>
      <c r="N29" s="414"/>
      <c r="O29" s="547">
        <f t="shared" ca="1" si="5"/>
        <v>49</v>
      </c>
      <c r="Q29" s="547">
        <f t="shared" ca="1" si="18"/>
        <v>33</v>
      </c>
      <c r="R29" s="171" t="str">
        <f t="shared" ca="1" si="6"/>
        <v>R</v>
      </c>
      <c r="S29" s="416">
        <f t="shared" ca="1" si="6"/>
        <v>0</v>
      </c>
      <c r="U29" s="417">
        <f t="shared" ca="1" si="19"/>
        <v>13.182458347516102</v>
      </c>
      <c r="V29" s="418">
        <f t="shared" ca="1" si="20"/>
        <v>22913.279999999999</v>
      </c>
      <c r="X29" s="410">
        <f t="shared" ca="1" si="7"/>
        <v>2.252629312031907E-2</v>
      </c>
      <c r="Y29" s="410">
        <f t="shared" ca="1" si="8"/>
        <v>2.6694714145434655E-2</v>
      </c>
      <c r="Z29" s="410" t="str">
        <f t="shared" ca="1" si="8"/>
        <v/>
      </c>
      <c r="AA29" s="410" t="str">
        <f t="shared" ca="1" si="8"/>
        <v/>
      </c>
      <c r="AC29" s="419">
        <f t="shared" ca="1" si="9"/>
        <v>13.182458347516102</v>
      </c>
      <c r="AD29" s="419">
        <f t="shared" ca="1" si="21"/>
        <v>13.182458347516102</v>
      </c>
      <c r="AE29" s="419" t="str">
        <f t="shared" ca="1" si="10"/>
        <v/>
      </c>
      <c r="AF29" s="419" t="str">
        <f t="shared" ca="1" si="10"/>
        <v/>
      </c>
      <c r="AG29" s="420"/>
      <c r="AH29" s="416">
        <f t="shared" ca="1" si="11"/>
        <v>0.29695192078254468</v>
      </c>
      <c r="AI29" s="416">
        <f t="shared" ca="1" si="22"/>
        <v>0.35190195732104124</v>
      </c>
      <c r="AJ29" s="416" t="str">
        <f t="shared" ca="1" si="12"/>
        <v/>
      </c>
      <c r="AK29" s="416" t="str">
        <f t="shared" ca="1" si="13"/>
        <v/>
      </c>
    </row>
    <row r="30" spans="1:37" ht="11.1" customHeight="1">
      <c r="A30" s="423"/>
      <c r="B30" s="171">
        <f t="shared" si="23"/>
        <v>19</v>
      </c>
      <c r="C30" s="78" t="str">
        <f t="shared" ca="1" si="2"/>
        <v>Hawaiian Electric Industries, Inc.</v>
      </c>
      <c r="D30" s="84" t="str">
        <f t="shared" ca="1" si="3"/>
        <v>HE</v>
      </c>
      <c r="F30" s="413">
        <f t="shared" ca="1" si="14"/>
        <v>-31.430584918957017</v>
      </c>
      <c r="G30" s="414">
        <f t="shared" ca="1" si="15"/>
        <v>1112.70334</v>
      </c>
      <c r="H30" s="414"/>
      <c r="I30" s="547">
        <f t="shared" ca="1" si="4"/>
        <v>28</v>
      </c>
      <c r="K30" s="413">
        <f t="shared" ca="1" si="16"/>
        <v>9.73</v>
      </c>
      <c r="L30" s="415">
        <f t="shared" ca="1" si="16"/>
        <v>114.358</v>
      </c>
      <c r="M30" s="414">
        <f t="shared" ca="1" si="17"/>
        <v>1112.70334</v>
      </c>
      <c r="N30" s="414"/>
      <c r="O30" s="547">
        <f t="shared" ca="1" si="5"/>
        <v>37</v>
      </c>
      <c r="Q30" s="547">
        <f t="shared" ca="1" si="18"/>
        <v>34</v>
      </c>
      <c r="R30" s="171" t="str">
        <f t="shared" ca="1" si="6"/>
        <v>MR</v>
      </c>
      <c r="S30" s="416">
        <f t="shared" ca="1" si="6"/>
        <v>0</v>
      </c>
      <c r="U30" s="417">
        <f t="shared" ca="1" si="19"/>
        <v>-31.430584918957017</v>
      </c>
      <c r="V30" s="418">
        <f t="shared" ca="1" si="20"/>
        <v>1112.70334</v>
      </c>
      <c r="X30" s="410">
        <f t="shared" ca="1" si="7"/>
        <v>1.0939106750669503E-3</v>
      </c>
      <c r="Y30" s="410" t="str">
        <f t="shared" ca="1" si="8"/>
        <v/>
      </c>
      <c r="Z30" s="410">
        <f t="shared" ca="1" si="8"/>
        <v>7.0054422515398382E-3</v>
      </c>
      <c r="AA30" s="410" t="str">
        <f t="shared" ca="1" si="8"/>
        <v/>
      </c>
      <c r="AC30" s="419">
        <f t="shared" ca="1" si="9"/>
        <v>-31.430584918957017</v>
      </c>
      <c r="AD30" s="419" t="str">
        <f t="shared" ca="1" si="21"/>
        <v/>
      </c>
      <c r="AE30" s="419">
        <f t="shared" ca="1" si="10"/>
        <v>-31.430584918957017</v>
      </c>
      <c r="AF30" s="419" t="str">
        <f t="shared" ca="1" si="10"/>
        <v/>
      </c>
      <c r="AG30" s="420"/>
      <c r="AH30" s="416">
        <f t="shared" ca="1" si="11"/>
        <v>-3.4382252366445376E-2</v>
      </c>
      <c r="AI30" s="416" t="str">
        <f t="shared" ca="1" si="22"/>
        <v/>
      </c>
      <c r="AJ30" s="416">
        <f t="shared" ca="1" si="12"/>
        <v>-0.22018514758187233</v>
      </c>
      <c r="AK30" s="416" t="str">
        <f t="shared" ca="1" si="13"/>
        <v/>
      </c>
    </row>
    <row r="31" spans="1:37" ht="11.1" customHeight="1">
      <c r="A31" s="423"/>
      <c r="B31" s="171">
        <f t="shared" si="23"/>
        <v>20</v>
      </c>
      <c r="C31" s="78" t="str">
        <f t="shared" ca="1" si="2"/>
        <v>IDACORP, Inc.</v>
      </c>
      <c r="D31" s="84" t="str">
        <f t="shared" ca="1" si="3"/>
        <v>IDA</v>
      </c>
      <c r="F31" s="413">
        <f t="shared" ca="1" si="14"/>
        <v>14.948074083685835</v>
      </c>
      <c r="G31" s="414">
        <f t="shared" ca="1" si="15"/>
        <v>5834.0220800000006</v>
      </c>
      <c r="H31" s="414"/>
      <c r="I31" s="547">
        <f t="shared" ca="1" si="4"/>
        <v>29</v>
      </c>
      <c r="K31" s="413">
        <f t="shared" ca="1" si="16"/>
        <v>109.28</v>
      </c>
      <c r="L31" s="415">
        <f t="shared" ca="1" si="16"/>
        <v>53.386000000000003</v>
      </c>
      <c r="M31" s="414">
        <f t="shared" ca="1" si="17"/>
        <v>5834.0220800000006</v>
      </c>
      <c r="N31" s="414"/>
      <c r="O31" s="547">
        <f t="shared" ca="1" si="5"/>
        <v>39</v>
      </c>
      <c r="Q31" s="547">
        <f t="shared" ca="1" si="18"/>
        <v>35</v>
      </c>
      <c r="R31" s="171" t="str">
        <f t="shared" ca="1" si="6"/>
        <v>R</v>
      </c>
      <c r="S31" s="416">
        <f t="shared" ca="1" si="6"/>
        <v>0</v>
      </c>
      <c r="U31" s="417">
        <f t="shared" ca="1" si="19"/>
        <v>14.948074083685835</v>
      </c>
      <c r="V31" s="418">
        <f t="shared" ca="1" si="20"/>
        <v>5834.0220800000006</v>
      </c>
      <c r="X31" s="410">
        <f t="shared" ca="1" si="7"/>
        <v>5.7354901369203173E-3</v>
      </c>
      <c r="Y31" s="410">
        <f t="shared" ca="1" si="8"/>
        <v>6.7968248868670979E-3</v>
      </c>
      <c r="Z31" s="410" t="str">
        <f t="shared" ca="1" si="8"/>
        <v/>
      </c>
      <c r="AA31" s="410" t="str">
        <f t="shared" ca="1" si="8"/>
        <v/>
      </c>
      <c r="AC31" s="419">
        <f t="shared" ca="1" si="9"/>
        <v>14.948074083685835</v>
      </c>
      <c r="AD31" s="419">
        <f t="shared" ca="1" si="21"/>
        <v>14.948074083685835</v>
      </c>
      <c r="AE31" s="419" t="str">
        <f t="shared" ca="1" si="10"/>
        <v/>
      </c>
      <c r="AF31" s="419" t="str">
        <f t="shared" ca="1" si="10"/>
        <v/>
      </c>
      <c r="AG31" s="420"/>
      <c r="AH31" s="416">
        <f t="shared" ca="1" si="11"/>
        <v>8.5734531472934319E-2</v>
      </c>
      <c r="AI31" s="416">
        <f t="shared" ca="1" si="22"/>
        <v>0.10159944194272898</v>
      </c>
      <c r="AJ31" s="416" t="str">
        <f t="shared" ca="1" si="12"/>
        <v/>
      </c>
      <c r="AK31" s="416" t="str">
        <f t="shared" ca="1" si="13"/>
        <v/>
      </c>
    </row>
    <row r="32" spans="1:37" ht="11.1" customHeight="1">
      <c r="A32" s="423"/>
      <c r="B32" s="171">
        <f t="shared" si="23"/>
        <v>21</v>
      </c>
      <c r="C32" s="78" t="str">
        <f t="shared" ca="1" si="2"/>
        <v>MDU Resources Group, Inc.</v>
      </c>
      <c r="D32" s="84" t="str">
        <f t="shared" ca="1" si="3"/>
        <v>MDU</v>
      </c>
      <c r="F32" s="413">
        <f t="shared" ca="1" si="14"/>
        <v>72.45</v>
      </c>
      <c r="G32" s="414">
        <f t="shared" ca="1" si="15"/>
        <v>3674.06176</v>
      </c>
      <c r="H32" s="414"/>
      <c r="I32" s="547">
        <f t="shared" ca="1" si="4"/>
        <v>30</v>
      </c>
      <c r="K32" s="413">
        <f t="shared" ca="1" si="16"/>
        <v>18.02</v>
      </c>
      <c r="L32" s="415">
        <f t="shared" ca="1" si="16"/>
        <v>203.88800000000001</v>
      </c>
      <c r="M32" s="414">
        <f t="shared" ca="1" si="17"/>
        <v>3674.06176</v>
      </c>
      <c r="N32" s="414"/>
      <c r="O32" s="547">
        <f t="shared" ca="1" si="5"/>
        <v>112</v>
      </c>
      <c r="Q32" s="547">
        <f t="shared" ca="1" si="18"/>
        <v>36</v>
      </c>
      <c r="R32" s="171" t="str">
        <f t="shared" ca="1" si="6"/>
        <v>MR</v>
      </c>
      <c r="S32" s="416">
        <f t="shared" ca="1" si="6"/>
        <v>0</v>
      </c>
      <c r="U32" s="417">
        <f t="shared" ca="1" si="19"/>
        <v>72.45</v>
      </c>
      <c r="V32" s="418">
        <f t="shared" ca="1" si="20"/>
        <v>3674.06176</v>
      </c>
      <c r="X32" s="410">
        <f t="shared" ca="1" si="7"/>
        <v>3.6120098103770118E-3</v>
      </c>
      <c r="Y32" s="410" t="str">
        <f t="shared" ref="Y32:AA49" ca="1" si="24">IF( $R32 = Y$4, $V32 / Y$53, "" )</f>
        <v/>
      </c>
      <c r="Z32" s="410">
        <f t="shared" ca="1" si="24"/>
        <v>2.3131437251074326E-2</v>
      </c>
      <c r="AA32" s="410" t="str">
        <f t="shared" ca="1" si="24"/>
        <v/>
      </c>
      <c r="AC32" s="419">
        <f t="shared" ca="1" si="9"/>
        <v>72.45</v>
      </c>
      <c r="AD32" s="419" t="str">
        <f t="shared" ca="1" si="21"/>
        <v/>
      </c>
      <c r="AE32" s="419">
        <f t="shared" ca="1" si="21"/>
        <v>72.45</v>
      </c>
      <c r="AF32" s="419" t="str">
        <f t="shared" ca="1" si="21"/>
        <v/>
      </c>
      <c r="AG32" s="420"/>
      <c r="AH32" s="416">
        <f t="shared" ca="1" si="11"/>
        <v>0.26169011076181453</v>
      </c>
      <c r="AI32" s="416" t="str">
        <f t="shared" ca="1" si="22"/>
        <v/>
      </c>
      <c r="AJ32" s="416">
        <f t="shared" ca="1" si="12"/>
        <v>1.6758726288403349</v>
      </c>
      <c r="AK32" s="416" t="str">
        <f t="shared" ca="1" si="13"/>
        <v/>
      </c>
    </row>
    <row r="33" spans="1:37" ht="11.1" customHeight="1">
      <c r="A33" s="423"/>
      <c r="B33" s="171">
        <f t="shared" si="23"/>
        <v>22</v>
      </c>
      <c r="C33" s="78" t="str">
        <f t="shared" ca="1" si="2"/>
        <v>MGE Energy, Inc.</v>
      </c>
      <c r="D33" s="84" t="str">
        <f t="shared" ca="1" si="3"/>
        <v>MGEE</v>
      </c>
      <c r="F33" s="413">
        <f t="shared" ca="1" si="14"/>
        <v>32.672596185477772</v>
      </c>
      <c r="G33" s="414">
        <f t="shared" ca="1" si="15"/>
        <v>3399.5667599999997</v>
      </c>
      <c r="H33" s="414"/>
      <c r="I33" s="547">
        <f t="shared" ca="1" si="4"/>
        <v>31</v>
      </c>
      <c r="K33" s="413">
        <f t="shared" ca="1" si="16"/>
        <v>93.96</v>
      </c>
      <c r="L33" s="415">
        <f t="shared" ca="1" si="16"/>
        <v>36.180999999999997</v>
      </c>
      <c r="M33" s="414">
        <f t="shared" ca="1" si="17"/>
        <v>3399.5667599999997</v>
      </c>
      <c r="N33" s="414"/>
      <c r="O33" s="547">
        <f t="shared" ca="1" si="5"/>
        <v>85</v>
      </c>
      <c r="Q33" s="547">
        <f t="shared" ca="1" si="18"/>
        <v>37</v>
      </c>
      <c r="R33" s="171" t="str">
        <f t="shared" ca="1" si="6"/>
        <v>R</v>
      </c>
      <c r="S33" s="416">
        <f t="shared" ca="1" si="6"/>
        <v>0</v>
      </c>
      <c r="U33" s="417">
        <f t="shared" ca="1" si="19"/>
        <v>32.672596185477772</v>
      </c>
      <c r="V33" s="418">
        <f t="shared" ca="1" si="20"/>
        <v>3399.5667599999997</v>
      </c>
      <c r="X33" s="410">
        <f t="shared" ca="1" si="7"/>
        <v>3.342150810266072E-3</v>
      </c>
      <c r="Y33" s="410">
        <f t="shared" ca="1" si="24"/>
        <v>3.9606055037306508E-3</v>
      </c>
      <c r="Z33" s="410" t="str">
        <f t="shared" ca="1" si="24"/>
        <v/>
      </c>
      <c r="AA33" s="410" t="str">
        <f t="shared" ca="1" si="24"/>
        <v/>
      </c>
      <c r="AC33" s="419">
        <f t="shared" ca="1" si="9"/>
        <v>32.672596185477772</v>
      </c>
      <c r="AD33" s="419">
        <f t="shared" ref="AD33:AF49" ca="1" si="25">IF( $R33 = AD$4, $U33, "" )</f>
        <v>32.672596185477772</v>
      </c>
      <c r="AE33" s="419" t="str">
        <f t="shared" ca="1" si="25"/>
        <v/>
      </c>
      <c r="AF33" s="419" t="str">
        <f t="shared" ca="1" si="25"/>
        <v/>
      </c>
      <c r="AG33" s="420"/>
      <c r="AH33" s="416">
        <f t="shared" ca="1" si="11"/>
        <v>0.10919674381479071</v>
      </c>
      <c r="AI33" s="416">
        <f t="shared" ca="1" si="22"/>
        <v>0.12940326427337234</v>
      </c>
      <c r="AJ33" s="416" t="str">
        <f t="shared" ca="1" si="12"/>
        <v/>
      </c>
      <c r="AK33" s="416" t="str">
        <f t="shared" ca="1" si="13"/>
        <v/>
      </c>
    </row>
    <row r="34" spans="1:37" ht="11.1" customHeight="1">
      <c r="A34" s="423"/>
      <c r="B34" s="171">
        <f t="shared" si="23"/>
        <v>23</v>
      </c>
      <c r="C34" s="78" t="str">
        <f t="shared" ca="1" si="2"/>
        <v>NextEra Energy, Inc.</v>
      </c>
      <c r="D34" s="84" t="str">
        <f t="shared" ca="1" si="3"/>
        <v>NEE</v>
      </c>
      <c r="F34" s="413">
        <f t="shared" ca="1" si="14"/>
        <v>21.440402190398466</v>
      </c>
      <c r="G34" s="414">
        <f t="shared" ca="1" si="15"/>
        <v>147215.41500000001</v>
      </c>
      <c r="H34" s="414"/>
      <c r="I34" s="547">
        <f t="shared" ca="1" si="4"/>
        <v>32</v>
      </c>
      <c r="K34" s="413">
        <f t="shared" ca="1" si="16"/>
        <v>71.69</v>
      </c>
      <c r="L34" s="415">
        <f t="shared" ca="1" si="16"/>
        <v>2053.5</v>
      </c>
      <c r="M34" s="414">
        <f t="shared" ca="1" si="17"/>
        <v>147215.41500000001</v>
      </c>
      <c r="N34" s="414"/>
      <c r="O34" s="547">
        <f t="shared" ca="1" si="5"/>
        <v>32</v>
      </c>
      <c r="Q34" s="547">
        <f t="shared" ca="1" si="18"/>
        <v>38</v>
      </c>
      <c r="R34" s="171" t="str">
        <f t="shared" ca="1" si="6"/>
        <v>MR</v>
      </c>
      <c r="S34" s="416">
        <f t="shared" ca="1" si="6"/>
        <v>0</v>
      </c>
      <c r="U34" s="417">
        <f t="shared" ca="1" si="19"/>
        <v>21.440402190398466</v>
      </c>
      <c r="V34" s="418">
        <f t="shared" ca="1" si="20"/>
        <v>147215.41500000001</v>
      </c>
      <c r="X34" s="410">
        <f t="shared" ca="1" si="7"/>
        <v>0.1447290649841235</v>
      </c>
      <c r="Y34" s="410" t="str">
        <f t="shared" ca="1" si="24"/>
        <v/>
      </c>
      <c r="Z34" s="410">
        <f t="shared" ca="1" si="24"/>
        <v>0.9268499978790139</v>
      </c>
      <c r="AA34" s="410" t="str">
        <f t="shared" ca="1" si="24"/>
        <v/>
      </c>
      <c r="AC34" s="419">
        <f t="shared" ca="1" si="9"/>
        <v>21.440402190398466</v>
      </c>
      <c r="AD34" s="419" t="str">
        <f t="shared" ca="1" si="25"/>
        <v/>
      </c>
      <c r="AE34" s="419">
        <f t="shared" ca="1" si="25"/>
        <v>21.440402190398466</v>
      </c>
      <c r="AF34" s="419" t="str">
        <f t="shared" ca="1" si="25"/>
        <v/>
      </c>
      <c r="AG34" s="420"/>
      <c r="AH34" s="416">
        <f t="shared" ca="1" si="11"/>
        <v>3.1030493618999233</v>
      </c>
      <c r="AI34" s="416" t="str">
        <f t="shared" ca="1" si="22"/>
        <v/>
      </c>
      <c r="AJ34" s="416">
        <f t="shared" ca="1" si="12"/>
        <v>19.872036724696024</v>
      </c>
      <c r="AK34" s="416" t="str">
        <f t="shared" ca="1" si="13"/>
        <v/>
      </c>
    </row>
    <row r="35" spans="1:37" ht="11.1" customHeight="1">
      <c r="A35" s="423"/>
      <c r="B35" s="171">
        <f t="shared" si="23"/>
        <v>24</v>
      </c>
      <c r="C35" s="78" t="str">
        <f t="shared" ca="1" si="2"/>
        <v>NiSource Inc.</v>
      </c>
      <c r="D35" s="84" t="str">
        <f t="shared" ca="1" si="3"/>
        <v>NI</v>
      </c>
      <c r="F35" s="413">
        <f t="shared" ca="1" si="14"/>
        <v>43.17158085905308</v>
      </c>
      <c r="G35" s="414">
        <f t="shared" ca="1" si="15"/>
        <v>16611.843999999997</v>
      </c>
      <c r="H35" s="414"/>
      <c r="I35" s="547">
        <f t="shared" ca="1" si="4"/>
        <v>33</v>
      </c>
      <c r="K35" s="413">
        <f t="shared" ca="1" si="16"/>
        <v>36.76</v>
      </c>
      <c r="L35" s="415">
        <f t="shared" ca="1" si="16"/>
        <v>451.9</v>
      </c>
      <c r="M35" s="414">
        <f t="shared" ca="1" si="17"/>
        <v>16611.843999999997</v>
      </c>
      <c r="N35" s="414"/>
      <c r="O35" s="547">
        <f t="shared" ca="1" si="5"/>
        <v>89</v>
      </c>
      <c r="Q35" s="547">
        <f t="shared" ca="1" si="18"/>
        <v>39</v>
      </c>
      <c r="R35" s="171" t="str">
        <f t="shared" ca="1" si="6"/>
        <v>R</v>
      </c>
      <c r="S35" s="416">
        <f t="shared" ca="1" si="6"/>
        <v>0</v>
      </c>
      <c r="U35" s="417">
        <f t="shared" ca="1" si="19"/>
        <v>43.17158085905308</v>
      </c>
      <c r="V35" s="418">
        <f t="shared" ca="1" si="20"/>
        <v>16611.843999999997</v>
      </c>
      <c r="X35" s="410">
        <f t="shared" ca="1" si="7"/>
        <v>1.6331283308763021E-2</v>
      </c>
      <c r="Y35" s="410">
        <f t="shared" ca="1" si="24"/>
        <v>1.9353336886231642E-2</v>
      </c>
      <c r="Z35" s="410" t="str">
        <f t="shared" ca="1" si="24"/>
        <v/>
      </c>
      <c r="AA35" s="410" t="str">
        <f t="shared" ca="1" si="24"/>
        <v/>
      </c>
      <c r="AC35" s="419">
        <f t="shared" ca="1" si="9"/>
        <v>43.17158085905308</v>
      </c>
      <c r="AD35" s="419">
        <f t="shared" ca="1" si="25"/>
        <v>43.17158085905308</v>
      </c>
      <c r="AE35" s="419" t="str">
        <f t="shared" ca="1" si="25"/>
        <v/>
      </c>
      <c r="AF35" s="419" t="str">
        <f t="shared" ca="1" si="25"/>
        <v/>
      </c>
      <c r="AG35" s="420"/>
      <c r="AH35" s="416">
        <f t="shared" ca="1" si="11"/>
        <v>0.70504731789636665</v>
      </c>
      <c r="AI35" s="416">
        <f t="shared" ca="1" si="22"/>
        <v>0.83551414827644388</v>
      </c>
      <c r="AJ35" s="416" t="str">
        <f t="shared" ca="1" si="12"/>
        <v/>
      </c>
      <c r="AK35" s="416" t="str">
        <f t="shared" ca="1" si="13"/>
        <v/>
      </c>
    </row>
    <row r="36" spans="1:37" ht="11.1" customHeight="1">
      <c r="A36" s="425"/>
      <c r="B36" s="171">
        <f t="shared" si="23"/>
        <v>25</v>
      </c>
      <c r="C36" s="78" t="str">
        <f t="shared" ca="1" si="2"/>
        <v>NorthWestern Corporation</v>
      </c>
      <c r="D36" s="84" t="str">
        <f t="shared" ca="1" si="3"/>
        <v>NWE</v>
      </c>
      <c r="F36" s="413">
        <f t="shared" ca="1" si="14"/>
        <v>10.321184386893133</v>
      </c>
      <c r="G36" s="414">
        <f t="shared" ca="1" si="15"/>
        <v>3277.1886681599999</v>
      </c>
      <c r="H36" s="414"/>
      <c r="I36" s="547">
        <f t="shared" ca="1" si="4"/>
        <v>34</v>
      </c>
      <c r="K36" s="413">
        <f t="shared" ca="1" si="16"/>
        <v>53.46</v>
      </c>
      <c r="L36" s="415">
        <f t="shared" ca="1" si="16"/>
        <v>61.301696</v>
      </c>
      <c r="M36" s="414">
        <f t="shared" ca="1" si="17"/>
        <v>3277.1886681599999</v>
      </c>
      <c r="N36" s="414"/>
      <c r="O36" s="547">
        <f t="shared" ca="1" si="5"/>
        <v>93</v>
      </c>
      <c r="Q36" s="547">
        <f t="shared" ca="1" si="18"/>
        <v>40</v>
      </c>
      <c r="R36" s="171" t="str">
        <f t="shared" ca="1" si="6"/>
        <v>R</v>
      </c>
      <c r="S36" s="416">
        <f t="shared" ca="1" si="6"/>
        <v>0</v>
      </c>
      <c r="U36" s="417">
        <f t="shared" ca="1" si="19"/>
        <v>10.321184386893133</v>
      </c>
      <c r="V36" s="418">
        <f t="shared" ca="1" si="20"/>
        <v>3277.1886681599999</v>
      </c>
      <c r="X36" s="410">
        <f t="shared" ca="1" si="7"/>
        <v>3.2218395860199949E-3</v>
      </c>
      <c r="Y36" s="410">
        <f t="shared" ca="1" si="24"/>
        <v>3.8180310587217943E-3</v>
      </c>
      <c r="Z36" s="410" t="str">
        <f t="shared" ca="1" si="24"/>
        <v/>
      </c>
      <c r="AA36" s="410" t="str">
        <f t="shared" ca="1" si="24"/>
        <v/>
      </c>
      <c r="AC36" s="419">
        <f t="shared" ca="1" si="9"/>
        <v>10.321184386893133</v>
      </c>
      <c r="AD36" s="419">
        <f t="shared" ca="1" si="25"/>
        <v>10.321184386893133</v>
      </c>
      <c r="AE36" s="419" t="str">
        <f t="shared" ca="1" si="25"/>
        <v/>
      </c>
      <c r="AF36" s="419" t="str">
        <f t="shared" ca="1" si="25"/>
        <v/>
      </c>
      <c r="AG36" s="420"/>
      <c r="AH36" s="416">
        <f t="shared" ca="1" si="11"/>
        <v>3.3253200432303807E-2</v>
      </c>
      <c r="AI36" s="416">
        <f t="shared" ca="1" si="22"/>
        <v>3.9406602551952441E-2</v>
      </c>
      <c r="AJ36" s="416" t="str">
        <f t="shared" ca="1" si="12"/>
        <v/>
      </c>
      <c r="AK36" s="416" t="str">
        <f t="shared" ca="1" si="13"/>
        <v/>
      </c>
    </row>
    <row r="37" spans="1:37" ht="11.1" customHeight="1">
      <c r="A37" s="423"/>
      <c r="B37" s="171">
        <f t="shared" si="23"/>
        <v>26</v>
      </c>
      <c r="C37" s="78" t="str">
        <f t="shared" ca="1" si="2"/>
        <v>OGE Energy Corp.</v>
      </c>
      <c r="D37" s="84" t="str">
        <f t="shared" ca="1" si="3"/>
        <v>OGE</v>
      </c>
      <c r="F37" s="413">
        <f t="shared" ca="1" si="14"/>
        <v>23.422999315054561</v>
      </c>
      <c r="G37" s="414">
        <f t="shared" ca="1" si="15"/>
        <v>8287.125</v>
      </c>
      <c r="H37" s="414"/>
      <c r="I37" s="547">
        <f t="shared" ca="1" si="4"/>
        <v>35</v>
      </c>
      <c r="K37" s="413">
        <f t="shared" ca="1" si="16"/>
        <v>41.25</v>
      </c>
      <c r="L37" s="415">
        <f t="shared" ca="1" si="16"/>
        <v>200.9</v>
      </c>
      <c r="M37" s="414">
        <f t="shared" ca="1" si="17"/>
        <v>8287.125</v>
      </c>
      <c r="N37" s="414"/>
      <c r="O37" s="547">
        <f t="shared" ca="1" si="5"/>
        <v>50</v>
      </c>
      <c r="Q37" s="547">
        <f t="shared" ca="1" si="18"/>
        <v>41</v>
      </c>
      <c r="R37" s="171" t="str">
        <f t="shared" ca="1" si="6"/>
        <v>R</v>
      </c>
      <c r="S37" s="416">
        <f t="shared" ca="1" si="6"/>
        <v>0</v>
      </c>
      <c r="U37" s="417">
        <f t="shared" ca="1" si="19"/>
        <v>23.422999315054561</v>
      </c>
      <c r="V37" s="418">
        <f t="shared" ca="1" si="20"/>
        <v>8287.125</v>
      </c>
      <c r="X37" s="410">
        <f t="shared" ca="1" si="7"/>
        <v>8.147162120600987E-3</v>
      </c>
      <c r="Y37" s="410">
        <f t="shared" ca="1" si="24"/>
        <v>9.6547693286375916E-3</v>
      </c>
      <c r="Z37" s="410" t="str">
        <f t="shared" ca="1" si="24"/>
        <v/>
      </c>
      <c r="AA37" s="410" t="str">
        <f t="shared" ca="1" si="24"/>
        <v/>
      </c>
      <c r="AC37" s="419">
        <f t="shared" ca="1" si="9"/>
        <v>23.422999315054561</v>
      </c>
      <c r="AD37" s="419">
        <f t="shared" ca="1" si="25"/>
        <v>23.422999315054561</v>
      </c>
      <c r="AE37" s="419" t="str">
        <f t="shared" ca="1" si="25"/>
        <v/>
      </c>
      <c r="AF37" s="419" t="str">
        <f t="shared" ca="1" si="25"/>
        <v/>
      </c>
      <c r="AG37" s="420"/>
      <c r="AH37" s="416">
        <f t="shared" ca="1" si="11"/>
        <v>0.19083097277047539</v>
      </c>
      <c r="AI37" s="416">
        <f t="shared" ca="1" si="22"/>
        <v>0.2261436553716881</v>
      </c>
      <c r="AJ37" s="416" t="str">
        <f t="shared" ca="1" si="12"/>
        <v/>
      </c>
      <c r="AK37" s="416" t="str">
        <f t="shared" ca="1" si="13"/>
        <v/>
      </c>
    </row>
    <row r="38" spans="1:37" ht="11.1" customHeight="1">
      <c r="A38" s="423"/>
      <c r="B38" s="171">
        <f t="shared" si="23"/>
        <v>27</v>
      </c>
      <c r="C38" s="78" t="str">
        <f t="shared" ca="1" si="2"/>
        <v>Otter Tail Corporation</v>
      </c>
      <c r="D38" s="84" t="str">
        <f t="shared" ca="1" si="3"/>
        <v>OTTR</v>
      </c>
      <c r="F38" s="413">
        <f t="shared" ca="1" si="14"/>
        <v>-11.077358739439669</v>
      </c>
      <c r="G38" s="414">
        <f t="shared" ca="1" si="15"/>
        <v>3086.5119999999997</v>
      </c>
      <c r="H38" s="414"/>
      <c r="I38" s="547">
        <f t="shared" ca="1" si="4"/>
        <v>36</v>
      </c>
      <c r="K38" s="413">
        <f t="shared" ca="1" si="16"/>
        <v>73.84</v>
      </c>
      <c r="L38" s="415">
        <f t="shared" ca="1" si="16"/>
        <v>41.8</v>
      </c>
      <c r="M38" s="414">
        <f t="shared" ca="1" si="17"/>
        <v>3086.5119999999997</v>
      </c>
      <c r="N38" s="414"/>
      <c r="O38" s="547">
        <f t="shared" ca="1" si="5"/>
        <v>51</v>
      </c>
      <c r="Q38" s="547">
        <f t="shared" ca="1" si="18"/>
        <v>42</v>
      </c>
      <c r="R38" s="171" t="str">
        <f t="shared" ca="1" si="6"/>
        <v>MR</v>
      </c>
      <c r="S38" s="416">
        <f t="shared" ca="1" si="6"/>
        <v>0</v>
      </c>
      <c r="U38" s="417">
        <f t="shared" ca="1" si="19"/>
        <v>-11.077358739439669</v>
      </c>
      <c r="V38" s="418">
        <f t="shared" ca="1" si="20"/>
        <v>3086.5119999999997</v>
      </c>
      <c r="X38" s="410">
        <f t="shared" ca="1" si="7"/>
        <v>3.0343832935041271E-3</v>
      </c>
      <c r="Y38" s="410" t="str">
        <f t="shared" ca="1" si="24"/>
        <v/>
      </c>
      <c r="Z38" s="410">
        <f t="shared" ca="1" si="24"/>
        <v>1.9432296819280444E-2</v>
      </c>
      <c r="AA38" s="410" t="str">
        <f t="shared" ca="1" si="24"/>
        <v/>
      </c>
      <c r="AC38" s="419">
        <f t="shared" ca="1" si="9"/>
        <v>-11.077358739439669</v>
      </c>
      <c r="AD38" s="419" t="str">
        <f t="shared" ca="1" si="25"/>
        <v/>
      </c>
      <c r="AE38" s="419">
        <f t="shared" ca="1" si="25"/>
        <v>-11.077358739439669</v>
      </c>
      <c r="AF38" s="419" t="str">
        <f t="shared" ca="1" si="25"/>
        <v/>
      </c>
      <c r="AG38" s="420"/>
      <c r="AH38" s="416">
        <f t="shared" ca="1" si="11"/>
        <v>-3.3612952295107669E-2</v>
      </c>
      <c r="AI38" s="416" t="str">
        <f t="shared" ca="1" si="22"/>
        <v/>
      </c>
      <c r="AJ38" s="416">
        <f t="shared" ca="1" si="12"/>
        <v>-0.21525852299844189</v>
      </c>
      <c r="AK38" s="416" t="str">
        <f t="shared" ca="1" si="13"/>
        <v/>
      </c>
    </row>
    <row r="39" spans="1:37" ht="11.1" customHeight="1">
      <c r="A39" s="423"/>
      <c r="B39" s="171">
        <f t="shared" si="23"/>
        <v>28</v>
      </c>
      <c r="C39" s="78" t="str">
        <f t="shared" ca="1" si="2"/>
        <v>PG&amp;E Corporation</v>
      </c>
      <c r="D39" s="84" t="str">
        <f t="shared" ca="1" si="3"/>
        <v>PCG</v>
      </c>
      <c r="F39" s="413">
        <f t="shared" ca="1" si="14"/>
        <v>12.251062362450282</v>
      </c>
      <c r="G39" s="414">
        <f t="shared" ca="1" si="15"/>
        <v>43124.659999999996</v>
      </c>
      <c r="H39" s="414"/>
      <c r="I39" s="547">
        <f t="shared" ca="1" si="4"/>
        <v>37</v>
      </c>
      <c r="K39" s="413">
        <f t="shared" ca="1" si="16"/>
        <v>20.18</v>
      </c>
      <c r="L39" s="415">
        <f t="shared" ca="1" si="16"/>
        <v>2137</v>
      </c>
      <c r="M39" s="414">
        <f t="shared" ca="1" si="17"/>
        <v>43124.659999999996</v>
      </c>
      <c r="N39" s="414"/>
      <c r="O39" s="547">
        <f t="shared" ca="1" si="5"/>
        <v>95</v>
      </c>
      <c r="Q39" s="547">
        <f t="shared" ca="1" si="18"/>
        <v>43</v>
      </c>
      <c r="R39" s="171" t="str">
        <f t="shared" ca="1" si="6"/>
        <v>R</v>
      </c>
      <c r="S39" s="416">
        <f t="shared" ca="1" si="6"/>
        <v>0</v>
      </c>
      <c r="U39" s="417">
        <f t="shared" ca="1" si="19"/>
        <v>12.251062362450282</v>
      </c>
      <c r="V39" s="418">
        <f t="shared" ca="1" si="20"/>
        <v>43124.659999999996</v>
      </c>
      <c r="X39" s="410">
        <f t="shared" ca="1" si="7"/>
        <v>4.2396319159635765E-2</v>
      </c>
      <c r="Y39" s="410">
        <f t="shared" ca="1" si="24"/>
        <v>5.0241627183845353E-2</v>
      </c>
      <c r="Z39" s="410" t="str">
        <f t="shared" ca="1" si="24"/>
        <v/>
      </c>
      <c r="AA39" s="410" t="str">
        <f t="shared" ca="1" si="24"/>
        <v/>
      </c>
      <c r="AC39" s="419">
        <f t="shared" ca="1" si="9"/>
        <v>12.251062362450282</v>
      </c>
      <c r="AD39" s="419">
        <f t="shared" ca="1" si="25"/>
        <v>12.251062362450282</v>
      </c>
      <c r="AE39" s="419" t="str">
        <f t="shared" ca="1" si="25"/>
        <v/>
      </c>
      <c r="AF39" s="419" t="str">
        <f t="shared" ca="1" si="25"/>
        <v/>
      </c>
      <c r="AG39" s="420"/>
      <c r="AH39" s="416">
        <f t="shared" ca="1" si="11"/>
        <v>0.51939994996304351</v>
      </c>
      <c r="AI39" s="416">
        <f t="shared" ca="1" si="22"/>
        <v>0.61551330782026681</v>
      </c>
      <c r="AJ39" s="416" t="str">
        <f t="shared" ca="1" si="12"/>
        <v/>
      </c>
      <c r="AK39" s="416" t="str">
        <f t="shared" ca="1" si="13"/>
        <v/>
      </c>
    </row>
    <row r="40" spans="1:37" ht="11.1" customHeight="1">
      <c r="A40" s="423"/>
      <c r="B40" s="171">
        <f t="shared" si="23"/>
        <v>29</v>
      </c>
      <c r="C40" s="78" t="str">
        <f t="shared" ca="1" si="2"/>
        <v>Pinnacle West Capital Corporation</v>
      </c>
      <c r="D40" s="84" t="str">
        <f t="shared" ca="1" si="3"/>
        <v>PNW</v>
      </c>
      <c r="F40" s="413">
        <f t="shared" ca="1" si="14"/>
        <v>23.250626858562097</v>
      </c>
      <c r="G40" s="414">
        <f t="shared" ca="1" si="15"/>
        <v>9640.8073299999996</v>
      </c>
      <c r="H40" s="414"/>
      <c r="I40" s="547">
        <f t="shared" ca="1" si="4"/>
        <v>38</v>
      </c>
      <c r="K40" s="413">
        <f t="shared" ca="1" si="16"/>
        <v>84.77</v>
      </c>
      <c r="L40" s="415">
        <f t="shared" ca="1" si="16"/>
        <v>113.729</v>
      </c>
      <c r="M40" s="414">
        <f t="shared" ca="1" si="17"/>
        <v>9640.8073299999996</v>
      </c>
      <c r="N40" s="414"/>
      <c r="O40" s="547">
        <f t="shared" ca="1" si="5"/>
        <v>54</v>
      </c>
      <c r="Q40" s="547">
        <f t="shared" ca="1" si="18"/>
        <v>44</v>
      </c>
      <c r="R40" s="171" t="str">
        <f t="shared" ca="1" si="6"/>
        <v>R</v>
      </c>
      <c r="S40" s="416">
        <f t="shared" ca="1" si="6"/>
        <v>0</v>
      </c>
      <c r="U40" s="417">
        <f t="shared" ca="1" si="19"/>
        <v>23.250626858562097</v>
      </c>
      <c r="V40" s="418">
        <f t="shared" ca="1" si="20"/>
        <v>9640.8073299999996</v>
      </c>
      <c r="X40" s="410">
        <f t="shared" ca="1" si="7"/>
        <v>9.4779818442449378E-3</v>
      </c>
      <c r="Y40" s="410">
        <f t="shared" ca="1" si="24"/>
        <v>1.1231853135193265E-2</v>
      </c>
      <c r="Z40" s="410" t="str">
        <f t="shared" ca="1" si="24"/>
        <v/>
      </c>
      <c r="AA40" s="410" t="str">
        <f t="shared" ca="1" si="24"/>
        <v/>
      </c>
      <c r="AC40" s="419">
        <f t="shared" ca="1" si="9"/>
        <v>23.250626858562097</v>
      </c>
      <c r="AD40" s="419">
        <f t="shared" ca="1" si="25"/>
        <v>23.250626858562097</v>
      </c>
      <c r="AE40" s="419" t="str">
        <f t="shared" ca="1" si="25"/>
        <v/>
      </c>
      <c r="AF40" s="419" t="str">
        <f t="shared" ca="1" si="25"/>
        <v/>
      </c>
      <c r="AG40" s="420"/>
      <c r="AH40" s="416">
        <f t="shared" ca="1" si="11"/>
        <v>0.22036901923276525</v>
      </c>
      <c r="AI40" s="416">
        <f t="shared" ca="1" si="22"/>
        <v>0.26114762617654941</v>
      </c>
      <c r="AJ40" s="416" t="str">
        <f t="shared" ca="1" si="12"/>
        <v/>
      </c>
      <c r="AK40" s="416" t="str">
        <f t="shared" ca="1" si="13"/>
        <v/>
      </c>
    </row>
    <row r="41" spans="1:37" ht="11.1" customHeight="1">
      <c r="A41" s="423"/>
      <c r="B41" s="171">
        <f t="shared" si="23"/>
        <v>30</v>
      </c>
      <c r="C41" s="78" t="str">
        <f t="shared" ca="1" si="2"/>
        <v>TXNM Energy, Inc.</v>
      </c>
      <c r="D41" s="84" t="str">
        <f t="shared" ca="1" si="3"/>
        <v>TXNM</v>
      </c>
      <c r="F41" s="413">
        <f t="shared" ca="1" si="14"/>
        <v>22.743063141327035</v>
      </c>
      <c r="G41" s="414">
        <f t="shared" ca="1" si="15"/>
        <v>4451.3600999999999</v>
      </c>
      <c r="H41" s="414"/>
      <c r="I41" s="547">
        <f t="shared" ca="1" si="4"/>
        <v>39</v>
      </c>
      <c r="K41" s="413">
        <f t="shared" ca="1" si="16"/>
        <v>49.17</v>
      </c>
      <c r="L41" s="415">
        <f t="shared" ca="1" si="16"/>
        <v>90.53</v>
      </c>
      <c r="M41" s="414">
        <f t="shared" ca="1" si="17"/>
        <v>4451.3600999999999</v>
      </c>
      <c r="N41" s="414"/>
      <c r="O41" s="547">
        <f t="shared" ca="1" si="5"/>
        <v>99</v>
      </c>
      <c r="Q41" s="547">
        <f t="shared" ca="1" si="18"/>
        <v>45</v>
      </c>
      <c r="R41" s="171" t="str">
        <f t="shared" ca="1" si="6"/>
        <v>R</v>
      </c>
      <c r="S41" s="416">
        <f t="shared" ca="1" si="6"/>
        <v>0</v>
      </c>
      <c r="U41" s="417">
        <f t="shared" ca="1" si="19"/>
        <v>22.743063141327035</v>
      </c>
      <c r="V41" s="418">
        <f t="shared" ca="1" si="20"/>
        <v>4451.3600999999999</v>
      </c>
      <c r="X41" s="410">
        <f t="shared" ca="1" si="7"/>
        <v>4.3761802062687143E-3</v>
      </c>
      <c r="Y41" s="410">
        <f t="shared" ca="1" si="24"/>
        <v>5.1859788484186209E-3</v>
      </c>
      <c r="Z41" s="410" t="str">
        <f t="shared" ca="1" si="24"/>
        <v/>
      </c>
      <c r="AA41" s="410" t="str">
        <f t="shared" ca="1" si="24"/>
        <v/>
      </c>
      <c r="AC41" s="419">
        <f t="shared" ca="1" si="9"/>
        <v>22.743063141327035</v>
      </c>
      <c r="AD41" s="419">
        <f t="shared" ca="1" si="25"/>
        <v>22.743063141327035</v>
      </c>
      <c r="AE41" s="419" t="str">
        <f t="shared" ca="1" si="25"/>
        <v/>
      </c>
      <c r="AF41" s="419" t="str">
        <f t="shared" ca="1" si="25"/>
        <v/>
      </c>
      <c r="AG41" s="420"/>
      <c r="AH41" s="416">
        <f t="shared" ca="1" si="11"/>
        <v>9.9527742748994938E-2</v>
      </c>
      <c r="AI41" s="416">
        <f t="shared" ca="1" si="22"/>
        <v>0.11794504439917115</v>
      </c>
      <c r="AJ41" s="416" t="str">
        <f t="shared" ca="1" si="12"/>
        <v/>
      </c>
      <c r="AK41" s="416" t="str">
        <f t="shared" ca="1" si="13"/>
        <v/>
      </c>
    </row>
    <row r="42" spans="1:37" ht="11.1" customHeight="1">
      <c r="A42" s="423"/>
      <c r="B42" s="171">
        <f t="shared" si="23"/>
        <v>31</v>
      </c>
      <c r="C42" s="78" t="str">
        <f t="shared" ca="1" si="2"/>
        <v>Portland General Electric Company</v>
      </c>
      <c r="D42" s="84" t="str">
        <f t="shared" ca="1" si="3"/>
        <v>POR</v>
      </c>
      <c r="F42" s="413">
        <f t="shared" ca="1" si="14"/>
        <v>5.2285619966704999</v>
      </c>
      <c r="G42" s="414">
        <f t="shared" ca="1" si="15"/>
        <v>4529.7188999999998</v>
      </c>
      <c r="H42" s="414"/>
      <c r="I42" s="547">
        <f t="shared" ca="1" si="4"/>
        <v>40</v>
      </c>
      <c r="K42" s="413">
        <f t="shared" ca="1" si="16"/>
        <v>43.62</v>
      </c>
      <c r="L42" s="415">
        <f t="shared" ca="1" si="16"/>
        <v>103.845</v>
      </c>
      <c r="M42" s="414">
        <f t="shared" ca="1" si="17"/>
        <v>4529.7188999999998</v>
      </c>
      <c r="N42" s="414"/>
      <c r="O42" s="547">
        <f t="shared" ca="1" si="5"/>
        <v>113</v>
      </c>
      <c r="Q42" s="547">
        <f t="shared" ca="1" si="18"/>
        <v>46</v>
      </c>
      <c r="R42" s="171" t="str">
        <f t="shared" ca="1" si="6"/>
        <v>R</v>
      </c>
      <c r="S42" s="416">
        <f t="shared" ca="1" si="6"/>
        <v>0</v>
      </c>
      <c r="U42" s="417">
        <f t="shared" ca="1" si="19"/>
        <v>5.2285619966704999</v>
      </c>
      <c r="V42" s="418">
        <f t="shared" ca="1" si="20"/>
        <v>4529.7188999999998</v>
      </c>
      <c r="X42" s="410">
        <f t="shared" ca="1" si="7"/>
        <v>4.4532155891277578E-3</v>
      </c>
      <c r="Y42" s="410">
        <f t="shared" ca="1" si="24"/>
        <v>5.2772693911422855E-3</v>
      </c>
      <c r="Z42" s="410" t="str">
        <f t="shared" ca="1" si="24"/>
        <v/>
      </c>
      <c r="AA42" s="410" t="str">
        <f t="shared" ca="1" si="24"/>
        <v/>
      </c>
      <c r="AC42" s="419">
        <f t="shared" ca="1" si="9"/>
        <v>5.2285619966704999</v>
      </c>
      <c r="AD42" s="419">
        <f t="shared" ca="1" si="25"/>
        <v>5.2285619966704999</v>
      </c>
      <c r="AE42" s="419" t="str">
        <f t="shared" ca="1" si="25"/>
        <v/>
      </c>
      <c r="AF42" s="419" t="str">
        <f t="shared" ca="1" si="25"/>
        <v/>
      </c>
      <c r="AG42" s="420"/>
      <c r="AH42" s="416">
        <f t="shared" ca="1" si="11"/>
        <v>2.3283913792294025E-2</v>
      </c>
      <c r="AI42" s="416">
        <f t="shared" ca="1" si="22"/>
        <v>2.7592530184719022E-2</v>
      </c>
      <c r="AJ42" s="416" t="str">
        <f t="shared" ca="1" si="12"/>
        <v/>
      </c>
      <c r="AK42" s="416" t="str">
        <f t="shared" ca="1" si="13"/>
        <v/>
      </c>
    </row>
    <row r="43" spans="1:37" ht="11.1" customHeight="1">
      <c r="A43" s="423"/>
      <c r="B43" s="171">
        <f t="shared" si="23"/>
        <v>32</v>
      </c>
      <c r="C43" s="78" t="str">
        <f t="shared" ca="1" si="2"/>
        <v>PPL Corporation</v>
      </c>
      <c r="D43" s="84" t="str">
        <f t="shared" ca="1" si="3"/>
        <v>PPL</v>
      </c>
      <c r="F43" s="413">
        <f t="shared" ca="1" si="14"/>
        <v>24.026020875805031</v>
      </c>
      <c r="G43" s="414">
        <f t="shared" ca="1" si="15"/>
        <v>23962.867039999997</v>
      </c>
      <c r="H43" s="414"/>
      <c r="I43" s="547">
        <f t="shared" ca="1" si="4"/>
        <v>41</v>
      </c>
      <c r="K43" s="413">
        <f t="shared" ca="1" si="16"/>
        <v>32.479999999999997</v>
      </c>
      <c r="L43" s="415">
        <f t="shared" ca="1" si="16"/>
        <v>737.77300000000002</v>
      </c>
      <c r="M43" s="414">
        <f t="shared" ca="1" si="17"/>
        <v>23962.867039999997</v>
      </c>
      <c r="N43" s="414"/>
      <c r="O43" s="547">
        <f t="shared" ca="1" si="5"/>
        <v>53</v>
      </c>
      <c r="Q43" s="547">
        <f t="shared" ca="1" si="18"/>
        <v>47</v>
      </c>
      <c r="R43" s="171" t="str">
        <f t="shared" ca="1" si="6"/>
        <v>R</v>
      </c>
      <c r="S43" s="416">
        <f t="shared" ca="1" si="6"/>
        <v>0</v>
      </c>
      <c r="U43" s="417">
        <f t="shared" ca="1" si="19"/>
        <v>24.026020875805031</v>
      </c>
      <c r="V43" s="418">
        <f t="shared" ca="1" si="20"/>
        <v>23962.867039999997</v>
      </c>
      <c r="X43" s="410">
        <f t="shared" ca="1" si="7"/>
        <v>2.355815347895511E-2</v>
      </c>
      <c r="Y43" s="410">
        <f t="shared" ca="1" si="24"/>
        <v>2.7917517079085047E-2</v>
      </c>
      <c r="Z43" s="410" t="str">
        <f t="shared" ca="1" si="24"/>
        <v/>
      </c>
      <c r="AA43" s="410" t="str">
        <f t="shared" ca="1" si="24"/>
        <v/>
      </c>
      <c r="AC43" s="419">
        <f t="shared" ca="1" si="9"/>
        <v>24.026020875805031</v>
      </c>
      <c r="AD43" s="419">
        <f t="shared" ca="1" si="25"/>
        <v>24.026020875805031</v>
      </c>
      <c r="AE43" s="419" t="str">
        <f t="shared" ca="1" si="25"/>
        <v/>
      </c>
      <c r="AF43" s="419" t="str">
        <f t="shared" ca="1" si="25"/>
        <v/>
      </c>
      <c r="AG43" s="420"/>
      <c r="AH43" s="416">
        <f t="shared" ca="1" si="11"/>
        <v>0.56600868728079434</v>
      </c>
      <c r="AI43" s="416">
        <f t="shared" ca="1" si="22"/>
        <v>0.67074684814274088</v>
      </c>
      <c r="AJ43" s="416" t="str">
        <f t="shared" ca="1" si="12"/>
        <v/>
      </c>
      <c r="AK43" s="416" t="str">
        <f t="shared" ca="1" si="13"/>
        <v/>
      </c>
    </row>
    <row r="44" spans="1:37" ht="11.1" customHeight="1">
      <c r="A44" s="423"/>
      <c r="B44" s="171">
        <f t="shared" si="23"/>
        <v>33</v>
      </c>
      <c r="C44" s="78" t="str">
        <f t="shared" ref="C44:C49" ca="1" si="26">OFFSET( INDIRECT( C$6 &amp; C$8 ), $B44 - 1, 0 )</f>
        <v>Public Service Enterprise Group Incorporated</v>
      </c>
      <c r="D44" s="84" t="str">
        <f t="shared" ref="D44:D49" ca="1" si="27">OFFSET( INDIRECT( D$7 &amp; D$8 ), $B44 - 1, 0 )</f>
        <v>PEG</v>
      </c>
      <c r="F44" s="413">
        <f t="shared" ca="1" si="14"/>
        <v>42.49483970618855</v>
      </c>
      <c r="G44" s="414">
        <f t="shared" ca="1" si="15"/>
        <v>42076.02</v>
      </c>
      <c r="H44" s="414"/>
      <c r="I44" s="547">
        <f t="shared" ref="I44:I49" ca="1" si="28">MATCH( $D44, INDIRECT( I$6 &amp; I$7 ), 0 )</f>
        <v>42</v>
      </c>
      <c r="K44" s="413">
        <f t="shared" ca="1" si="16"/>
        <v>84.49</v>
      </c>
      <c r="L44" s="415">
        <f t="shared" ca="1" si="16"/>
        <v>498</v>
      </c>
      <c r="M44" s="414">
        <f t="shared" ca="1" si="17"/>
        <v>42076.02</v>
      </c>
      <c r="N44" s="414"/>
      <c r="O44" s="547">
        <f t="shared" ca="1" si="5"/>
        <v>100</v>
      </c>
      <c r="Q44" s="547">
        <f t="shared" ca="1" si="18"/>
        <v>48</v>
      </c>
      <c r="R44" s="171" t="str">
        <f t="shared" ca="1" si="6"/>
        <v>R</v>
      </c>
      <c r="S44" s="416">
        <f t="shared" ca="1" si="6"/>
        <v>0</v>
      </c>
      <c r="U44" s="417">
        <f t="shared" ca="1" si="19"/>
        <v>42.49483970618855</v>
      </c>
      <c r="V44" s="418">
        <f t="shared" ca="1" si="20"/>
        <v>42076.02</v>
      </c>
      <c r="X44" s="410">
        <f t="shared" ca="1" si="7"/>
        <v>4.1365389846255429E-2</v>
      </c>
      <c r="Y44" s="410">
        <f t="shared" ca="1" si="24"/>
        <v>4.9019927582501996E-2</v>
      </c>
      <c r="Z44" s="410" t="str">
        <f t="shared" ca="1" si="24"/>
        <v/>
      </c>
      <c r="AA44" s="410" t="str">
        <f t="shared" ca="1" si="24"/>
        <v/>
      </c>
      <c r="AC44" s="419">
        <f t="shared" ca="1" si="9"/>
        <v>42.49483970618855</v>
      </c>
      <c r="AD44" s="419">
        <f t="shared" ca="1" si="25"/>
        <v>42.49483970618855</v>
      </c>
      <c r="AE44" s="419" t="str">
        <f t="shared" ca="1" si="25"/>
        <v/>
      </c>
      <c r="AF44" s="419" t="str">
        <f t="shared" ca="1" si="25"/>
        <v/>
      </c>
      <c r="AG44" s="420"/>
      <c r="AH44" s="416">
        <f t="shared" ca="1" si="11"/>
        <v>1.757815610900624</v>
      </c>
      <c r="AI44" s="416">
        <f t="shared" ca="1" si="22"/>
        <v>2.083093965027393</v>
      </c>
      <c r="AJ44" s="416" t="str">
        <f t="shared" ca="1" si="12"/>
        <v/>
      </c>
      <c r="AK44" s="416" t="str">
        <f t="shared" ca="1" si="13"/>
        <v/>
      </c>
    </row>
    <row r="45" spans="1:37" ht="11.1" customHeight="1">
      <c r="A45" s="423"/>
      <c r="B45" s="171">
        <f t="shared" si="23"/>
        <v>34</v>
      </c>
      <c r="C45" s="78" t="str">
        <f t="shared" ca="1" si="26"/>
        <v xml:space="preserve">Sempra </v>
      </c>
      <c r="D45" s="84" t="str">
        <f t="shared" ca="1" si="27"/>
        <v>SRE</v>
      </c>
      <c r="F45" s="413">
        <f t="shared" ca="1" si="14"/>
        <v>21.095646999662911</v>
      </c>
      <c r="G45" s="414">
        <f t="shared" ca="1" si="15"/>
        <v>55592.725439999995</v>
      </c>
      <c r="H45" s="414"/>
      <c r="I45" s="547">
        <f t="shared" ca="1" si="28"/>
        <v>43</v>
      </c>
      <c r="K45" s="413">
        <f t="shared" ca="1" si="16"/>
        <v>87.72</v>
      </c>
      <c r="L45" s="415">
        <f t="shared" ca="1" si="16"/>
        <v>633.75199999999995</v>
      </c>
      <c r="M45" s="414">
        <f t="shared" ca="1" si="17"/>
        <v>55592.725439999995</v>
      </c>
      <c r="N45" s="414"/>
      <c r="O45" s="547">
        <f t="shared" ca="1" si="5"/>
        <v>103</v>
      </c>
      <c r="Q45" s="547">
        <f t="shared" ca="1" si="18"/>
        <v>49</v>
      </c>
      <c r="R45" s="171" t="str">
        <f t="shared" ca="1" si="6"/>
        <v>R</v>
      </c>
      <c r="S45" s="416">
        <f t="shared" ca="1" si="6"/>
        <v>0</v>
      </c>
      <c r="U45" s="417">
        <f t="shared" ca="1" si="19"/>
        <v>21.095646999662911</v>
      </c>
      <c r="V45" s="418">
        <f t="shared" ca="1" si="20"/>
        <v>55592.725439999995</v>
      </c>
      <c r="X45" s="410">
        <f t="shared" ca="1" si="7"/>
        <v>5.4653808997178005E-2</v>
      </c>
      <c r="Y45" s="410">
        <f t="shared" ca="1" si="24"/>
        <v>6.4767327688852613E-2</v>
      </c>
      <c r="Z45" s="410" t="str">
        <f t="shared" ca="1" si="24"/>
        <v/>
      </c>
      <c r="AA45" s="410" t="str">
        <f t="shared" ca="1" si="24"/>
        <v/>
      </c>
      <c r="AC45" s="419">
        <f t="shared" ca="1" si="9"/>
        <v>21.095646999662911</v>
      </c>
      <c r="AD45" s="419">
        <f t="shared" ca="1" si="25"/>
        <v>21.095646999662911</v>
      </c>
      <c r="AE45" s="419" t="str">
        <f t="shared" ca="1" si="25"/>
        <v/>
      </c>
      <c r="AF45" s="419" t="str">
        <f t="shared" ca="1" si="25"/>
        <v/>
      </c>
      <c r="AG45" s="420"/>
      <c r="AH45" s="416">
        <f t="shared" ca="1" si="11"/>
        <v>1.152957461791468</v>
      </c>
      <c r="AI45" s="416">
        <f t="shared" ca="1" si="22"/>
        <v>1.3663086820355281</v>
      </c>
      <c r="AJ45" s="416" t="str">
        <f t="shared" ca="1" si="12"/>
        <v/>
      </c>
      <c r="AK45" s="416" t="str">
        <f t="shared" ca="1" si="13"/>
        <v/>
      </c>
    </row>
    <row r="46" spans="1:37" ht="11.1" customHeight="1">
      <c r="A46" s="423"/>
      <c r="B46" s="171">
        <f t="shared" si="23"/>
        <v>35</v>
      </c>
      <c r="C46" s="78" t="str">
        <f t="shared" ca="1" si="26"/>
        <v>Southern Company</v>
      </c>
      <c r="D46" s="84" t="str">
        <f t="shared" ca="1" si="27"/>
        <v>SO</v>
      </c>
      <c r="F46" s="413">
        <f t="shared" ca="1" si="14"/>
        <v>21.654633936471555</v>
      </c>
      <c r="G46" s="414">
        <f t="shared" ca="1" si="15"/>
        <v>90305.04</v>
      </c>
      <c r="H46" s="414"/>
      <c r="I46" s="547">
        <f t="shared" ca="1" si="28"/>
        <v>44</v>
      </c>
      <c r="K46" s="413">
        <f t="shared" ca="1" si="16"/>
        <v>82.32</v>
      </c>
      <c r="L46" s="415">
        <f t="shared" ca="1" si="16"/>
        <v>1097</v>
      </c>
      <c r="M46" s="414">
        <f t="shared" ca="1" si="17"/>
        <v>90305.04</v>
      </c>
      <c r="N46" s="414"/>
      <c r="O46" s="547">
        <f t="shared" ca="1" si="5"/>
        <v>59</v>
      </c>
      <c r="Q46" s="547">
        <f t="shared" ca="1" si="18"/>
        <v>50</v>
      </c>
      <c r="R46" s="171" t="str">
        <f t="shared" ca="1" si="6"/>
        <v>R</v>
      </c>
      <c r="S46" s="416">
        <f t="shared" ca="1" si="6"/>
        <v>0</v>
      </c>
      <c r="U46" s="417">
        <f t="shared" ca="1" si="19"/>
        <v>21.654633936471555</v>
      </c>
      <c r="V46" s="418">
        <f t="shared" ca="1" si="20"/>
        <v>90305.04</v>
      </c>
      <c r="X46" s="410">
        <f t="shared" ca="1" si="7"/>
        <v>8.8779860468782223E-2</v>
      </c>
      <c r="Y46" s="410">
        <f t="shared" ca="1" si="24"/>
        <v>0.10520829967128417</v>
      </c>
      <c r="Z46" s="410" t="str">
        <f t="shared" ca="1" si="24"/>
        <v/>
      </c>
      <c r="AA46" s="410" t="str">
        <f t="shared" ca="1" si="24"/>
        <v/>
      </c>
      <c r="AC46" s="419">
        <f t="shared" ca="1" si="9"/>
        <v>21.654633936471555</v>
      </c>
      <c r="AD46" s="419">
        <f t="shared" ca="1" si="25"/>
        <v>21.654633936471555</v>
      </c>
      <c r="AE46" s="419" t="str">
        <f t="shared" ca="1" si="25"/>
        <v/>
      </c>
      <c r="AF46" s="419" t="str">
        <f t="shared" ca="1" si="25"/>
        <v/>
      </c>
      <c r="AG46" s="420"/>
      <c r="AH46" s="416">
        <f t="shared" ca="1" si="11"/>
        <v>1.922495379382501</v>
      </c>
      <c r="AI46" s="416">
        <f t="shared" ca="1" si="22"/>
        <v>2.2782472164602594</v>
      </c>
      <c r="AJ46" s="416" t="str">
        <f t="shared" ca="1" si="12"/>
        <v/>
      </c>
      <c r="AK46" s="416" t="str">
        <f t="shared" ca="1" si="13"/>
        <v/>
      </c>
    </row>
    <row r="47" spans="1:37" ht="11.1" customHeight="1">
      <c r="A47" s="423"/>
      <c r="B47" s="171">
        <f t="shared" si="23"/>
        <v>36</v>
      </c>
      <c r="C47" s="78" t="str">
        <f t="shared" ca="1" si="26"/>
        <v>Unitil Corporation</v>
      </c>
      <c r="D47" s="84" t="str">
        <f t="shared" ca="1" si="27"/>
        <v>UTL</v>
      </c>
      <c r="F47" s="413">
        <f t="shared" ca="1" si="14"/>
        <v>6.3337305610909</v>
      </c>
      <c r="G47" s="414">
        <f t="shared" ca="1" si="15"/>
        <v>872.45900000000006</v>
      </c>
      <c r="H47" s="414"/>
      <c r="I47" s="547">
        <f t="shared" ca="1" si="28"/>
        <v>45</v>
      </c>
      <c r="K47" s="413">
        <f t="shared" ca="1" si="16"/>
        <v>54.19</v>
      </c>
      <c r="L47" s="415">
        <f t="shared" ca="1" si="16"/>
        <v>16.100000000000001</v>
      </c>
      <c r="M47" s="414">
        <f t="shared" ca="1" si="17"/>
        <v>872.45900000000006</v>
      </c>
      <c r="N47" s="414"/>
      <c r="O47" s="547">
        <f t="shared" ca="1" si="5"/>
        <v>67</v>
      </c>
      <c r="Q47" s="547">
        <f t="shared" ca="1" si="18"/>
        <v>51</v>
      </c>
      <c r="R47" s="171" t="str">
        <f t="shared" ca="1" si="6"/>
        <v>R</v>
      </c>
      <c r="S47" s="416">
        <f t="shared" ca="1" si="6"/>
        <v>0</v>
      </c>
      <c r="U47" s="417">
        <f t="shared" ca="1" si="19"/>
        <v>6.3337305610909</v>
      </c>
      <c r="V47" s="418">
        <f t="shared" ca="1" si="20"/>
        <v>872.45900000000006</v>
      </c>
      <c r="X47" s="410">
        <f t="shared" ca="1" si="7"/>
        <v>8.5772386884201907E-4</v>
      </c>
      <c r="Y47" s="410">
        <f t="shared" ca="1" si="24"/>
        <v>1.0164430238102872E-3</v>
      </c>
      <c r="Z47" s="410" t="str">
        <f t="shared" ca="1" si="24"/>
        <v/>
      </c>
      <c r="AA47" s="410" t="str">
        <f t="shared" ca="1" si="24"/>
        <v/>
      </c>
      <c r="AC47" s="419">
        <f t="shared" ca="1" si="9"/>
        <v>6.3337305610909</v>
      </c>
      <c r="AD47" s="419">
        <f t="shared" ca="1" si="25"/>
        <v>6.3337305610909</v>
      </c>
      <c r="AE47" s="419" t="str">
        <f t="shared" ca="1" si="25"/>
        <v/>
      </c>
      <c r="AF47" s="419" t="str">
        <f t="shared" ca="1" si="25"/>
        <v/>
      </c>
      <c r="AG47" s="420"/>
      <c r="AH47" s="416">
        <f t="shared" ca="1" si="11"/>
        <v>5.4325918810618186E-3</v>
      </c>
      <c r="AI47" s="416">
        <f t="shared" ca="1" si="22"/>
        <v>6.4378762435148614E-3</v>
      </c>
      <c r="AJ47" s="416" t="str">
        <f t="shared" ca="1" si="12"/>
        <v/>
      </c>
      <c r="AK47" s="416" t="str">
        <f t="shared" ca="1" si="13"/>
        <v/>
      </c>
    </row>
    <row r="48" spans="1:37" ht="11.1" customHeight="1">
      <c r="A48" s="423"/>
      <c r="B48" s="171">
        <f t="shared" si="23"/>
        <v>37</v>
      </c>
      <c r="C48" s="78" t="str">
        <f t="shared" ca="1" si="26"/>
        <v>WEC Energy Group, Inc.</v>
      </c>
      <c r="D48" s="84" t="str">
        <f t="shared" ca="1" si="27"/>
        <v>WEC</v>
      </c>
      <c r="F48" s="413">
        <f t="shared" ca="1" si="14"/>
        <v>16.075270288134689</v>
      </c>
      <c r="G48" s="414">
        <f t="shared" ca="1" si="15"/>
        <v>29735.448</v>
      </c>
      <c r="H48" s="414"/>
      <c r="I48" s="547">
        <f t="shared" ca="1" si="28"/>
        <v>46</v>
      </c>
      <c r="K48" s="413">
        <f t="shared" ca="1" si="16"/>
        <v>94.04</v>
      </c>
      <c r="L48" s="415">
        <f t="shared" ca="1" si="16"/>
        <v>316.2</v>
      </c>
      <c r="M48" s="414">
        <f t="shared" ca="1" si="17"/>
        <v>29735.448</v>
      </c>
      <c r="N48" s="414"/>
      <c r="O48" s="547">
        <f t="shared" ca="1" si="5"/>
        <v>110</v>
      </c>
      <c r="Q48" s="547">
        <f t="shared" ca="1" si="18"/>
        <v>52</v>
      </c>
      <c r="R48" s="171" t="str">
        <f t="shared" ca="1" si="6"/>
        <v>R</v>
      </c>
      <c r="S48" s="416">
        <f t="shared" ca="1" si="6"/>
        <v>0</v>
      </c>
      <c r="U48" s="417">
        <f t="shared" ca="1" si="19"/>
        <v>16.075270288134689</v>
      </c>
      <c r="V48" s="418">
        <f t="shared" ca="1" si="20"/>
        <v>29735.448</v>
      </c>
      <c r="X48" s="410">
        <f t="shared" ca="1" si="7"/>
        <v>2.9233240187000964E-2</v>
      </c>
      <c r="Y48" s="410">
        <f t="shared" ca="1" si="24"/>
        <v>3.4642761068971212E-2</v>
      </c>
      <c r="Z48" s="410" t="str">
        <f t="shared" ca="1" si="24"/>
        <v/>
      </c>
      <c r="AA48" s="410" t="str">
        <f t="shared" ca="1" si="24"/>
        <v/>
      </c>
      <c r="AC48" s="419">
        <f t="shared" ca="1" si="9"/>
        <v>16.075270288134689</v>
      </c>
      <c r="AD48" s="419">
        <f t="shared" ca="1" si="25"/>
        <v>16.075270288134689</v>
      </c>
      <c r="AE48" s="419" t="str">
        <f t="shared" ca="1" si="25"/>
        <v/>
      </c>
      <c r="AF48" s="419" t="str">
        <f t="shared" ca="1" si="25"/>
        <v/>
      </c>
      <c r="AG48" s="420"/>
      <c r="AH48" s="416">
        <f t="shared" ca="1" si="11"/>
        <v>0.46993223740400158</v>
      </c>
      <c r="AI48" s="416">
        <f t="shared" ca="1" si="22"/>
        <v>0.55689174771098204</v>
      </c>
      <c r="AJ48" s="416" t="str">
        <f t="shared" ca="1" si="12"/>
        <v/>
      </c>
      <c r="AK48" s="416" t="str">
        <f t="shared" ca="1" si="13"/>
        <v/>
      </c>
    </row>
    <row r="49" spans="1:37" ht="11.1" customHeight="1">
      <c r="A49" s="423"/>
      <c r="B49" s="171">
        <f t="shared" si="23"/>
        <v>38</v>
      </c>
      <c r="C49" s="78" t="str">
        <f t="shared" ca="1" si="26"/>
        <v>Xcel Energy Inc.</v>
      </c>
      <c r="D49" s="84" t="str">
        <f t="shared" ca="1" si="27"/>
        <v>XEL</v>
      </c>
      <c r="F49" s="413">
        <f t="shared" ca="1" si="14"/>
        <v>13.145090079277221</v>
      </c>
      <c r="G49" s="414">
        <f t="shared" ca="1" si="15"/>
        <v>38081.279999999999</v>
      </c>
      <c r="H49" s="414"/>
      <c r="I49" s="547">
        <f t="shared" ca="1" si="28"/>
        <v>47</v>
      </c>
      <c r="K49" s="413">
        <f t="shared" ca="1" si="16"/>
        <v>67.52</v>
      </c>
      <c r="L49" s="415">
        <f t="shared" ca="1" si="16"/>
        <v>564</v>
      </c>
      <c r="M49" s="414">
        <f t="shared" ca="1" si="17"/>
        <v>38081.279999999999</v>
      </c>
      <c r="N49" s="414"/>
      <c r="O49" s="547">
        <f t="shared" ca="1" si="5"/>
        <v>92</v>
      </c>
      <c r="Q49" s="547">
        <f t="shared" ca="1" si="18"/>
        <v>53</v>
      </c>
      <c r="R49" s="171" t="str">
        <f t="shared" ca="1" si="6"/>
        <v>R</v>
      </c>
      <c r="S49" s="416">
        <f t="shared" ca="1" si="6"/>
        <v>0</v>
      </c>
      <c r="U49" s="417">
        <f t="shared" ca="1" si="19"/>
        <v>13.145090079277221</v>
      </c>
      <c r="V49" s="418">
        <f t="shared" ca="1" si="20"/>
        <v>38081.279999999999</v>
      </c>
      <c r="X49" s="410">
        <f t="shared" ca="1" si="7"/>
        <v>3.7438117793565311E-2</v>
      </c>
      <c r="Y49" s="410">
        <f t="shared" ca="1" si="24"/>
        <v>4.4365925956138003E-2</v>
      </c>
      <c r="Z49" s="410" t="str">
        <f t="shared" ca="1" si="24"/>
        <v/>
      </c>
      <c r="AA49" s="410" t="str">
        <f t="shared" ca="1" si="24"/>
        <v/>
      </c>
      <c r="AC49" s="419">
        <f t="shared" ca="1" si="9"/>
        <v>13.145090079277221</v>
      </c>
      <c r="AD49" s="419">
        <f t="shared" ca="1" si="25"/>
        <v>13.145090079277221</v>
      </c>
      <c r="AE49" s="419" t="str">
        <f t="shared" ca="1" si="25"/>
        <v/>
      </c>
      <c r="AF49" s="419" t="str">
        <f t="shared" ca="1" si="25"/>
        <v/>
      </c>
      <c r="AG49" s="420"/>
      <c r="AH49" s="416">
        <f t="shared" ca="1" si="11"/>
        <v>0.49212743079500737</v>
      </c>
      <c r="AI49" s="416">
        <f t="shared" ca="1" si="22"/>
        <v>0.58319409314397741</v>
      </c>
      <c r="AJ49" s="416" t="str">
        <f t="shared" ca="1" si="12"/>
        <v/>
      </c>
      <c r="AK49" s="416" t="str">
        <f t="shared" ca="1" si="13"/>
        <v/>
      </c>
    </row>
    <row r="50" spans="1:37" ht="11.1" customHeight="1">
      <c r="A50" s="423"/>
      <c r="F50" s="426"/>
      <c r="G50" s="415"/>
      <c r="H50" s="427"/>
      <c r="I50" s="409"/>
      <c r="K50" s="426"/>
      <c r="L50" s="415"/>
      <c r="M50" s="427"/>
      <c r="N50" s="427"/>
      <c r="O50" s="409"/>
      <c r="P50" s="428"/>
      <c r="V50" s="418"/>
      <c r="W50" s="428"/>
      <c r="AC50" s="420"/>
      <c r="AD50" s="420"/>
      <c r="AE50" s="420"/>
      <c r="AF50" s="420"/>
      <c r="AG50" s="420"/>
      <c r="AH50" s="420"/>
      <c r="AI50" s="420"/>
      <c r="AJ50" s="420"/>
      <c r="AK50" s="420"/>
    </row>
    <row r="51" spans="1:37" ht="11.1" customHeight="1">
      <c r="A51" s="423"/>
      <c r="H51" s="427"/>
      <c r="I51" s="429"/>
      <c r="M51" s="427"/>
      <c r="N51" s="427"/>
      <c r="O51" s="429"/>
      <c r="P51" s="428"/>
      <c r="W51" s="428"/>
      <c r="AC51" s="420"/>
      <c r="AD51" s="420"/>
      <c r="AE51" s="420"/>
      <c r="AF51" s="420"/>
      <c r="AG51" s="420"/>
      <c r="AH51" s="420"/>
      <c r="AI51" s="420"/>
      <c r="AJ51" s="420"/>
      <c r="AK51" s="420"/>
    </row>
    <row r="52" spans="1:37" ht="11.1" customHeight="1">
      <c r="A52" s="422"/>
      <c r="G52" s="78"/>
      <c r="H52" s="427"/>
      <c r="I52" s="429"/>
      <c r="L52" s="78"/>
      <c r="M52" s="427"/>
      <c r="N52" s="427"/>
      <c r="O52" s="429"/>
      <c r="P52" s="428"/>
      <c r="U52" s="424"/>
      <c r="W52" s="428"/>
      <c r="X52" s="415"/>
      <c r="Y52" s="415"/>
      <c r="AA52" s="415"/>
      <c r="AC52" s="420"/>
      <c r="AD52" s="420"/>
      <c r="AE52" s="420"/>
      <c r="AF52" s="420"/>
      <c r="AG52" s="420"/>
      <c r="AH52" s="420"/>
      <c r="AI52" s="420"/>
      <c r="AJ52" s="420"/>
      <c r="AK52" s="420"/>
    </row>
    <row r="53" spans="1:37" s="400" customFormat="1" ht="11.1" customHeight="1">
      <c r="A53" s="423"/>
      <c r="B53" s="398"/>
      <c r="C53" s="400" t="s">
        <v>73</v>
      </c>
      <c r="D53" s="83"/>
      <c r="F53" s="226"/>
      <c r="G53" s="430">
        <f ca="1">SUM(G12:G50)</f>
        <v>1017179.3413862603</v>
      </c>
      <c r="I53" s="431"/>
      <c r="K53" s="226"/>
      <c r="L53" s="430"/>
      <c r="M53" s="430">
        <f ca="1">SUM(M12:M50)</f>
        <v>1017179.3413862603</v>
      </c>
      <c r="O53" s="431"/>
      <c r="V53" s="432">
        <f ca="1">SUM(V12:V50)</f>
        <v>1017179.3413862603</v>
      </c>
      <c r="X53" s="433">
        <f ca="1">V53</f>
        <v>1017179.3413862603</v>
      </c>
      <c r="Y53" s="433">
        <f ca="1">SUMIF( $R$12:$R$49, Y$4, $V$12:$V$49 )</f>
        <v>858345.20928626019</v>
      </c>
      <c r="Z53" s="433">
        <f ca="1">SUMIF( $R$12:$R$49, Z$4, $V$12:$V$49 )</f>
        <v>158834.13209999999</v>
      </c>
      <c r="AA53" s="433"/>
      <c r="AB53" s="226"/>
      <c r="AC53" s="434"/>
      <c r="AD53" s="434"/>
      <c r="AE53" s="434"/>
      <c r="AF53" s="434"/>
      <c r="AG53" s="435"/>
      <c r="AH53" s="434"/>
      <c r="AI53" s="434"/>
      <c r="AJ53" s="434"/>
      <c r="AK53" s="434"/>
    </row>
    <row r="54" spans="1:37" s="400" customFormat="1" ht="11.1" customHeight="1">
      <c r="B54" s="398"/>
      <c r="C54" s="400" t="s">
        <v>354</v>
      </c>
      <c r="D54" s="83"/>
      <c r="F54" s="226"/>
      <c r="G54" s="226"/>
      <c r="I54" s="226"/>
      <c r="K54" s="226"/>
      <c r="L54" s="226"/>
      <c r="O54" s="226"/>
      <c r="X54" s="436">
        <f ca="1">AVERAGE( X$12:X$50 )</f>
        <v>2.6315789473684195E-2</v>
      </c>
      <c r="Y54" s="437">
        <f ca="1">AVERAGE( Y$12:Y$50 )</f>
        <v>3.03030303030303E-2</v>
      </c>
      <c r="Z54" s="437">
        <f ca="1">AVERAGE( Z$12:Z$50 )</f>
        <v>0.2</v>
      </c>
      <c r="AA54" s="437"/>
      <c r="AB54" s="226"/>
      <c r="AC54" s="434">
        <f ca="1">AVERAGE( AC$12:AC$50 )</f>
        <v>17.91184382428742</v>
      </c>
      <c r="AD54" s="434">
        <f ca="1">AVERAGE( AD$12:AD$50 )</f>
        <v>18.741459607597559</v>
      </c>
      <c r="AE54" s="434">
        <f ca="1">AVERAGE( AE$12:AE$50 )</f>
        <v>12.436379654440485</v>
      </c>
      <c r="AF54" s="434"/>
      <c r="AG54" s="226"/>
      <c r="AH54" s="434">
        <f ca="1">SUM( AH$12:AH$50 )</f>
        <v>19.969310563147967</v>
      </c>
      <c r="AI54" s="434">
        <f ca="1">SUM( AI$12:AI$50 )</f>
        <v>19.710649243099894</v>
      </c>
      <c r="AJ54" s="434">
        <f ca="1">SUM( AJ$12:AJ$50 )</f>
        <v>21.367125390197501</v>
      </c>
      <c r="AK54" s="434"/>
    </row>
    <row r="55" spans="1:37" ht="11.1" customHeight="1">
      <c r="X55" s="436">
        <f ca="1">SUM(X12:X49)</f>
        <v>0.99999999999999944</v>
      </c>
    </row>
  </sheetData>
  <mergeCells count="3">
    <mergeCell ref="F2:I2"/>
    <mergeCell ref="K2:O2"/>
    <mergeCell ref="Q2:S2"/>
  </mergeCells>
  <pageMargins left="0.25" right="0.31" top="0.34" bottom="0.28000000000000003" header="0.2" footer="0.21"/>
  <pageSetup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A1:OV1053"/>
  <sheetViews>
    <sheetView zoomScaleNormal="100" workbookViewId="0">
      <pane xSplit="2" ySplit="7" topLeftCell="C73" activePane="bottomRight" state="frozen"/>
      <selection activeCell="C51" sqref="C51"/>
      <selection pane="topRight" activeCell="C51" sqref="C51"/>
      <selection pane="bottomLeft" activeCell="C51" sqref="C51"/>
      <selection pane="bottomRight" activeCell="B2" sqref="B2"/>
    </sheetView>
  </sheetViews>
  <sheetFormatPr defaultColWidth="9.140625" defaultRowHeight="12.75"/>
  <cols>
    <col min="1" max="1" width="10.7109375" style="294" customWidth="1"/>
    <col min="2" max="2" width="40.7109375" style="332" customWidth="1"/>
    <col min="3" max="26" width="10.7109375" style="332" customWidth="1"/>
    <col min="27" max="50" width="10.85546875" style="332" customWidth="1"/>
    <col min="51" max="62" width="10.7109375" customWidth="1"/>
    <col min="63" max="77" width="10.85546875" style="56" customWidth="1"/>
    <col min="78" max="86" width="10.85546875" style="332" customWidth="1"/>
    <col min="87" max="92" width="10.7109375" style="346" customWidth="1"/>
    <col min="93" max="104" width="10.7109375" style="333" customWidth="1"/>
    <col min="105" max="116" width="10.7109375" style="332" customWidth="1"/>
    <col min="117" max="117" width="10.5703125" style="332" customWidth="1"/>
    <col min="118" max="143" width="10.7109375" style="332" customWidth="1"/>
    <col min="144" max="155" width="10.5703125" style="332" customWidth="1"/>
    <col min="156" max="156" width="10.42578125" style="332" customWidth="1"/>
    <col min="157" max="158" width="9.42578125" style="332" customWidth="1"/>
    <col min="159" max="164" width="9.5703125" style="332" customWidth="1"/>
    <col min="165" max="165" width="9.28515625" style="332" customWidth="1"/>
    <col min="166" max="167" width="9.5703125" style="332" customWidth="1"/>
    <col min="168" max="168" width="9.42578125" style="332" customWidth="1"/>
    <col min="169" max="173" width="9.5703125" style="332" customWidth="1"/>
    <col min="174" max="188" width="9.42578125" style="332" customWidth="1"/>
    <col min="189" max="203" width="9.5703125" style="332" customWidth="1"/>
    <col min="204" max="206" width="9.28515625" style="332" customWidth="1"/>
    <col min="207" max="207" width="9.140625" style="332" customWidth="1"/>
    <col min="208" max="230" width="9.28515625" style="332" customWidth="1"/>
    <col min="231" max="233" width="9.28515625" style="335" customWidth="1"/>
    <col min="234" max="239" width="9.28515625" style="333" customWidth="1"/>
    <col min="240" max="242" width="8.42578125" style="333" customWidth="1"/>
    <col min="243" max="305" width="8.42578125" style="332" customWidth="1"/>
    <col min="306" max="306" width="8" style="332" customWidth="1"/>
    <col min="307" max="308" width="8.42578125" style="332" customWidth="1"/>
    <col min="309" max="309" width="8" style="332" customWidth="1"/>
    <col min="310" max="310" width="8.42578125" style="332" customWidth="1"/>
    <col min="311" max="311" width="8.5703125" style="332" customWidth="1"/>
    <col min="312" max="312" width="7.7109375" style="332" customWidth="1"/>
    <col min="313" max="313" width="9" style="332" customWidth="1"/>
    <col min="314" max="314" width="7.7109375" style="332" customWidth="1"/>
    <col min="315" max="315" width="8.140625" style="332" customWidth="1"/>
    <col min="316" max="316" width="9" style="332" customWidth="1"/>
    <col min="317" max="317" width="7.140625" style="332" customWidth="1"/>
    <col min="318" max="318" width="7.28515625" style="332" customWidth="1"/>
    <col min="319" max="319" width="8" style="332" customWidth="1"/>
    <col min="320" max="320" width="7.28515625" style="332" customWidth="1"/>
    <col min="321" max="380" width="9.28515625" style="332" bestFit="1" customWidth="1"/>
    <col min="381" max="381" width="9.5703125" style="332" bestFit="1" customWidth="1"/>
    <col min="382" max="412" width="9.28515625" style="332" bestFit="1" customWidth="1"/>
    <col min="413" max="16384" width="9.140625" style="332"/>
  </cols>
  <sheetData>
    <row r="1" spans="1:412"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HT1" s="333"/>
      <c r="HU1" s="333"/>
      <c r="HV1" s="333"/>
    </row>
    <row r="2" spans="1:412">
      <c r="HT2" s="333"/>
      <c r="HU2" s="333"/>
      <c r="HV2" s="333"/>
    </row>
    <row r="3" spans="1:412">
      <c r="HT3" s="333"/>
      <c r="HU3" s="333"/>
      <c r="HV3" s="333"/>
    </row>
    <row r="4" spans="1:412">
      <c r="HT4" s="333"/>
      <c r="HU4" s="333"/>
      <c r="HV4" s="333"/>
    </row>
    <row r="5" spans="1:412">
      <c r="C5" s="136" t="str">
        <f t="shared" ref="C5:N5" si="0">C6 &amp;":::" &amp; C7</f>
        <v>2024.4:::Shares</v>
      </c>
      <c r="D5" s="136" t="str">
        <f t="shared" si="0"/>
        <v>2024.4:::Price</v>
      </c>
      <c r="E5" s="136" t="str">
        <f t="shared" si="0"/>
        <v>2024.4:::Dividend</v>
      </c>
      <c r="F5" s="136" t="str">
        <f t="shared" si="0"/>
        <v>2024.3:::Shares</v>
      </c>
      <c r="G5" s="136" t="str">
        <f t="shared" si="0"/>
        <v>2024.3:::Price</v>
      </c>
      <c r="H5" s="136" t="str">
        <f t="shared" si="0"/>
        <v>2024.3:::Dividend</v>
      </c>
      <c r="I5" s="136" t="str">
        <f t="shared" si="0"/>
        <v>2024.2:::Shares</v>
      </c>
      <c r="J5" s="136" t="str">
        <f t="shared" si="0"/>
        <v>2024.2:::Price</v>
      </c>
      <c r="K5" s="136" t="str">
        <f t="shared" si="0"/>
        <v>2024.2:::Dividend</v>
      </c>
      <c r="L5" s="136" t="str">
        <f t="shared" si="0"/>
        <v>2024.1:::Shares</v>
      </c>
      <c r="M5" s="136" t="str">
        <f t="shared" si="0"/>
        <v>2024.1:::Price</v>
      </c>
      <c r="N5" s="136" t="str">
        <f t="shared" si="0"/>
        <v>2024.1:::Dividend</v>
      </c>
      <c r="O5" s="136" t="str">
        <f t="shared" ref="O5" si="1">O6 &amp;":::" &amp; O7</f>
        <v>2023.4:::Shares</v>
      </c>
      <c r="P5" s="136" t="str">
        <f t="shared" ref="P5:T5" si="2">P6 &amp;":::" &amp; P7</f>
        <v>2023.4:::Price</v>
      </c>
      <c r="Q5" s="136" t="str">
        <f t="shared" si="2"/>
        <v>2023.4:::Dividend</v>
      </c>
      <c r="R5" s="136" t="str">
        <f t="shared" si="2"/>
        <v>2023.3:::Shares</v>
      </c>
      <c r="S5" s="136" t="str">
        <f t="shared" si="2"/>
        <v>2023.3:::Price</v>
      </c>
      <c r="T5" s="136" t="str">
        <f t="shared" si="2"/>
        <v>2023.3:::Dividend</v>
      </c>
      <c r="U5" s="136" t="str">
        <f t="shared" ref="U5:W5" si="3">U6 &amp;":::" &amp; U7</f>
        <v>2023.2:::Shares</v>
      </c>
      <c r="V5" s="136" t="str">
        <f t="shared" si="3"/>
        <v>2023.2:::Price</v>
      </c>
      <c r="W5" s="136" t="str">
        <f t="shared" si="3"/>
        <v>2023.2:::Dividend</v>
      </c>
      <c r="X5" s="136" t="str">
        <f t="shared" ref="X5:Z5" si="4">X6 &amp;":::" &amp; X7</f>
        <v>2023.1:::Shares</v>
      </c>
      <c r="Y5" s="136" t="str">
        <f t="shared" si="4"/>
        <v>2023.1:::Price</v>
      </c>
      <c r="Z5" s="136" t="str">
        <f t="shared" si="4"/>
        <v>2023.1:::Dividend</v>
      </c>
      <c r="AA5" s="136" t="str">
        <f t="shared" ref="AA5:AC5" si="5">AA6 &amp;":::" &amp; AA7</f>
        <v>2022.4:::Shares</v>
      </c>
      <c r="AB5" s="136" t="str">
        <f t="shared" si="5"/>
        <v>2022.4:::Price</v>
      </c>
      <c r="AC5" s="136" t="str">
        <f t="shared" si="5"/>
        <v>2022.4:::Dividend</v>
      </c>
      <c r="AD5" s="136" t="str">
        <f t="shared" ref="AD5:AF5" si="6">AD6 &amp;":::" &amp; AD7</f>
        <v>2022.3:::Shares</v>
      </c>
      <c r="AE5" s="136" t="str">
        <f t="shared" si="6"/>
        <v>2022.3:::Price</v>
      </c>
      <c r="AF5" s="136" t="str">
        <f t="shared" si="6"/>
        <v>2022.3:::Dividend</v>
      </c>
      <c r="AG5" s="136" t="str">
        <f t="shared" ref="AG5:AI5" si="7">AG6 &amp;":::" &amp; AG7</f>
        <v>2022.2:::Shares</v>
      </c>
      <c r="AH5" s="136" t="str">
        <f t="shared" si="7"/>
        <v>2022.2:::Price</v>
      </c>
      <c r="AI5" s="136" t="str">
        <f t="shared" si="7"/>
        <v>2022.2:::Dividend</v>
      </c>
      <c r="AJ5" s="136" t="str">
        <f t="shared" ref="AJ5:AL5" si="8">AJ6 &amp;":::" &amp; AJ7</f>
        <v>2022.1:::Shares</v>
      </c>
      <c r="AK5" s="136" t="str">
        <f t="shared" si="8"/>
        <v>2022.1:::Price</v>
      </c>
      <c r="AL5" s="136" t="str">
        <f t="shared" si="8"/>
        <v>2022.1:::Dividend</v>
      </c>
      <c r="AM5" s="136" t="str">
        <f t="shared" ref="AM5:AO5" si="9">AM6 &amp;":::" &amp; AM7</f>
        <v>2021.4:::Shares</v>
      </c>
      <c r="AN5" s="136" t="str">
        <f t="shared" si="9"/>
        <v>2021.4:::Price</v>
      </c>
      <c r="AO5" s="136" t="str">
        <f t="shared" si="9"/>
        <v>2021.4:::Dividend</v>
      </c>
      <c r="AP5" s="136" t="str">
        <f t="shared" ref="AP5:AR5" si="10">AP6 &amp;":::" &amp; AP7</f>
        <v>2021.3:::Shares</v>
      </c>
      <c r="AQ5" s="136" t="str">
        <f t="shared" si="10"/>
        <v>2021.3:::Price</v>
      </c>
      <c r="AR5" s="136" t="str">
        <f t="shared" si="10"/>
        <v>2021.3:::Dividend</v>
      </c>
      <c r="AS5" s="136" t="str">
        <f t="shared" ref="AS5:AU5" si="11">AS6 &amp;":::" &amp; AS7</f>
        <v>2021.2:::Shares</v>
      </c>
      <c r="AT5" s="136" t="str">
        <f t="shared" si="11"/>
        <v>2021.2:::Price</v>
      </c>
      <c r="AU5" s="136" t="str">
        <f t="shared" si="11"/>
        <v>2021.2:::Dividend</v>
      </c>
      <c r="AV5" s="136" t="str">
        <f>AV6 &amp;":::" &amp; AV7</f>
        <v>2021.1:::Shares</v>
      </c>
      <c r="AW5" s="136" t="str">
        <f t="shared" ref="AW5:AX5" si="12">AW6 &amp;":::" &amp; AW7</f>
        <v>2021.1:::Price</v>
      </c>
      <c r="AX5" s="136" t="str">
        <f t="shared" si="12"/>
        <v>2021.1:::Dividend</v>
      </c>
      <c r="AY5" s="136" t="str">
        <f t="shared" ref="AY5:BA5" si="13">AY6 &amp;":::" &amp; AY7</f>
        <v>2020.4:::Shares</v>
      </c>
      <c r="AZ5" s="136" t="str">
        <f t="shared" si="13"/>
        <v>2020.4:::Price</v>
      </c>
      <c r="BA5" s="136" t="str">
        <f t="shared" si="13"/>
        <v>2020.4:::Dividend</v>
      </c>
      <c r="BB5" s="136" t="str">
        <f t="shared" ref="BB5:BD5" si="14">BB6 &amp;":::" &amp; BB7</f>
        <v>2020.3:::Shares</v>
      </c>
      <c r="BC5" s="136" t="str">
        <f t="shared" si="14"/>
        <v>2020.3:::Price</v>
      </c>
      <c r="BD5" s="136" t="str">
        <f t="shared" si="14"/>
        <v>2020.3:::Dividend</v>
      </c>
      <c r="BE5" s="136" t="str">
        <f t="shared" ref="BE5:BG5" si="15">BE6 &amp;":::" &amp; BE7</f>
        <v>2020.2:::Shares</v>
      </c>
      <c r="BF5" s="136" t="str">
        <f t="shared" si="15"/>
        <v>2020.2:::Price</v>
      </c>
      <c r="BG5" s="136" t="str">
        <f t="shared" si="15"/>
        <v>2020.2:::Dividend</v>
      </c>
      <c r="BH5" s="136" t="str">
        <f t="shared" ref="BH5:BJ5" si="16">BH6 &amp;":::" &amp; BH7</f>
        <v>2020.1:::Shares</v>
      </c>
      <c r="BI5" s="136" t="str">
        <f t="shared" si="16"/>
        <v>2020.1:::Price</v>
      </c>
      <c r="BJ5" s="136" t="str">
        <f t="shared" si="16"/>
        <v>2020.1:::Dividend</v>
      </c>
      <c r="BK5" s="136" t="str">
        <f t="shared" ref="BK5:BM5" si="17">BK6 &amp;":::" &amp; BK7</f>
        <v>2019.4:::Shares</v>
      </c>
      <c r="BL5" s="136" t="str">
        <f t="shared" si="17"/>
        <v>2019.4:::Price</v>
      </c>
      <c r="BM5" s="136" t="str">
        <f t="shared" si="17"/>
        <v>2019.4:::Dividend</v>
      </c>
      <c r="BN5" s="136" t="str">
        <f t="shared" ref="BN5:BP5" si="18">BN6 &amp;":::" &amp; BN7</f>
        <v>2019.3:::Shares</v>
      </c>
      <c r="BO5" s="136" t="str">
        <f t="shared" si="18"/>
        <v>2019.3:::Price</v>
      </c>
      <c r="BP5" s="136" t="str">
        <f t="shared" si="18"/>
        <v>2019.3:::Dividend</v>
      </c>
      <c r="BQ5" s="136" t="str">
        <f t="shared" ref="BQ5:BS5" si="19">BQ6 &amp;":::" &amp; BQ7</f>
        <v>2019.2:::Shares</v>
      </c>
      <c r="BR5" s="136" t="str">
        <f t="shared" si="19"/>
        <v>2019.2:::Price</v>
      </c>
      <c r="BS5" s="136" t="str">
        <f t="shared" si="19"/>
        <v>2019.2:::Dividend</v>
      </c>
      <c r="BT5" s="136" t="str">
        <f t="shared" ref="BT5:BV5" si="20">BT6 &amp;":::" &amp; BT7</f>
        <v>2019.1:::Shares</v>
      </c>
      <c r="BU5" s="136" t="str">
        <f t="shared" si="20"/>
        <v>2019.1:::Price</v>
      </c>
      <c r="BV5" s="136" t="str">
        <f t="shared" si="20"/>
        <v>2019.1:::Dividend</v>
      </c>
      <c r="BW5" s="136" t="str">
        <f t="shared" ref="BW5:BY5" si="21">BW6 &amp;":::" &amp; BW7</f>
        <v>2018.4:::Shares</v>
      </c>
      <c r="BX5" s="136" t="str">
        <f t="shared" si="21"/>
        <v>2018.4:::Price</v>
      </c>
      <c r="BY5" s="136" t="str">
        <f t="shared" si="21"/>
        <v>2018.4:::Dividend</v>
      </c>
      <c r="BZ5" s="136" t="str">
        <f t="shared" ref="BZ5:CB5" si="22">BZ6 &amp;":::" &amp; BZ7</f>
        <v>2018.3:::Shares</v>
      </c>
      <c r="CA5" s="136" t="str">
        <f t="shared" si="22"/>
        <v>2018.3:::Price</v>
      </c>
      <c r="CB5" s="136" t="str">
        <f t="shared" si="22"/>
        <v>2018.3:::Dividend</v>
      </c>
      <c r="CC5" s="136" t="str">
        <f t="shared" ref="CC5:CE5" si="23">CC6 &amp;":::" &amp; CC7</f>
        <v>2018.2:::Shares</v>
      </c>
      <c r="CD5" s="136" t="str">
        <f t="shared" si="23"/>
        <v>2018.2:::Price</v>
      </c>
      <c r="CE5" s="136" t="str">
        <f t="shared" si="23"/>
        <v>2018.2:::Dividend</v>
      </c>
      <c r="CF5" s="136" t="str">
        <f t="shared" ref="CF5:CH5" si="24">CF6 &amp;":::" &amp; CF7</f>
        <v>2018.1:::Shares</v>
      </c>
      <c r="CG5" s="136" t="str">
        <f t="shared" si="24"/>
        <v>2018.1:::Price</v>
      </c>
      <c r="CH5" s="136" t="str">
        <f t="shared" si="24"/>
        <v>2018.1:::Dividend</v>
      </c>
      <c r="CI5" s="136" t="str">
        <f t="shared" ref="CI5:DI5" si="25">CI6 &amp;":::" &amp; CI7</f>
        <v>2017.4:::Shares</v>
      </c>
      <c r="CJ5" s="136" t="str">
        <f t="shared" si="25"/>
        <v>2017.4:::Price</v>
      </c>
      <c r="CK5" s="136" t="str">
        <f t="shared" si="25"/>
        <v>2017.4:::Dividend</v>
      </c>
      <c r="CL5" s="136" t="str">
        <f t="shared" si="25"/>
        <v>2017.3:::Shares</v>
      </c>
      <c r="CM5" s="136" t="str">
        <f t="shared" si="25"/>
        <v>2017.3:::Price</v>
      </c>
      <c r="CN5" s="136" t="str">
        <f t="shared" si="25"/>
        <v>2017.3:::Dividend</v>
      </c>
      <c r="CO5" s="136" t="str">
        <f t="shared" si="25"/>
        <v>2017.2:::Shares</v>
      </c>
      <c r="CP5" s="136" t="str">
        <f t="shared" si="25"/>
        <v>2017.2:::Price</v>
      </c>
      <c r="CQ5" s="136" t="str">
        <f t="shared" si="25"/>
        <v>2017.2:::Dividend</v>
      </c>
      <c r="CR5" s="136" t="str">
        <f t="shared" si="25"/>
        <v>2017.1:::Shares</v>
      </c>
      <c r="CS5" s="136" t="str">
        <f t="shared" si="25"/>
        <v>2017.1:::Price</v>
      </c>
      <c r="CT5" s="136" t="str">
        <f t="shared" si="25"/>
        <v>2017.1:::Dividend</v>
      </c>
      <c r="CU5" s="136" t="str">
        <f t="shared" si="25"/>
        <v>2016.4:::Shares</v>
      </c>
      <c r="CV5" s="136" t="str">
        <f t="shared" si="25"/>
        <v>2016.4:::Price</v>
      </c>
      <c r="CW5" s="136" t="str">
        <f t="shared" si="25"/>
        <v>2016.4:::Dividend</v>
      </c>
      <c r="CX5" s="136" t="str">
        <f t="shared" si="25"/>
        <v>2016.3:::Shares</v>
      </c>
      <c r="CY5" s="136" t="str">
        <f t="shared" si="25"/>
        <v>2016.3:::Price</v>
      </c>
      <c r="CZ5" s="136" t="str">
        <f t="shared" si="25"/>
        <v>2016.3:::Dividend</v>
      </c>
      <c r="DA5" s="136" t="str">
        <f t="shared" si="25"/>
        <v>2016.2:::Shares</v>
      </c>
      <c r="DB5" s="136" t="str">
        <f t="shared" si="25"/>
        <v>2016.2:::Price</v>
      </c>
      <c r="DC5" s="136" t="str">
        <f t="shared" si="25"/>
        <v>2016.2:::Dividend</v>
      </c>
      <c r="DD5" s="136" t="str">
        <f t="shared" si="25"/>
        <v>2016.1:::Shares</v>
      </c>
      <c r="DE5" s="136" t="str">
        <f t="shared" si="25"/>
        <v>2016.1:::Price</v>
      </c>
      <c r="DF5" s="136" t="str">
        <f t="shared" si="25"/>
        <v>2016.1:::Dividend</v>
      </c>
      <c r="DG5" s="136" t="str">
        <f t="shared" si="25"/>
        <v>2015.4:::Shares</v>
      </c>
      <c r="DH5" s="136" t="str">
        <f t="shared" si="25"/>
        <v>2015.4:::Price</v>
      </c>
      <c r="DI5" s="136" t="str">
        <f t="shared" si="25"/>
        <v>2015.4:::Dividend</v>
      </c>
      <c r="DJ5" s="136" t="str">
        <f>DJ6 &amp;":::" &amp; DJ7</f>
        <v>2015.3:::Shares</v>
      </c>
      <c r="DK5" s="136" t="str">
        <f t="shared" ref="DK5:DL5" si="26">DK6 &amp;":::" &amp; DK7</f>
        <v>2015.3:::Price</v>
      </c>
      <c r="DL5" s="136" t="str">
        <f t="shared" si="26"/>
        <v>2015.3:::Dividend</v>
      </c>
      <c r="DM5" s="136" t="str">
        <f>DM6 &amp;":::" &amp; DM7</f>
        <v>2015.2:::Shares</v>
      </c>
      <c r="DN5" s="136" t="str">
        <f t="shared" ref="DN5:DO5" si="27">DN6 &amp;":::" &amp; DN7</f>
        <v>2015.2:::Price</v>
      </c>
      <c r="DO5" s="136" t="str">
        <f t="shared" si="27"/>
        <v>2015.2:::Dividend</v>
      </c>
      <c r="DP5" s="136" t="str">
        <f>DP6 &amp;":::" &amp; DP7</f>
        <v>2015.1:::Shares</v>
      </c>
      <c r="DQ5" s="136" t="str">
        <f t="shared" ref="DQ5:DR5" si="28">DQ6 &amp;":::" &amp; DQ7</f>
        <v>2015.1:::Price</v>
      </c>
      <c r="DR5" s="136" t="str">
        <f t="shared" si="28"/>
        <v>2015.1:::Dividend</v>
      </c>
      <c r="DS5" s="136" t="str">
        <f>DS6 &amp;":::" &amp; DS7</f>
        <v>2014.4:::Shares</v>
      </c>
      <c r="DT5" s="136" t="str">
        <f t="shared" ref="DT5:DU5" si="29">DT6 &amp;":::" &amp; DT7</f>
        <v>2014.4:::Price</v>
      </c>
      <c r="DU5" s="136" t="str">
        <f t="shared" si="29"/>
        <v>2014.4:::Dividend</v>
      </c>
      <c r="DV5" s="136" t="str">
        <f>DV6 &amp;":::" &amp; DV7</f>
        <v>2014.3:::Shares</v>
      </c>
      <c r="DW5" s="136" t="str">
        <f t="shared" ref="DW5:DX5" si="30">DW6 &amp;":::" &amp; DW7</f>
        <v>2014.3:::Price</v>
      </c>
      <c r="DX5" s="136" t="str">
        <f t="shared" si="30"/>
        <v>2014.3:::Dividend</v>
      </c>
      <c r="DY5" s="136" t="str">
        <f>DY6 &amp;":::" &amp; DY7</f>
        <v>2014.2:::Shares</v>
      </c>
      <c r="DZ5" s="136" t="str">
        <f t="shared" ref="DZ5:EA5" si="31">DZ6 &amp;":::" &amp; DZ7</f>
        <v>2014.2:::Price</v>
      </c>
      <c r="EA5" s="136" t="str">
        <f t="shared" si="31"/>
        <v>2014.2:::Dividend</v>
      </c>
      <c r="EB5" s="136" t="str">
        <f>EB6 &amp;":::" &amp; EB7</f>
        <v>2014.1:::Shares</v>
      </c>
      <c r="EC5" s="136" t="str">
        <f t="shared" ref="EC5:ED5" si="32">EC6 &amp;":::" &amp; EC7</f>
        <v>2014.1:::Price</v>
      </c>
      <c r="ED5" s="136" t="str">
        <f t="shared" si="32"/>
        <v>2014.1:::Dividend</v>
      </c>
      <c r="EE5" s="136" t="str">
        <f>EE6 &amp;":::" &amp; EE7</f>
        <v>2013.4:::Shares</v>
      </c>
      <c r="EF5" s="136" t="str">
        <f t="shared" ref="EF5:GQ5" si="33">EF6 &amp;":::" &amp; EF7</f>
        <v>2013.4:::Price</v>
      </c>
      <c r="EG5" s="136" t="str">
        <f t="shared" si="33"/>
        <v>2013.4:::Dividend</v>
      </c>
      <c r="EH5" s="136" t="str">
        <f t="shared" si="33"/>
        <v>2013.3:::Shares</v>
      </c>
      <c r="EI5" s="136" t="str">
        <f t="shared" si="33"/>
        <v>2013.3:::Price</v>
      </c>
      <c r="EJ5" s="136" t="str">
        <f t="shared" si="33"/>
        <v>2013.3:::Dividend</v>
      </c>
      <c r="EK5" s="136" t="str">
        <f t="shared" si="33"/>
        <v>2013.2:::Shares</v>
      </c>
      <c r="EL5" s="136" t="str">
        <f t="shared" si="33"/>
        <v>2013.2:::Price</v>
      </c>
      <c r="EM5" s="136" t="str">
        <f t="shared" si="33"/>
        <v>2013.2:::Dividend</v>
      </c>
      <c r="EN5" s="136" t="str">
        <f t="shared" si="33"/>
        <v>2013.1:::Shares</v>
      </c>
      <c r="EO5" s="136" t="str">
        <f t="shared" si="33"/>
        <v>2013.1:::Price</v>
      </c>
      <c r="EP5" s="136" t="str">
        <f t="shared" si="33"/>
        <v>2013.1:::Dividend</v>
      </c>
      <c r="EQ5" s="136" t="str">
        <f t="shared" si="33"/>
        <v>2012.4:::Shares</v>
      </c>
      <c r="ER5" s="136" t="str">
        <f t="shared" si="33"/>
        <v>2012.4:::Price</v>
      </c>
      <c r="ES5" s="136" t="str">
        <f t="shared" si="33"/>
        <v>2012.4:::Dividend</v>
      </c>
      <c r="ET5" s="136" t="str">
        <f t="shared" si="33"/>
        <v>2012.3:::Shares</v>
      </c>
      <c r="EU5" s="136" t="str">
        <f t="shared" si="33"/>
        <v>2012.3:::Price</v>
      </c>
      <c r="EV5" s="136" t="str">
        <f t="shared" si="33"/>
        <v>2012.3:::Dividend</v>
      </c>
      <c r="EW5" s="136" t="str">
        <f t="shared" si="33"/>
        <v>2012.2:::Shares</v>
      </c>
      <c r="EX5" s="136" t="str">
        <f t="shared" si="33"/>
        <v>2012.2:::Price</v>
      </c>
      <c r="EY5" s="136" t="str">
        <f t="shared" si="33"/>
        <v>2012.2:::Dividend</v>
      </c>
      <c r="EZ5" s="136" t="str">
        <f t="shared" si="33"/>
        <v>2012.1:::Shares</v>
      </c>
      <c r="FA5" s="136" t="str">
        <f t="shared" si="33"/>
        <v>2012.1:::Price</v>
      </c>
      <c r="FB5" s="136" t="str">
        <f t="shared" si="33"/>
        <v>2012.1:::Dividend</v>
      </c>
      <c r="FC5" s="136" t="str">
        <f t="shared" si="33"/>
        <v>2011.4:::Shares</v>
      </c>
      <c r="FD5" s="136" t="str">
        <f t="shared" si="33"/>
        <v>2011.4:::Price</v>
      </c>
      <c r="FE5" s="136" t="str">
        <f t="shared" si="33"/>
        <v>2011.4:::Dividend</v>
      </c>
      <c r="FF5" s="136" t="str">
        <f t="shared" si="33"/>
        <v>2011.3:::Shares</v>
      </c>
      <c r="FG5" s="136" t="str">
        <f t="shared" si="33"/>
        <v>2011.3:::Price</v>
      </c>
      <c r="FH5" s="136" t="str">
        <f t="shared" si="33"/>
        <v>2011.3:::Dividend</v>
      </c>
      <c r="FI5" s="136" t="str">
        <f t="shared" si="33"/>
        <v>2011.2:::Shares</v>
      </c>
      <c r="FJ5" s="136" t="str">
        <f t="shared" si="33"/>
        <v>2011.2:::Price</v>
      </c>
      <c r="FK5" s="136" t="str">
        <f t="shared" si="33"/>
        <v>2011.2:::Dividend</v>
      </c>
      <c r="FL5" s="136" t="str">
        <f t="shared" si="33"/>
        <v>2011.1:::Shares</v>
      </c>
      <c r="FM5" s="136" t="str">
        <f t="shared" si="33"/>
        <v>2011.1:::Price</v>
      </c>
      <c r="FN5" s="136" t="str">
        <f t="shared" si="33"/>
        <v>2011.1:::Dividend</v>
      </c>
      <c r="FO5" s="136" t="str">
        <f t="shared" si="33"/>
        <v>2010.4:::Shares</v>
      </c>
      <c r="FP5" s="136" t="str">
        <f t="shared" si="33"/>
        <v>2010.4:::Price</v>
      </c>
      <c r="FQ5" s="136" t="str">
        <f t="shared" si="33"/>
        <v>2010.4:::Dividend</v>
      </c>
      <c r="FR5" s="136" t="str">
        <f t="shared" si="33"/>
        <v>2010.3:::Shares</v>
      </c>
      <c r="FS5" s="136" t="str">
        <f t="shared" si="33"/>
        <v>2010.3:::Price</v>
      </c>
      <c r="FT5" s="136" t="str">
        <f t="shared" si="33"/>
        <v>2010.3:::Dividend</v>
      </c>
      <c r="FU5" s="136" t="str">
        <f t="shared" si="33"/>
        <v>2010.2:::Shares</v>
      </c>
      <c r="FV5" s="136" t="str">
        <f t="shared" si="33"/>
        <v>2010.2:::Price</v>
      </c>
      <c r="FW5" s="136" t="str">
        <f t="shared" si="33"/>
        <v>2010.2:::Dividend</v>
      </c>
      <c r="FX5" s="136" t="str">
        <f t="shared" si="33"/>
        <v>2010.1:::Shares</v>
      </c>
      <c r="FY5" s="136" t="str">
        <f t="shared" si="33"/>
        <v>2010.1:::Price</v>
      </c>
      <c r="FZ5" s="136" t="str">
        <f t="shared" si="33"/>
        <v>2010.1:::Dividend</v>
      </c>
      <c r="GA5" s="136" t="str">
        <f t="shared" si="33"/>
        <v>2009.4:::Shares</v>
      </c>
      <c r="GB5" s="136" t="str">
        <f t="shared" si="33"/>
        <v>2009.4:::Price</v>
      </c>
      <c r="GC5" s="136" t="str">
        <f t="shared" si="33"/>
        <v>2009.4:::Dividend</v>
      </c>
      <c r="GD5" s="136" t="str">
        <f t="shared" si="33"/>
        <v>2009.3:::Shares</v>
      </c>
      <c r="GE5" s="136" t="str">
        <f t="shared" si="33"/>
        <v>2009.3:::Price</v>
      </c>
      <c r="GF5" s="136" t="str">
        <f t="shared" si="33"/>
        <v>2009.3:::Dividend</v>
      </c>
      <c r="GG5" s="136" t="str">
        <f t="shared" si="33"/>
        <v>2009.2:::Shares</v>
      </c>
      <c r="GH5" s="136" t="str">
        <f t="shared" si="33"/>
        <v>2009.2:::Price</v>
      </c>
      <c r="GI5" s="136" t="str">
        <f t="shared" si="33"/>
        <v>2009.2:::Dividend</v>
      </c>
      <c r="GJ5" s="136" t="str">
        <f t="shared" si="33"/>
        <v>2009.1:::Shares</v>
      </c>
      <c r="GK5" s="136" t="str">
        <f t="shared" si="33"/>
        <v>2009.1:::Price</v>
      </c>
      <c r="GL5" s="136" t="str">
        <f t="shared" si="33"/>
        <v>2009.1:::Dividend</v>
      </c>
      <c r="GM5" s="136" t="str">
        <f t="shared" si="33"/>
        <v>2008.4:::Shares</v>
      </c>
      <c r="GN5" s="136" t="str">
        <f t="shared" si="33"/>
        <v>2008.4:::Price</v>
      </c>
      <c r="GO5" s="136" t="str">
        <f t="shared" si="33"/>
        <v>2008.4:::Dividend</v>
      </c>
      <c r="GP5" s="136" t="str">
        <f t="shared" si="33"/>
        <v>2008.3:::Shares</v>
      </c>
      <c r="GQ5" s="136" t="str">
        <f t="shared" si="33"/>
        <v>2008.3:::Price</v>
      </c>
      <c r="GR5" s="136" t="str">
        <f t="shared" ref="GR5:JC5" si="34">GR6 &amp;":::" &amp; GR7</f>
        <v>2008.3:::Dividend</v>
      </c>
      <c r="GS5" s="136" t="str">
        <f t="shared" si="34"/>
        <v>2008.2:::Shares</v>
      </c>
      <c r="GT5" s="136" t="str">
        <f t="shared" si="34"/>
        <v>2008.2:::Price</v>
      </c>
      <c r="GU5" s="136" t="str">
        <f t="shared" si="34"/>
        <v>2008.2:::Dividend</v>
      </c>
      <c r="GV5" s="136" t="str">
        <f t="shared" si="34"/>
        <v>2008.1:::Shares</v>
      </c>
      <c r="GW5" s="136" t="str">
        <f t="shared" si="34"/>
        <v>2008.1:::Price</v>
      </c>
      <c r="GX5" s="136" t="str">
        <f t="shared" si="34"/>
        <v>2008.1:::Dividend</v>
      </c>
      <c r="GY5" s="136" t="str">
        <f t="shared" si="34"/>
        <v>2007.4:::Shares</v>
      </c>
      <c r="GZ5" s="136" t="str">
        <f t="shared" si="34"/>
        <v>2007.4:::Price</v>
      </c>
      <c r="HA5" s="136" t="str">
        <f t="shared" si="34"/>
        <v>2007.4:::Dividend</v>
      </c>
      <c r="HB5" s="136" t="str">
        <f t="shared" si="34"/>
        <v>2007.3:::Shares</v>
      </c>
      <c r="HC5" s="136" t="str">
        <f t="shared" si="34"/>
        <v>2007.3:::Price</v>
      </c>
      <c r="HD5" s="136" t="str">
        <f t="shared" si="34"/>
        <v>2007.3:::Dividend</v>
      </c>
      <c r="HE5" s="136" t="str">
        <f t="shared" si="34"/>
        <v>2007.2:::Shares</v>
      </c>
      <c r="HF5" s="136" t="str">
        <f t="shared" si="34"/>
        <v>2007.2:::Price</v>
      </c>
      <c r="HG5" s="136" t="str">
        <f t="shared" si="34"/>
        <v>2007.2:::Dividend</v>
      </c>
      <c r="HH5" s="136" t="str">
        <f t="shared" si="34"/>
        <v>2007.1:::Shares</v>
      </c>
      <c r="HI5" s="136" t="str">
        <f t="shared" si="34"/>
        <v>2007.1:::Price</v>
      </c>
      <c r="HJ5" s="136" t="str">
        <f t="shared" si="34"/>
        <v>2007.1:::Dividend</v>
      </c>
      <c r="HK5" s="136" t="str">
        <f t="shared" si="34"/>
        <v>2006.4:::Shares</v>
      </c>
      <c r="HL5" s="136" t="str">
        <f t="shared" si="34"/>
        <v>2006.4:::Price</v>
      </c>
      <c r="HM5" s="136" t="str">
        <f t="shared" si="34"/>
        <v>2006.4:::Dividend</v>
      </c>
      <c r="HN5" s="136" t="str">
        <f t="shared" si="34"/>
        <v>2006.3:::Shares</v>
      </c>
      <c r="HO5" s="136" t="str">
        <f t="shared" si="34"/>
        <v>2006.3:::Price</v>
      </c>
      <c r="HP5" s="136" t="str">
        <f t="shared" si="34"/>
        <v>2006.3:::Dividend</v>
      </c>
      <c r="HQ5" s="136" t="str">
        <f t="shared" si="34"/>
        <v>2006.2:::Shares</v>
      </c>
      <c r="HR5" s="136" t="str">
        <f t="shared" si="34"/>
        <v>2006.2:::Price</v>
      </c>
      <c r="HS5" s="136" t="str">
        <f t="shared" si="34"/>
        <v>2006.2:::Dividend</v>
      </c>
      <c r="HT5" s="136" t="str">
        <f t="shared" si="34"/>
        <v>2006.1:::Shares</v>
      </c>
      <c r="HU5" s="136" t="str">
        <f t="shared" si="34"/>
        <v>2006.1:::Price</v>
      </c>
      <c r="HV5" s="136" t="str">
        <f t="shared" si="34"/>
        <v>2006.1:::Dividend</v>
      </c>
      <c r="HW5" s="136" t="str">
        <f t="shared" si="34"/>
        <v>2005.4:::Shares</v>
      </c>
      <c r="HX5" s="136" t="str">
        <f t="shared" si="34"/>
        <v>2005.4:::Price</v>
      </c>
      <c r="HY5" s="136" t="str">
        <f t="shared" si="34"/>
        <v>2005.4:::Dividend</v>
      </c>
      <c r="HZ5" s="136" t="str">
        <f t="shared" si="34"/>
        <v>2005.3:::Shares</v>
      </c>
      <c r="IA5" s="136" t="str">
        <f t="shared" si="34"/>
        <v>2005.3:::Price</v>
      </c>
      <c r="IB5" s="136" t="str">
        <f t="shared" si="34"/>
        <v>2005.3:::Dividend</v>
      </c>
      <c r="IC5" s="136" t="str">
        <f t="shared" si="34"/>
        <v>2005.2:::Shares</v>
      </c>
      <c r="ID5" s="136" t="str">
        <f t="shared" si="34"/>
        <v>2005.2:::Price</v>
      </c>
      <c r="IE5" s="136" t="str">
        <f t="shared" si="34"/>
        <v>2005.2:::Dividend</v>
      </c>
      <c r="IF5" s="136" t="str">
        <f t="shared" si="34"/>
        <v>2005.1:::Shares</v>
      </c>
      <c r="IG5" s="136" t="str">
        <f t="shared" si="34"/>
        <v>2005.1:::Price</v>
      </c>
      <c r="IH5" s="136" t="str">
        <f t="shared" si="34"/>
        <v>2005.1:::Dividend</v>
      </c>
      <c r="II5" s="136" t="str">
        <f t="shared" si="34"/>
        <v>2004.4:::Shares</v>
      </c>
      <c r="IJ5" s="136" t="str">
        <f t="shared" si="34"/>
        <v>2004.4:::Price</v>
      </c>
      <c r="IK5" s="136" t="str">
        <f t="shared" si="34"/>
        <v>2004.4:::Dividend</v>
      </c>
      <c r="IL5" s="136" t="str">
        <f t="shared" si="34"/>
        <v>2004.3:::Shares</v>
      </c>
      <c r="IM5" s="136" t="str">
        <f t="shared" si="34"/>
        <v>2004.3:::Price</v>
      </c>
      <c r="IN5" s="136" t="str">
        <f t="shared" si="34"/>
        <v>2004.3:::Dividend</v>
      </c>
      <c r="IO5" s="136" t="str">
        <f t="shared" si="34"/>
        <v>2004.2:::Shares</v>
      </c>
      <c r="IP5" s="136" t="str">
        <f t="shared" si="34"/>
        <v>2004.2:::Price</v>
      </c>
      <c r="IQ5" s="136" t="str">
        <f t="shared" si="34"/>
        <v>2004.2:::Dividend</v>
      </c>
      <c r="IR5" s="136" t="str">
        <f t="shared" si="34"/>
        <v>2004.1:::Shares</v>
      </c>
      <c r="IS5" s="136" t="str">
        <f t="shared" si="34"/>
        <v>2004.1:::Price</v>
      </c>
      <c r="IT5" s="136" t="str">
        <f t="shared" si="34"/>
        <v>2004.1:::Dividend</v>
      </c>
      <c r="IU5" s="136" t="str">
        <f t="shared" si="34"/>
        <v>2003.4:::Shares</v>
      </c>
      <c r="IV5" s="136" t="str">
        <f t="shared" si="34"/>
        <v>2003.4:::Price</v>
      </c>
      <c r="IW5" s="136" t="str">
        <f t="shared" si="34"/>
        <v>2003.4:::Dividend</v>
      </c>
      <c r="IX5" s="136" t="str">
        <f t="shared" si="34"/>
        <v>2003.3:::Shares</v>
      </c>
      <c r="IY5" s="136" t="str">
        <f t="shared" si="34"/>
        <v>2003.3:::Price</v>
      </c>
      <c r="IZ5" s="136" t="str">
        <f t="shared" si="34"/>
        <v>2003.3:::Dividend</v>
      </c>
      <c r="JA5" s="136" t="str">
        <f t="shared" si="34"/>
        <v>2003.2:::Shares</v>
      </c>
      <c r="JB5" s="136" t="str">
        <f t="shared" si="34"/>
        <v>2003.2:::Price</v>
      </c>
      <c r="JC5" s="136" t="str">
        <f t="shared" si="34"/>
        <v>2003.2:::Dividend</v>
      </c>
      <c r="JD5" s="136" t="str">
        <f t="shared" ref="JD5:LO5" si="35">JD6 &amp;":::" &amp; JD7</f>
        <v>2003.1:::Shares</v>
      </c>
      <c r="JE5" s="136" t="str">
        <f t="shared" si="35"/>
        <v>2003.1:::Price</v>
      </c>
      <c r="JF5" s="136" t="str">
        <f t="shared" si="35"/>
        <v>2003.1:::Dividend</v>
      </c>
      <c r="JG5" s="136" t="str">
        <f t="shared" si="35"/>
        <v>2002.4:::Shares</v>
      </c>
      <c r="JH5" s="136" t="str">
        <f t="shared" si="35"/>
        <v>2002.4:::Price</v>
      </c>
      <c r="JI5" s="136" t="str">
        <f t="shared" si="35"/>
        <v>2002.4:::Dividend</v>
      </c>
      <c r="JJ5" s="136" t="str">
        <f t="shared" si="35"/>
        <v>2002.3:::Shares</v>
      </c>
      <c r="JK5" s="136" t="str">
        <f t="shared" si="35"/>
        <v>2002.3:::Price</v>
      </c>
      <c r="JL5" s="136" t="str">
        <f t="shared" si="35"/>
        <v>2002.3:::Dividend</v>
      </c>
      <c r="JM5" s="136" t="str">
        <f t="shared" si="35"/>
        <v>2002.2:::Shares</v>
      </c>
      <c r="JN5" s="136" t="str">
        <f t="shared" si="35"/>
        <v>2002.2:::Price</v>
      </c>
      <c r="JO5" s="136" t="str">
        <f t="shared" si="35"/>
        <v>2002.2:::Dividend</v>
      </c>
      <c r="JP5" s="136" t="str">
        <f t="shared" si="35"/>
        <v>2002.1:::Shares</v>
      </c>
      <c r="JQ5" s="136" t="str">
        <f t="shared" si="35"/>
        <v>2002.1:::Price</v>
      </c>
      <c r="JR5" s="136" t="str">
        <f t="shared" si="35"/>
        <v>2002.1:::Dividend</v>
      </c>
      <c r="JS5" s="136" t="str">
        <f t="shared" si="35"/>
        <v>2001.4:::Shares</v>
      </c>
      <c r="JT5" s="136" t="str">
        <f t="shared" si="35"/>
        <v>2001.4:::Price</v>
      </c>
      <c r="JU5" s="136" t="str">
        <f t="shared" si="35"/>
        <v>2001.4:::Dividend</v>
      </c>
      <c r="JV5" s="136" t="str">
        <f t="shared" si="35"/>
        <v>2001.3:::Shares</v>
      </c>
      <c r="JW5" s="136" t="str">
        <f t="shared" si="35"/>
        <v>2001.3:::Price</v>
      </c>
      <c r="JX5" s="136" t="str">
        <f t="shared" si="35"/>
        <v>2001.3:::Dividend</v>
      </c>
      <c r="JY5" s="136" t="str">
        <f t="shared" si="35"/>
        <v>2001.2:::Shares</v>
      </c>
      <c r="JZ5" s="136" t="str">
        <f t="shared" si="35"/>
        <v>2001.2:::Price</v>
      </c>
      <c r="KA5" s="136" t="str">
        <f t="shared" si="35"/>
        <v>2001.2:::Dividend</v>
      </c>
      <c r="KB5" s="136" t="str">
        <f t="shared" si="35"/>
        <v>2001.1:::Shares</v>
      </c>
      <c r="KC5" s="136" t="str">
        <f t="shared" si="35"/>
        <v>2001.1:::Price</v>
      </c>
      <c r="KD5" s="136" t="str">
        <f t="shared" si="35"/>
        <v>2001.1:::Dividend</v>
      </c>
      <c r="KE5" s="136" t="str">
        <f t="shared" si="35"/>
        <v>2000.4:::Shares</v>
      </c>
      <c r="KF5" s="136" t="str">
        <f t="shared" si="35"/>
        <v>2000.4:::Price</v>
      </c>
      <c r="KG5" s="136" t="str">
        <f t="shared" si="35"/>
        <v>2000.4:::Dividend</v>
      </c>
      <c r="KH5" s="136" t="str">
        <f t="shared" si="35"/>
        <v>2000.3:::Shares</v>
      </c>
      <c r="KI5" s="136" t="str">
        <f t="shared" si="35"/>
        <v>2000.3:::Price</v>
      </c>
      <c r="KJ5" s="136" t="str">
        <f t="shared" si="35"/>
        <v>2000.3:::Dividend</v>
      </c>
      <c r="KK5" s="136" t="str">
        <f t="shared" si="35"/>
        <v>2000.2:::Shares</v>
      </c>
      <c r="KL5" s="136" t="str">
        <f t="shared" si="35"/>
        <v>2000.2:::Price</v>
      </c>
      <c r="KM5" s="136" t="str">
        <f t="shared" si="35"/>
        <v>2000.2:::Dividend</v>
      </c>
      <c r="KN5" s="136" t="str">
        <f t="shared" si="35"/>
        <v>2000.1:::Shares</v>
      </c>
      <c r="KO5" s="136" t="str">
        <f t="shared" si="35"/>
        <v>2000.1:::Price</v>
      </c>
      <c r="KP5" s="136" t="str">
        <f t="shared" si="35"/>
        <v>2000.1:::Dividend</v>
      </c>
      <c r="KQ5" s="136" t="str">
        <f t="shared" si="35"/>
        <v>1999.4:::Shares</v>
      </c>
      <c r="KR5" s="136" t="str">
        <f t="shared" si="35"/>
        <v>1999.4:::Price</v>
      </c>
      <c r="KS5" s="136" t="str">
        <f t="shared" si="35"/>
        <v>1999.4:::Dividend</v>
      </c>
      <c r="KT5" s="136" t="str">
        <f t="shared" si="35"/>
        <v>1999.3:::Shares</v>
      </c>
      <c r="KU5" s="136" t="str">
        <f t="shared" si="35"/>
        <v>1999.3:::Price</v>
      </c>
      <c r="KV5" s="136" t="str">
        <f t="shared" si="35"/>
        <v>1999.3:::Dividend</v>
      </c>
      <c r="KW5" s="136" t="str">
        <f t="shared" si="35"/>
        <v>1999.2:::Shares</v>
      </c>
      <c r="KX5" s="136" t="str">
        <f t="shared" si="35"/>
        <v>1999.2:::Price</v>
      </c>
      <c r="KY5" s="136" t="str">
        <f t="shared" si="35"/>
        <v>1999.2:::Dividend</v>
      </c>
      <c r="KZ5" s="136" t="str">
        <f t="shared" si="35"/>
        <v>1999.1:::Shares</v>
      </c>
      <c r="LA5" s="136" t="str">
        <f t="shared" si="35"/>
        <v>1999.1:::Price</v>
      </c>
      <c r="LB5" s="136" t="str">
        <f t="shared" si="35"/>
        <v>1999.1:::Dividend</v>
      </c>
      <c r="LC5" s="136" t="str">
        <f t="shared" si="35"/>
        <v>1998.4:::Shares</v>
      </c>
      <c r="LD5" s="136" t="str">
        <f t="shared" si="35"/>
        <v>1998.4:::Price</v>
      </c>
      <c r="LE5" s="136" t="str">
        <f t="shared" si="35"/>
        <v>1998.4:::Dividend</v>
      </c>
      <c r="LF5" s="136" t="str">
        <f t="shared" si="35"/>
        <v>1998.3:::Shares</v>
      </c>
      <c r="LG5" s="136" t="str">
        <f t="shared" si="35"/>
        <v>1998.3:::Price</v>
      </c>
      <c r="LH5" s="136" t="str">
        <f t="shared" si="35"/>
        <v>1998.3:::Dividend</v>
      </c>
      <c r="LI5" s="136" t="str">
        <f t="shared" si="35"/>
        <v>1998.2:::Shares</v>
      </c>
      <c r="LJ5" s="136" t="str">
        <f t="shared" si="35"/>
        <v>1998.2:::Price</v>
      </c>
      <c r="LK5" s="136" t="str">
        <f t="shared" si="35"/>
        <v>1998.2:::Dividend</v>
      </c>
      <c r="LL5" s="136" t="str">
        <f t="shared" si="35"/>
        <v>1998.1:::Shares</v>
      </c>
      <c r="LM5" s="136" t="str">
        <f t="shared" si="35"/>
        <v>1998.1:::Price</v>
      </c>
      <c r="LN5" s="136" t="str">
        <f t="shared" si="35"/>
        <v>1998.1:::Dividend</v>
      </c>
      <c r="LO5" s="136" t="str">
        <f t="shared" si="35"/>
        <v>1997.4:::Shares</v>
      </c>
      <c r="LP5" s="136" t="str">
        <f t="shared" ref="LP5:OA5" si="36">LP6 &amp;":::" &amp; LP7</f>
        <v>1997.4:::Price</v>
      </c>
      <c r="LQ5" s="136" t="str">
        <f t="shared" si="36"/>
        <v>1997.4:::Dividend</v>
      </c>
      <c r="LR5" s="136" t="str">
        <f t="shared" si="36"/>
        <v>1997.3:::Shares</v>
      </c>
      <c r="LS5" s="136" t="str">
        <f t="shared" si="36"/>
        <v>1997.3:::Price</v>
      </c>
      <c r="LT5" s="136" t="str">
        <f t="shared" si="36"/>
        <v>1997.3:::Dividend</v>
      </c>
      <c r="LU5" s="136" t="str">
        <f t="shared" si="36"/>
        <v>1997.2:::Shares</v>
      </c>
      <c r="LV5" s="136" t="str">
        <f t="shared" si="36"/>
        <v>1997.2:::Price</v>
      </c>
      <c r="LW5" s="136" t="str">
        <f t="shared" si="36"/>
        <v>1997.2:::Dividend</v>
      </c>
      <c r="LX5" s="136" t="str">
        <f t="shared" si="36"/>
        <v>1997.1:::Shares</v>
      </c>
      <c r="LY5" s="136" t="str">
        <f t="shared" si="36"/>
        <v>1997.1:::Price</v>
      </c>
      <c r="LZ5" s="136" t="str">
        <f t="shared" si="36"/>
        <v>1997.1:::Dividend</v>
      </c>
      <c r="MA5" s="136" t="str">
        <f t="shared" si="36"/>
        <v>1996.4:::Shares</v>
      </c>
      <c r="MB5" s="136" t="str">
        <f t="shared" si="36"/>
        <v>1996.4:::Price</v>
      </c>
      <c r="MC5" s="136" t="str">
        <f t="shared" si="36"/>
        <v>1996.4:::Dividend</v>
      </c>
      <c r="MD5" s="136" t="str">
        <f t="shared" si="36"/>
        <v>1996.3:::Shares</v>
      </c>
      <c r="ME5" s="136" t="str">
        <f t="shared" si="36"/>
        <v>1996.3:::Price</v>
      </c>
      <c r="MF5" s="136" t="str">
        <f t="shared" si="36"/>
        <v>1996.3:::Dividend</v>
      </c>
      <c r="MG5" s="136" t="str">
        <f t="shared" si="36"/>
        <v>1996.2:::Shares</v>
      </c>
      <c r="MH5" s="136" t="str">
        <f t="shared" si="36"/>
        <v>1996.2:::Price</v>
      </c>
      <c r="MI5" s="136" t="str">
        <f t="shared" si="36"/>
        <v>1996.2:::Dividend</v>
      </c>
      <c r="MJ5" s="136" t="str">
        <f t="shared" si="36"/>
        <v>1996.1:::Shares</v>
      </c>
      <c r="MK5" s="136" t="str">
        <f t="shared" si="36"/>
        <v>1996.1:::Price</v>
      </c>
      <c r="ML5" s="136" t="str">
        <f t="shared" si="36"/>
        <v>1996.1:::Dividend</v>
      </c>
      <c r="MM5" s="136" t="str">
        <f t="shared" si="36"/>
        <v>1995.4:::Shares</v>
      </c>
      <c r="MN5" s="136" t="str">
        <f t="shared" si="36"/>
        <v>1995.4:::Price</v>
      </c>
      <c r="MO5" s="136" t="str">
        <f t="shared" si="36"/>
        <v>1995.4:::Dividend</v>
      </c>
      <c r="MP5" s="136" t="str">
        <f t="shared" si="36"/>
        <v>1995.3:::Shares</v>
      </c>
      <c r="MQ5" s="136" t="str">
        <f t="shared" si="36"/>
        <v>1995.3:::Price</v>
      </c>
      <c r="MR5" s="136" t="str">
        <f t="shared" si="36"/>
        <v>1995.3:::Dividend</v>
      </c>
      <c r="MS5" s="136" t="str">
        <f t="shared" si="36"/>
        <v>1995.2:::Shares</v>
      </c>
      <c r="MT5" s="136" t="str">
        <f t="shared" si="36"/>
        <v>1995.2:::Price</v>
      </c>
      <c r="MU5" s="136" t="str">
        <f t="shared" si="36"/>
        <v>1995.2:::Dividend</v>
      </c>
      <c r="MV5" s="136" t="str">
        <f t="shared" si="36"/>
        <v>1995.1:::Shares</v>
      </c>
      <c r="MW5" s="136" t="str">
        <f t="shared" si="36"/>
        <v>1995.1:::Price</v>
      </c>
      <c r="MX5" s="136" t="str">
        <f t="shared" si="36"/>
        <v>1995.1:::Dividend</v>
      </c>
      <c r="MY5" s="136" t="str">
        <f t="shared" si="36"/>
        <v>1994.4:::Shares</v>
      </c>
      <c r="MZ5" s="136" t="str">
        <f t="shared" si="36"/>
        <v>1994.4:::Price</v>
      </c>
      <c r="NA5" s="136" t="str">
        <f t="shared" si="36"/>
        <v>1994.4:::Dividend</v>
      </c>
      <c r="NB5" s="136" t="str">
        <f t="shared" si="36"/>
        <v>1994.3:::Shares</v>
      </c>
      <c r="NC5" s="136" t="str">
        <f t="shared" si="36"/>
        <v>1994.3:::Price</v>
      </c>
      <c r="ND5" s="136" t="str">
        <f t="shared" si="36"/>
        <v>1994.3:::Dividend</v>
      </c>
      <c r="NE5" s="136" t="str">
        <f t="shared" si="36"/>
        <v>1994.2:::Shares</v>
      </c>
      <c r="NF5" s="136" t="str">
        <f t="shared" si="36"/>
        <v>1994.2:::Price</v>
      </c>
      <c r="NG5" s="136" t="str">
        <f t="shared" si="36"/>
        <v>1994.2:::Dividend</v>
      </c>
      <c r="NH5" s="136" t="str">
        <f t="shared" si="36"/>
        <v>1994.1:::Shares</v>
      </c>
      <c r="NI5" s="136" t="str">
        <f t="shared" si="36"/>
        <v>1994.1:::Price</v>
      </c>
      <c r="NJ5" s="136" t="str">
        <f t="shared" si="36"/>
        <v>1994.1:::Dividend</v>
      </c>
      <c r="NK5" s="136" t="str">
        <f t="shared" si="36"/>
        <v>1993.4:::Shares</v>
      </c>
      <c r="NL5" s="136" t="str">
        <f t="shared" si="36"/>
        <v>1993.4:::Price</v>
      </c>
      <c r="NM5" s="136" t="str">
        <f t="shared" si="36"/>
        <v>1993.4:::Dividend</v>
      </c>
      <c r="NN5" s="136" t="str">
        <f t="shared" si="36"/>
        <v>1993.3:::Shares</v>
      </c>
      <c r="NO5" s="136" t="str">
        <f t="shared" si="36"/>
        <v>1993.3:::Price</v>
      </c>
      <c r="NP5" s="136" t="str">
        <f t="shared" si="36"/>
        <v>1993.3:::Dividend</v>
      </c>
      <c r="NQ5" s="136" t="str">
        <f t="shared" si="36"/>
        <v>1993.2:::Shares</v>
      </c>
      <c r="NR5" s="136" t="str">
        <f t="shared" si="36"/>
        <v>1993.2:::Price</v>
      </c>
      <c r="NS5" s="136" t="str">
        <f t="shared" si="36"/>
        <v>1993.2:::Dividend</v>
      </c>
      <c r="NT5" s="136" t="str">
        <f t="shared" si="36"/>
        <v>1993.1:::Shares</v>
      </c>
      <c r="NU5" s="136" t="str">
        <f t="shared" si="36"/>
        <v>1993.1:::Price</v>
      </c>
      <c r="NV5" s="136" t="str">
        <f t="shared" si="36"/>
        <v>1993.1:::Dividend</v>
      </c>
      <c r="NW5" s="136" t="str">
        <f t="shared" si="36"/>
        <v>1992.4:::Shares</v>
      </c>
      <c r="NX5" s="136" t="str">
        <f t="shared" si="36"/>
        <v>1992.4:::Price</v>
      </c>
      <c r="NY5" s="136" t="str">
        <f t="shared" si="36"/>
        <v>1992.4:::Dividend</v>
      </c>
      <c r="NZ5" s="136" t="str">
        <f t="shared" si="36"/>
        <v>1992.3:::Shares</v>
      </c>
      <c r="OA5" s="136" t="str">
        <f t="shared" si="36"/>
        <v>1992.3:::Price</v>
      </c>
      <c r="OB5" s="136" t="str">
        <f t="shared" ref="OB5:OV5" si="37">OB6 &amp;":::" &amp; OB7</f>
        <v>1992.3:::Dividend</v>
      </c>
      <c r="OC5" s="136" t="str">
        <f t="shared" si="37"/>
        <v>1992.2:::Shares</v>
      </c>
      <c r="OD5" s="136" t="str">
        <f t="shared" si="37"/>
        <v>1992.2:::Price</v>
      </c>
      <c r="OE5" s="136" t="str">
        <f t="shared" si="37"/>
        <v>1992.2:::Dividend</v>
      </c>
      <c r="OF5" s="136" t="str">
        <f t="shared" si="37"/>
        <v>1992.1:::Shares</v>
      </c>
      <c r="OG5" s="136" t="str">
        <f t="shared" si="37"/>
        <v>1992.1:::Price</v>
      </c>
      <c r="OH5" s="136" t="str">
        <f t="shared" si="37"/>
        <v>1992.1:::Dividend</v>
      </c>
      <c r="OI5" s="136" t="str">
        <f t="shared" si="37"/>
        <v>1991.4:::Shares</v>
      </c>
      <c r="OJ5" s="136" t="str">
        <f t="shared" si="37"/>
        <v>1991.4:::Price</v>
      </c>
      <c r="OK5" s="136" t="str">
        <f t="shared" si="37"/>
        <v>1991.4:::Dividend</v>
      </c>
      <c r="OL5" s="136" t="str">
        <f t="shared" si="37"/>
        <v>1991.3:::Shares</v>
      </c>
      <c r="OM5" s="136" t="str">
        <f t="shared" si="37"/>
        <v>1991.3:::Price</v>
      </c>
      <c r="ON5" s="136" t="str">
        <f t="shared" si="37"/>
        <v>1991.3:::Dividend</v>
      </c>
      <c r="OO5" s="136" t="str">
        <f t="shared" si="37"/>
        <v>1991.2:::Shares</v>
      </c>
      <c r="OP5" s="136" t="str">
        <f t="shared" si="37"/>
        <v>1991.2:::Price</v>
      </c>
      <c r="OQ5" s="136" t="str">
        <f t="shared" si="37"/>
        <v>1991.2:::Dividend</v>
      </c>
      <c r="OR5" s="136" t="str">
        <f t="shared" si="37"/>
        <v>1991.1:::Shares</v>
      </c>
      <c r="OS5" s="136" t="str">
        <f t="shared" si="37"/>
        <v>1991.1:::Price</v>
      </c>
      <c r="OT5" s="136" t="str">
        <f t="shared" si="37"/>
        <v>1991.1:::Dividend</v>
      </c>
      <c r="OU5" s="136" t="str">
        <f t="shared" si="37"/>
        <v>1990.4:::Shares</v>
      </c>
      <c r="OV5" s="136" t="str">
        <f t="shared" si="37"/>
        <v>1990.4:::Price</v>
      </c>
    </row>
    <row r="6" spans="1:412">
      <c r="C6" s="304">
        <v>2024.4</v>
      </c>
      <c r="D6" s="304">
        <v>2024.4</v>
      </c>
      <c r="E6" s="304">
        <v>2024.4</v>
      </c>
      <c r="F6" s="304">
        <v>2024.3</v>
      </c>
      <c r="G6" s="304">
        <v>2024.3</v>
      </c>
      <c r="H6" s="304">
        <v>2024.3</v>
      </c>
      <c r="I6" s="304">
        <v>2024.2</v>
      </c>
      <c r="J6" s="304">
        <v>2024.2</v>
      </c>
      <c r="K6" s="304">
        <v>2024.2</v>
      </c>
      <c r="L6" s="304">
        <v>2024.1</v>
      </c>
      <c r="M6" s="304">
        <v>2024.1</v>
      </c>
      <c r="N6" s="304">
        <v>2024.1</v>
      </c>
      <c r="O6" s="304">
        <v>2023.4</v>
      </c>
      <c r="P6" s="304">
        <v>2023.4</v>
      </c>
      <c r="Q6" s="304">
        <v>2023.4</v>
      </c>
      <c r="R6" s="304">
        <v>2023.3</v>
      </c>
      <c r="S6" s="304">
        <v>2023.3</v>
      </c>
      <c r="T6" s="304">
        <v>2023.3</v>
      </c>
      <c r="U6" s="304">
        <v>2023.2</v>
      </c>
      <c r="V6" s="304">
        <v>2023.2</v>
      </c>
      <c r="W6" s="304">
        <v>2023.2</v>
      </c>
      <c r="X6" s="304">
        <v>2023.1</v>
      </c>
      <c r="Y6" s="304">
        <v>2023.1</v>
      </c>
      <c r="Z6" s="304">
        <v>2023.1</v>
      </c>
      <c r="AA6" s="304">
        <v>2022.4</v>
      </c>
      <c r="AB6" s="304">
        <v>2022.4</v>
      </c>
      <c r="AC6" s="304">
        <v>2022.4</v>
      </c>
      <c r="AD6" s="304">
        <v>2022.3</v>
      </c>
      <c r="AE6" s="304">
        <v>2022.3</v>
      </c>
      <c r="AF6" s="304">
        <v>2022.3</v>
      </c>
      <c r="AG6" s="304">
        <v>2022.2</v>
      </c>
      <c r="AH6" s="304">
        <v>2022.2</v>
      </c>
      <c r="AI6" s="304">
        <v>2022.2</v>
      </c>
      <c r="AJ6" s="304">
        <v>2022.1</v>
      </c>
      <c r="AK6" s="304">
        <v>2022.1</v>
      </c>
      <c r="AL6" s="304">
        <v>2022.1</v>
      </c>
      <c r="AM6" s="304">
        <v>2021.4</v>
      </c>
      <c r="AN6" s="304">
        <v>2021.4</v>
      </c>
      <c r="AO6" s="304">
        <v>2021.4</v>
      </c>
      <c r="AP6" s="304">
        <v>2021.3</v>
      </c>
      <c r="AQ6" s="304">
        <v>2021.3</v>
      </c>
      <c r="AR6" s="304">
        <v>2021.3</v>
      </c>
      <c r="AS6" s="304">
        <v>2021.2</v>
      </c>
      <c r="AT6" s="304">
        <v>2021.2</v>
      </c>
      <c r="AU6" s="304">
        <v>2021.2</v>
      </c>
      <c r="AV6" s="304">
        <v>2021.1</v>
      </c>
      <c r="AW6" s="304">
        <v>2021.1</v>
      </c>
      <c r="AX6" s="304">
        <v>2021.1</v>
      </c>
      <c r="AY6" s="304">
        <v>2020.4</v>
      </c>
      <c r="AZ6" s="304">
        <v>2020.4</v>
      </c>
      <c r="BA6" s="304">
        <v>2020.4</v>
      </c>
      <c r="BB6" s="304">
        <v>2020.3</v>
      </c>
      <c r="BC6" s="304">
        <v>2020.3</v>
      </c>
      <c r="BD6" s="304">
        <v>2020.3</v>
      </c>
      <c r="BE6" s="304">
        <v>2020.2</v>
      </c>
      <c r="BF6" s="304">
        <v>2020.2</v>
      </c>
      <c r="BG6" s="304">
        <v>2020.2</v>
      </c>
      <c r="BH6" s="304">
        <v>2020.1</v>
      </c>
      <c r="BI6" s="304">
        <v>2020.1</v>
      </c>
      <c r="BJ6" s="304">
        <v>2020.1</v>
      </c>
      <c r="BK6" s="304">
        <v>2019.4</v>
      </c>
      <c r="BL6" s="304">
        <v>2019.4</v>
      </c>
      <c r="BM6" s="304">
        <v>2019.4</v>
      </c>
      <c r="BN6" s="304">
        <v>2019.3</v>
      </c>
      <c r="BO6" s="304">
        <v>2019.3</v>
      </c>
      <c r="BP6" s="304">
        <v>2019.3</v>
      </c>
      <c r="BQ6" s="304">
        <v>2019.2</v>
      </c>
      <c r="BR6" s="304">
        <v>2019.2</v>
      </c>
      <c r="BS6" s="304">
        <v>2019.2</v>
      </c>
      <c r="BT6" s="304">
        <v>2019.1</v>
      </c>
      <c r="BU6" s="304">
        <v>2019.1</v>
      </c>
      <c r="BV6" s="304">
        <v>2019.1</v>
      </c>
      <c r="BW6" s="304">
        <v>2018.4</v>
      </c>
      <c r="BX6" s="304">
        <v>2018.4</v>
      </c>
      <c r="BY6" s="304">
        <v>2018.4</v>
      </c>
      <c r="BZ6" s="304">
        <v>2018.3</v>
      </c>
      <c r="CA6" s="304">
        <v>2018.3</v>
      </c>
      <c r="CB6" s="304">
        <v>2018.3</v>
      </c>
      <c r="CC6" s="304">
        <v>2018.2</v>
      </c>
      <c r="CD6" s="304">
        <v>2018.2</v>
      </c>
      <c r="CE6" s="304">
        <v>2018.2</v>
      </c>
      <c r="CF6" s="304">
        <v>2018.1</v>
      </c>
      <c r="CG6" s="304">
        <v>2018.1</v>
      </c>
      <c r="CH6" s="304">
        <v>2018.1</v>
      </c>
      <c r="CI6" s="304">
        <v>2017.4</v>
      </c>
      <c r="CJ6" s="304">
        <v>2017.4</v>
      </c>
      <c r="CK6" s="304">
        <v>2017.4</v>
      </c>
      <c r="CL6" s="304">
        <v>2017.3</v>
      </c>
      <c r="CM6" s="304">
        <v>2017.3</v>
      </c>
      <c r="CN6" s="304">
        <v>2017.3</v>
      </c>
      <c r="CO6" s="304">
        <v>2017.2</v>
      </c>
      <c r="CP6" s="304">
        <v>2017.2</v>
      </c>
      <c r="CQ6" s="304">
        <v>2017.2</v>
      </c>
      <c r="CR6" s="304">
        <v>2017.1</v>
      </c>
      <c r="CS6" s="304">
        <v>2017.1</v>
      </c>
      <c r="CT6" s="304">
        <v>2017.1</v>
      </c>
      <c r="CU6" s="304">
        <v>2016.4</v>
      </c>
      <c r="CV6" s="304">
        <v>2016.4</v>
      </c>
      <c r="CW6" s="304">
        <v>2016.4</v>
      </c>
      <c r="CX6" s="304">
        <v>2016.3</v>
      </c>
      <c r="CY6" s="304">
        <v>2016.3</v>
      </c>
      <c r="CZ6" s="304">
        <v>2016.3</v>
      </c>
      <c r="DA6" s="303">
        <v>2016.2</v>
      </c>
      <c r="DB6" s="303">
        <v>2016.2</v>
      </c>
      <c r="DC6" s="303">
        <v>2016.2</v>
      </c>
      <c r="DD6" s="303">
        <v>2016.1</v>
      </c>
      <c r="DE6" s="303">
        <v>2016.1</v>
      </c>
      <c r="DF6" s="303">
        <v>2016.1</v>
      </c>
      <c r="DG6" s="303">
        <v>2015.4</v>
      </c>
      <c r="DH6" s="303">
        <v>2015.4</v>
      </c>
      <c r="DI6" s="303">
        <v>2015.4</v>
      </c>
      <c r="DJ6" s="303">
        <v>2015.3</v>
      </c>
      <c r="DK6" s="303">
        <v>2015.3</v>
      </c>
      <c r="DL6" s="303">
        <v>2015.3</v>
      </c>
      <c r="DM6" s="303">
        <v>2015.2</v>
      </c>
      <c r="DN6" s="303">
        <v>2015.2</v>
      </c>
      <c r="DO6" s="303">
        <v>2015.2</v>
      </c>
      <c r="DP6" s="303">
        <v>2015.1</v>
      </c>
      <c r="DQ6" s="303">
        <v>2015.1</v>
      </c>
      <c r="DR6" s="303">
        <v>2015.1</v>
      </c>
      <c r="DS6" s="303">
        <v>2014.4</v>
      </c>
      <c r="DT6" s="303">
        <v>2014.4</v>
      </c>
      <c r="DU6" s="303">
        <v>2014.4</v>
      </c>
      <c r="DV6" s="303">
        <v>2014.3</v>
      </c>
      <c r="DW6" s="303">
        <v>2014.3</v>
      </c>
      <c r="DX6" s="303">
        <v>2014.3</v>
      </c>
      <c r="DY6" s="303">
        <v>2014.2</v>
      </c>
      <c r="DZ6" s="303">
        <v>2014.2</v>
      </c>
      <c r="EA6" s="303">
        <v>2014.2</v>
      </c>
      <c r="EB6" s="303">
        <v>2014.1</v>
      </c>
      <c r="EC6" s="303">
        <v>2014.1</v>
      </c>
      <c r="ED6" s="303">
        <v>2014.1</v>
      </c>
      <c r="EE6" s="303">
        <v>2013.4</v>
      </c>
      <c r="EF6" s="303">
        <v>2013.4</v>
      </c>
      <c r="EG6" s="303">
        <v>2013.4</v>
      </c>
      <c r="EH6" s="303">
        <v>2013.3</v>
      </c>
      <c r="EI6" s="303">
        <v>2013.3</v>
      </c>
      <c r="EJ6" s="303">
        <v>2013.3</v>
      </c>
      <c r="EK6" s="303">
        <v>2013.2</v>
      </c>
      <c r="EL6" s="303">
        <v>2013.2</v>
      </c>
      <c r="EM6" s="303">
        <v>2013.2</v>
      </c>
      <c r="EN6" s="303">
        <v>2013.1</v>
      </c>
      <c r="EO6" s="303">
        <v>2013.1</v>
      </c>
      <c r="EP6" s="303">
        <v>2013.1</v>
      </c>
      <c r="EQ6" s="304">
        <v>2012.4</v>
      </c>
      <c r="ER6" s="304">
        <v>2012.4</v>
      </c>
      <c r="ES6" s="304">
        <v>2012.4</v>
      </c>
      <c r="ET6" s="304">
        <v>2012.3</v>
      </c>
      <c r="EU6" s="304">
        <v>2012.3</v>
      </c>
      <c r="EV6" s="304">
        <v>2012.3</v>
      </c>
      <c r="EW6" s="304">
        <v>2012.2</v>
      </c>
      <c r="EX6" s="304">
        <v>2012.2</v>
      </c>
      <c r="EY6" s="304">
        <v>2012.2</v>
      </c>
      <c r="EZ6" s="304">
        <v>2012.1</v>
      </c>
      <c r="FA6" s="304">
        <v>2012.1</v>
      </c>
      <c r="FB6" s="304">
        <v>2012.1</v>
      </c>
      <c r="FC6" s="304">
        <v>2011.4</v>
      </c>
      <c r="FD6" s="304">
        <v>2011.4</v>
      </c>
      <c r="FE6" s="304">
        <v>2011.4</v>
      </c>
      <c r="FF6" s="304">
        <v>2011.3</v>
      </c>
      <c r="FG6" s="304">
        <v>2011.3</v>
      </c>
      <c r="FH6" s="304">
        <v>2011.3</v>
      </c>
      <c r="FI6" s="304">
        <v>2011.2</v>
      </c>
      <c r="FJ6" s="304">
        <v>2011.2</v>
      </c>
      <c r="FK6" s="304">
        <v>2011.2</v>
      </c>
      <c r="FL6" s="304">
        <v>2011.1</v>
      </c>
      <c r="FM6" s="304">
        <v>2011.1</v>
      </c>
      <c r="FN6" s="304">
        <v>2011.1</v>
      </c>
      <c r="FO6" s="304">
        <v>2010.4</v>
      </c>
      <c r="FP6" s="304">
        <v>2010.4</v>
      </c>
      <c r="FQ6" s="304">
        <v>2010.4</v>
      </c>
      <c r="FR6" s="304">
        <v>2010.3</v>
      </c>
      <c r="FS6" s="304">
        <v>2010.3</v>
      </c>
      <c r="FT6" s="304">
        <v>2010.3</v>
      </c>
      <c r="FU6" s="304">
        <v>2010.2</v>
      </c>
      <c r="FV6" s="304">
        <v>2010.2</v>
      </c>
      <c r="FW6" s="304">
        <v>2010.2</v>
      </c>
      <c r="FX6" s="304">
        <v>2010.1</v>
      </c>
      <c r="FY6" s="304">
        <v>2010.1</v>
      </c>
      <c r="FZ6" s="304">
        <v>2010.1</v>
      </c>
      <c r="GA6" s="304">
        <v>2009.4</v>
      </c>
      <c r="GB6" s="304">
        <v>2009.4</v>
      </c>
      <c r="GC6" s="304">
        <v>2009.4</v>
      </c>
      <c r="GD6" s="304">
        <v>2009.3</v>
      </c>
      <c r="GE6" s="304">
        <v>2009.3</v>
      </c>
      <c r="GF6" s="304">
        <v>2009.3</v>
      </c>
      <c r="GG6" s="304">
        <v>2009.2</v>
      </c>
      <c r="GH6" s="304">
        <v>2009.2</v>
      </c>
      <c r="GI6" s="304">
        <v>2009.2</v>
      </c>
      <c r="GJ6" s="304">
        <v>2009.1</v>
      </c>
      <c r="GK6" s="304">
        <v>2009.1</v>
      </c>
      <c r="GL6" s="304">
        <v>2009.1</v>
      </c>
      <c r="GM6" s="304">
        <v>2008.4</v>
      </c>
      <c r="GN6" s="304">
        <v>2008.4</v>
      </c>
      <c r="GO6" s="304">
        <v>2008.4</v>
      </c>
      <c r="GP6" s="304">
        <v>2008.3</v>
      </c>
      <c r="GQ6" s="304">
        <v>2008.3</v>
      </c>
      <c r="GR6" s="304">
        <v>2008.3</v>
      </c>
      <c r="GS6" s="304">
        <v>2008.2</v>
      </c>
      <c r="GT6" s="304">
        <v>2008.2</v>
      </c>
      <c r="GU6" s="304">
        <v>2008.2</v>
      </c>
      <c r="GV6" s="304">
        <v>2008.1</v>
      </c>
      <c r="GW6" s="304">
        <v>2008.1</v>
      </c>
      <c r="GX6" s="304">
        <v>2008.1</v>
      </c>
      <c r="GY6" s="304">
        <v>2007.4</v>
      </c>
      <c r="GZ6" s="304">
        <v>2007.4</v>
      </c>
      <c r="HA6" s="304">
        <v>2007.4</v>
      </c>
      <c r="HB6" s="304">
        <v>2007.3</v>
      </c>
      <c r="HC6" s="304">
        <v>2007.3</v>
      </c>
      <c r="HD6" s="304">
        <v>2007.3</v>
      </c>
      <c r="HE6" s="304">
        <v>2007.2</v>
      </c>
      <c r="HF6" s="304">
        <v>2007.2</v>
      </c>
      <c r="HG6" s="304">
        <v>2007.2</v>
      </c>
      <c r="HH6" s="304">
        <v>2007.1</v>
      </c>
      <c r="HI6" s="304">
        <v>2007.1</v>
      </c>
      <c r="HJ6" s="304">
        <v>2007.1</v>
      </c>
      <c r="HK6" s="304">
        <v>2006.4</v>
      </c>
      <c r="HL6" s="304">
        <v>2006.4</v>
      </c>
      <c r="HM6" s="304">
        <v>2006.4</v>
      </c>
      <c r="HN6" s="304">
        <v>2006.3</v>
      </c>
      <c r="HO6" s="304">
        <v>2006.3</v>
      </c>
      <c r="HP6" s="304">
        <v>2006.3</v>
      </c>
      <c r="HQ6" s="304">
        <v>2006.2</v>
      </c>
      <c r="HR6" s="304">
        <v>2006.2</v>
      </c>
      <c r="HS6" s="304">
        <v>2006.2</v>
      </c>
      <c r="HT6" s="304">
        <v>2006.1</v>
      </c>
      <c r="HU6" s="304">
        <v>2006.1</v>
      </c>
      <c r="HV6" s="304">
        <v>2006.1</v>
      </c>
      <c r="HW6" s="304">
        <v>2005.4</v>
      </c>
      <c r="HX6" s="304">
        <v>2005.4</v>
      </c>
      <c r="HY6" s="304">
        <v>2005.4</v>
      </c>
      <c r="HZ6" s="304">
        <v>2005.3</v>
      </c>
      <c r="IA6" s="304">
        <v>2005.3</v>
      </c>
      <c r="IB6" s="304">
        <v>2005.3</v>
      </c>
      <c r="IC6" s="304">
        <v>2005.2</v>
      </c>
      <c r="ID6" s="304">
        <v>2005.2</v>
      </c>
      <c r="IE6" s="304">
        <v>2005.2</v>
      </c>
      <c r="IF6" s="304">
        <v>2005.1</v>
      </c>
      <c r="IG6" s="304">
        <v>2005.1</v>
      </c>
      <c r="IH6" s="304">
        <v>2005.1</v>
      </c>
      <c r="II6" s="304">
        <v>2004.4</v>
      </c>
      <c r="IJ6" s="304">
        <v>2004.4</v>
      </c>
      <c r="IK6" s="304">
        <v>2004.4</v>
      </c>
      <c r="IL6" s="304">
        <v>2004.3</v>
      </c>
      <c r="IM6" s="304">
        <v>2004.3</v>
      </c>
      <c r="IN6" s="304">
        <v>2004.3</v>
      </c>
      <c r="IO6" s="304">
        <v>2004.2</v>
      </c>
      <c r="IP6" s="304">
        <v>2004.2</v>
      </c>
      <c r="IQ6" s="304">
        <v>2004.2</v>
      </c>
      <c r="IR6" s="304">
        <v>2004.1</v>
      </c>
      <c r="IS6" s="304">
        <v>2004.1</v>
      </c>
      <c r="IT6" s="304">
        <v>2004.1</v>
      </c>
      <c r="IU6" s="304">
        <v>2003.4</v>
      </c>
      <c r="IV6" s="304">
        <v>2003.4</v>
      </c>
      <c r="IW6" s="304">
        <v>2003.4</v>
      </c>
      <c r="IX6" s="304">
        <v>2003.3</v>
      </c>
      <c r="IY6" s="304">
        <v>2003.3</v>
      </c>
      <c r="IZ6" s="304">
        <v>2003.3</v>
      </c>
      <c r="JA6" s="304">
        <v>2003.2</v>
      </c>
      <c r="JB6" s="304">
        <v>2003.2</v>
      </c>
      <c r="JC6" s="304">
        <v>2003.2</v>
      </c>
      <c r="JD6" s="304">
        <v>2003.1</v>
      </c>
      <c r="JE6" s="304">
        <v>2003.1</v>
      </c>
      <c r="JF6" s="304">
        <v>2003.1</v>
      </c>
      <c r="JG6" s="304">
        <v>2002.4</v>
      </c>
      <c r="JH6" s="304">
        <v>2002.4</v>
      </c>
      <c r="JI6" s="304">
        <v>2002.4</v>
      </c>
      <c r="JJ6" s="304">
        <v>2002.3</v>
      </c>
      <c r="JK6" s="304">
        <v>2002.3</v>
      </c>
      <c r="JL6" s="304">
        <v>2002.3</v>
      </c>
      <c r="JM6" s="304">
        <v>2002.2</v>
      </c>
      <c r="JN6" s="304">
        <v>2002.2</v>
      </c>
      <c r="JO6" s="304">
        <v>2002.2</v>
      </c>
      <c r="JP6" s="304">
        <v>2002.1</v>
      </c>
      <c r="JQ6" s="304">
        <v>2002.1</v>
      </c>
      <c r="JR6" s="304">
        <v>2002.1</v>
      </c>
      <c r="JS6" s="304">
        <v>2001.4</v>
      </c>
      <c r="JT6" s="304">
        <v>2001.4</v>
      </c>
      <c r="JU6" s="304">
        <v>2001.4</v>
      </c>
      <c r="JV6" s="304">
        <v>2001.3</v>
      </c>
      <c r="JW6" s="304">
        <v>2001.3</v>
      </c>
      <c r="JX6" s="304">
        <v>2001.3</v>
      </c>
      <c r="JY6" s="304">
        <v>2001.2</v>
      </c>
      <c r="JZ6" s="304">
        <v>2001.2</v>
      </c>
      <c r="KA6" s="304">
        <v>2001.2</v>
      </c>
      <c r="KB6" s="304">
        <v>2001.1</v>
      </c>
      <c r="KC6" s="304">
        <v>2001.1</v>
      </c>
      <c r="KD6" s="304">
        <v>2001.1</v>
      </c>
      <c r="KE6" s="304">
        <v>2000.4</v>
      </c>
      <c r="KF6" s="304">
        <v>2000.4</v>
      </c>
      <c r="KG6" s="304">
        <v>2000.4</v>
      </c>
      <c r="KH6" s="304">
        <v>2000.3</v>
      </c>
      <c r="KI6" s="304">
        <v>2000.3</v>
      </c>
      <c r="KJ6" s="304">
        <v>2000.3</v>
      </c>
      <c r="KK6" s="304">
        <v>2000.2</v>
      </c>
      <c r="KL6" s="304">
        <v>2000.2</v>
      </c>
      <c r="KM6" s="304">
        <v>2000.2</v>
      </c>
      <c r="KN6" s="304">
        <v>2000.1</v>
      </c>
      <c r="KO6" s="304">
        <v>2000.1</v>
      </c>
      <c r="KP6" s="304">
        <v>2000.1</v>
      </c>
      <c r="KQ6" s="304">
        <v>1999.4</v>
      </c>
      <c r="KR6" s="304">
        <v>1999.4</v>
      </c>
      <c r="KS6" s="304">
        <v>1999.4</v>
      </c>
      <c r="KT6" s="304">
        <v>1999.3</v>
      </c>
      <c r="KU6" s="304">
        <v>1999.3</v>
      </c>
      <c r="KV6" s="304">
        <v>1999.3</v>
      </c>
      <c r="KW6" s="304">
        <v>1999.2</v>
      </c>
      <c r="KX6" s="304">
        <v>1999.2</v>
      </c>
      <c r="KY6" s="304">
        <v>1999.2</v>
      </c>
      <c r="KZ6" s="304">
        <v>1999.1</v>
      </c>
      <c r="LA6" s="304">
        <v>1999.1</v>
      </c>
      <c r="LB6" s="304">
        <v>1999.1</v>
      </c>
      <c r="LC6" s="304">
        <v>1998.4</v>
      </c>
      <c r="LD6" s="304">
        <v>1998.4</v>
      </c>
      <c r="LE6" s="304">
        <v>1998.4</v>
      </c>
      <c r="LF6" s="304">
        <v>1998.3</v>
      </c>
      <c r="LG6" s="304">
        <v>1998.3</v>
      </c>
      <c r="LH6" s="304">
        <v>1998.3</v>
      </c>
      <c r="LI6" s="304">
        <v>1998.2</v>
      </c>
      <c r="LJ6" s="304">
        <v>1998.2</v>
      </c>
      <c r="LK6" s="304">
        <v>1998.2</v>
      </c>
      <c r="LL6" s="304">
        <v>1998.1</v>
      </c>
      <c r="LM6" s="304">
        <v>1998.1</v>
      </c>
      <c r="LN6" s="304">
        <v>1998.1</v>
      </c>
      <c r="LO6" s="304">
        <v>1997.4</v>
      </c>
      <c r="LP6" s="304">
        <v>1997.4</v>
      </c>
      <c r="LQ6" s="304">
        <v>1997.4</v>
      </c>
      <c r="LR6" s="304">
        <v>1997.3</v>
      </c>
      <c r="LS6" s="304">
        <v>1997.3</v>
      </c>
      <c r="LT6" s="304">
        <v>1997.3</v>
      </c>
      <c r="LU6" s="304">
        <v>1997.2</v>
      </c>
      <c r="LV6" s="304">
        <v>1997.2</v>
      </c>
      <c r="LW6" s="304">
        <v>1997.2</v>
      </c>
      <c r="LX6" s="304">
        <v>1997.1</v>
      </c>
      <c r="LY6" s="304">
        <v>1997.1</v>
      </c>
      <c r="LZ6" s="304">
        <v>1997.1</v>
      </c>
      <c r="MA6" s="304">
        <v>1996.4</v>
      </c>
      <c r="MB6" s="304">
        <v>1996.4</v>
      </c>
      <c r="MC6" s="304">
        <v>1996.4</v>
      </c>
      <c r="MD6" s="304">
        <v>1996.3</v>
      </c>
      <c r="ME6" s="304">
        <v>1996.3</v>
      </c>
      <c r="MF6" s="304">
        <v>1996.3</v>
      </c>
      <c r="MG6" s="304">
        <v>1996.2</v>
      </c>
      <c r="MH6" s="304">
        <v>1996.2</v>
      </c>
      <c r="MI6" s="304">
        <v>1996.2</v>
      </c>
      <c r="MJ6" s="304">
        <v>1996.1</v>
      </c>
      <c r="MK6" s="304">
        <v>1996.1</v>
      </c>
      <c r="ML6" s="304">
        <v>1996.1</v>
      </c>
      <c r="MM6" s="304">
        <v>1995.4</v>
      </c>
      <c r="MN6" s="304">
        <v>1995.4</v>
      </c>
      <c r="MO6" s="304">
        <v>1995.4</v>
      </c>
      <c r="MP6" s="304">
        <v>1995.3</v>
      </c>
      <c r="MQ6" s="304">
        <v>1995.3</v>
      </c>
      <c r="MR6" s="304">
        <v>1995.3</v>
      </c>
      <c r="MS6" s="304">
        <v>1995.2</v>
      </c>
      <c r="MT6" s="304">
        <v>1995.2</v>
      </c>
      <c r="MU6" s="304">
        <v>1995.2</v>
      </c>
      <c r="MV6" s="304">
        <v>1995.1</v>
      </c>
      <c r="MW6" s="304">
        <v>1995.1</v>
      </c>
      <c r="MX6" s="304">
        <v>1995.1</v>
      </c>
      <c r="MY6" s="304">
        <v>1994.4</v>
      </c>
      <c r="MZ6" s="304">
        <v>1994.4</v>
      </c>
      <c r="NA6" s="304">
        <v>1994.4</v>
      </c>
      <c r="NB6" s="304">
        <v>1994.3</v>
      </c>
      <c r="NC6" s="304">
        <v>1994.3</v>
      </c>
      <c r="ND6" s="304">
        <v>1994.3</v>
      </c>
      <c r="NE6" s="304">
        <v>1994.2</v>
      </c>
      <c r="NF6" s="304">
        <v>1994.2</v>
      </c>
      <c r="NG6" s="304">
        <v>1994.2</v>
      </c>
      <c r="NH6" s="304">
        <v>1994.1</v>
      </c>
      <c r="NI6" s="304">
        <v>1994.1</v>
      </c>
      <c r="NJ6" s="304">
        <v>1994.1</v>
      </c>
      <c r="NK6" s="304">
        <v>1993.4</v>
      </c>
      <c r="NL6" s="304">
        <v>1993.4</v>
      </c>
      <c r="NM6" s="304">
        <v>1993.4</v>
      </c>
      <c r="NN6" s="304">
        <v>1993.3</v>
      </c>
      <c r="NO6" s="304">
        <v>1993.3</v>
      </c>
      <c r="NP6" s="304">
        <v>1993.3</v>
      </c>
      <c r="NQ6" s="304">
        <v>1993.2</v>
      </c>
      <c r="NR6" s="304">
        <v>1993.2</v>
      </c>
      <c r="NS6" s="304">
        <v>1993.2</v>
      </c>
      <c r="NT6" s="304">
        <v>1993.1</v>
      </c>
      <c r="NU6" s="304">
        <v>1993.1</v>
      </c>
      <c r="NV6" s="304">
        <v>1993.1</v>
      </c>
      <c r="NW6" s="304">
        <v>1992.4</v>
      </c>
      <c r="NX6" s="304">
        <v>1992.4</v>
      </c>
      <c r="NY6" s="304">
        <v>1992.4</v>
      </c>
      <c r="NZ6" s="304">
        <v>1992.3</v>
      </c>
      <c r="OA6" s="304">
        <v>1992.3</v>
      </c>
      <c r="OB6" s="304">
        <v>1992.3</v>
      </c>
      <c r="OC6" s="304">
        <v>1992.2</v>
      </c>
      <c r="OD6" s="304">
        <v>1992.2</v>
      </c>
      <c r="OE6" s="304">
        <v>1992.2</v>
      </c>
      <c r="OF6" s="304">
        <v>1992.1</v>
      </c>
      <c r="OG6" s="304">
        <v>1992.1</v>
      </c>
      <c r="OH6" s="304">
        <v>1992.1</v>
      </c>
      <c r="OI6" s="304">
        <v>1991.4</v>
      </c>
      <c r="OJ6" s="304">
        <v>1991.4</v>
      </c>
      <c r="OK6" s="304">
        <v>1991.4</v>
      </c>
      <c r="OL6" s="304">
        <v>1991.3</v>
      </c>
      <c r="OM6" s="304">
        <v>1991.3</v>
      </c>
      <c r="ON6" s="304">
        <v>1991.3</v>
      </c>
      <c r="OO6" s="304">
        <v>1991.2</v>
      </c>
      <c r="OP6" s="304">
        <v>1991.2</v>
      </c>
      <c r="OQ6" s="304">
        <v>1991.2</v>
      </c>
      <c r="OR6" s="304">
        <v>1991.1</v>
      </c>
      <c r="OS6" s="304">
        <v>1991.1</v>
      </c>
      <c r="OT6" s="304">
        <v>1991.1</v>
      </c>
      <c r="OU6" s="304">
        <v>1990.4</v>
      </c>
      <c r="OV6" s="304">
        <v>1990.4</v>
      </c>
    </row>
    <row r="7" spans="1:412">
      <c r="C7" s="304" t="s">
        <v>220</v>
      </c>
      <c r="D7" s="304" t="s">
        <v>221</v>
      </c>
      <c r="E7" s="304" t="s">
        <v>331</v>
      </c>
      <c r="F7" s="304" t="s">
        <v>220</v>
      </c>
      <c r="G7" s="304" t="s">
        <v>221</v>
      </c>
      <c r="H7" s="304" t="s">
        <v>331</v>
      </c>
      <c r="I7" s="304" t="s">
        <v>220</v>
      </c>
      <c r="J7" s="304" t="s">
        <v>221</v>
      </c>
      <c r="K7" s="304" t="s">
        <v>331</v>
      </c>
      <c r="L7" s="304" t="s">
        <v>220</v>
      </c>
      <c r="M7" s="304" t="s">
        <v>221</v>
      </c>
      <c r="N7" s="304" t="s">
        <v>331</v>
      </c>
      <c r="O7" s="304" t="s">
        <v>220</v>
      </c>
      <c r="P7" s="304" t="s">
        <v>221</v>
      </c>
      <c r="Q7" s="304" t="s">
        <v>331</v>
      </c>
      <c r="R7" s="304" t="s">
        <v>220</v>
      </c>
      <c r="S7" s="304" t="s">
        <v>221</v>
      </c>
      <c r="T7" s="304" t="s">
        <v>331</v>
      </c>
      <c r="U7" s="304" t="s">
        <v>220</v>
      </c>
      <c r="V7" s="304" t="s">
        <v>221</v>
      </c>
      <c r="W7" s="304" t="s">
        <v>331</v>
      </c>
      <c r="X7" s="304" t="s">
        <v>220</v>
      </c>
      <c r="Y7" s="304" t="s">
        <v>221</v>
      </c>
      <c r="Z7" s="304" t="s">
        <v>331</v>
      </c>
      <c r="AA7" s="304" t="s">
        <v>220</v>
      </c>
      <c r="AB7" s="304" t="s">
        <v>221</v>
      </c>
      <c r="AC7" s="304" t="s">
        <v>331</v>
      </c>
      <c r="AD7" s="304" t="s">
        <v>220</v>
      </c>
      <c r="AE7" s="304" t="s">
        <v>221</v>
      </c>
      <c r="AF7" s="304" t="s">
        <v>331</v>
      </c>
      <c r="AG7" s="304" t="s">
        <v>220</v>
      </c>
      <c r="AH7" s="304" t="s">
        <v>221</v>
      </c>
      <c r="AI7" s="304" t="s">
        <v>331</v>
      </c>
      <c r="AJ7" s="304" t="s">
        <v>220</v>
      </c>
      <c r="AK7" s="304" t="s">
        <v>221</v>
      </c>
      <c r="AL7" s="304" t="s">
        <v>331</v>
      </c>
      <c r="AM7" s="304" t="s">
        <v>220</v>
      </c>
      <c r="AN7" s="304" t="s">
        <v>221</v>
      </c>
      <c r="AO7" s="304" t="s">
        <v>331</v>
      </c>
      <c r="AP7" s="304" t="s">
        <v>220</v>
      </c>
      <c r="AQ7" s="304" t="s">
        <v>221</v>
      </c>
      <c r="AR7" s="304" t="s">
        <v>331</v>
      </c>
      <c r="AS7" s="304" t="s">
        <v>220</v>
      </c>
      <c r="AT7" s="304" t="s">
        <v>221</v>
      </c>
      <c r="AU7" s="304" t="s">
        <v>331</v>
      </c>
      <c r="AV7" s="304" t="s">
        <v>220</v>
      </c>
      <c r="AW7" s="304" t="s">
        <v>221</v>
      </c>
      <c r="AX7" s="304" t="s">
        <v>331</v>
      </c>
      <c r="AY7" s="304" t="s">
        <v>220</v>
      </c>
      <c r="AZ7" s="304" t="s">
        <v>221</v>
      </c>
      <c r="BA7" s="304" t="s">
        <v>331</v>
      </c>
      <c r="BB7" s="304" t="s">
        <v>220</v>
      </c>
      <c r="BC7" s="304" t="s">
        <v>221</v>
      </c>
      <c r="BD7" s="304" t="s">
        <v>331</v>
      </c>
      <c r="BE7" s="304" t="s">
        <v>220</v>
      </c>
      <c r="BF7" s="304" t="s">
        <v>221</v>
      </c>
      <c r="BG7" s="304" t="s">
        <v>331</v>
      </c>
      <c r="BH7" s="304" t="s">
        <v>220</v>
      </c>
      <c r="BI7" s="304" t="s">
        <v>221</v>
      </c>
      <c r="BJ7" s="304" t="s">
        <v>331</v>
      </c>
      <c r="BK7" s="304" t="s">
        <v>220</v>
      </c>
      <c r="BL7" s="304" t="s">
        <v>221</v>
      </c>
      <c r="BM7" s="304" t="s">
        <v>331</v>
      </c>
      <c r="BN7" s="304" t="s">
        <v>220</v>
      </c>
      <c r="BO7" s="304" t="s">
        <v>221</v>
      </c>
      <c r="BP7" s="304" t="s">
        <v>331</v>
      </c>
      <c r="BQ7" s="304" t="s">
        <v>220</v>
      </c>
      <c r="BR7" s="304" t="s">
        <v>221</v>
      </c>
      <c r="BS7" s="304" t="s">
        <v>331</v>
      </c>
      <c r="BT7" s="304" t="s">
        <v>220</v>
      </c>
      <c r="BU7" s="304" t="s">
        <v>221</v>
      </c>
      <c r="BV7" s="304" t="s">
        <v>331</v>
      </c>
      <c r="BW7" s="304" t="s">
        <v>220</v>
      </c>
      <c r="BX7" s="304" t="s">
        <v>221</v>
      </c>
      <c r="BY7" s="304" t="s">
        <v>331</v>
      </c>
      <c r="BZ7" s="304" t="s">
        <v>220</v>
      </c>
      <c r="CA7" s="304" t="s">
        <v>221</v>
      </c>
      <c r="CB7" s="304" t="s">
        <v>331</v>
      </c>
      <c r="CC7" s="304" t="s">
        <v>220</v>
      </c>
      <c r="CD7" s="304" t="s">
        <v>221</v>
      </c>
      <c r="CE7" s="304" t="s">
        <v>331</v>
      </c>
      <c r="CF7" s="304" t="s">
        <v>220</v>
      </c>
      <c r="CG7" s="304" t="s">
        <v>221</v>
      </c>
      <c r="CH7" s="304" t="s">
        <v>331</v>
      </c>
      <c r="CI7" s="304" t="s">
        <v>220</v>
      </c>
      <c r="CJ7" s="304" t="s">
        <v>221</v>
      </c>
      <c r="CK7" s="304" t="s">
        <v>331</v>
      </c>
      <c r="CL7" s="304" t="s">
        <v>220</v>
      </c>
      <c r="CM7" s="304" t="s">
        <v>221</v>
      </c>
      <c r="CN7" s="304" t="s">
        <v>331</v>
      </c>
      <c r="CO7" s="304" t="s">
        <v>220</v>
      </c>
      <c r="CP7" s="304" t="s">
        <v>221</v>
      </c>
      <c r="CQ7" s="304" t="s">
        <v>331</v>
      </c>
      <c r="CR7" s="304" t="s">
        <v>220</v>
      </c>
      <c r="CS7" s="304" t="s">
        <v>221</v>
      </c>
      <c r="CT7" s="304" t="s">
        <v>331</v>
      </c>
      <c r="CU7" s="304" t="s">
        <v>220</v>
      </c>
      <c r="CV7" s="304" t="s">
        <v>221</v>
      </c>
      <c r="CW7" s="304" t="s">
        <v>331</v>
      </c>
      <c r="CX7" s="304" t="s">
        <v>220</v>
      </c>
      <c r="CY7" s="304" t="s">
        <v>221</v>
      </c>
      <c r="CZ7" s="304" t="s">
        <v>331</v>
      </c>
      <c r="DA7" s="303" t="s">
        <v>220</v>
      </c>
      <c r="DB7" s="303" t="s">
        <v>221</v>
      </c>
      <c r="DC7" s="303" t="s">
        <v>331</v>
      </c>
      <c r="DD7" s="303" t="s">
        <v>220</v>
      </c>
      <c r="DE7" s="303" t="s">
        <v>221</v>
      </c>
      <c r="DF7" s="303" t="s">
        <v>331</v>
      </c>
      <c r="DG7" s="303" t="s">
        <v>220</v>
      </c>
      <c r="DH7" s="303" t="s">
        <v>221</v>
      </c>
      <c r="DI7" s="303" t="s">
        <v>331</v>
      </c>
      <c r="DJ7" s="303" t="s">
        <v>220</v>
      </c>
      <c r="DK7" s="303" t="s">
        <v>221</v>
      </c>
      <c r="DL7" s="303" t="s">
        <v>331</v>
      </c>
      <c r="DM7" s="303" t="s">
        <v>220</v>
      </c>
      <c r="DN7" s="303" t="s">
        <v>221</v>
      </c>
      <c r="DO7" s="303" t="s">
        <v>331</v>
      </c>
      <c r="DP7" s="303" t="s">
        <v>220</v>
      </c>
      <c r="DQ7" s="303" t="s">
        <v>221</v>
      </c>
      <c r="DR7" s="303" t="s">
        <v>331</v>
      </c>
      <c r="DS7" s="303" t="s">
        <v>220</v>
      </c>
      <c r="DT7" s="303" t="s">
        <v>221</v>
      </c>
      <c r="DU7" s="303" t="s">
        <v>331</v>
      </c>
      <c r="DV7" s="303" t="s">
        <v>220</v>
      </c>
      <c r="DW7" s="303" t="s">
        <v>221</v>
      </c>
      <c r="DX7" s="303" t="s">
        <v>331</v>
      </c>
      <c r="DY7" s="303" t="s">
        <v>220</v>
      </c>
      <c r="DZ7" s="303" t="s">
        <v>221</v>
      </c>
      <c r="EA7" s="303" t="s">
        <v>331</v>
      </c>
      <c r="EB7" s="303" t="s">
        <v>220</v>
      </c>
      <c r="EC7" s="303" t="s">
        <v>221</v>
      </c>
      <c r="ED7" s="303" t="s">
        <v>331</v>
      </c>
      <c r="EE7" s="303" t="s">
        <v>220</v>
      </c>
      <c r="EF7" s="303" t="s">
        <v>221</v>
      </c>
      <c r="EG7" s="303" t="s">
        <v>331</v>
      </c>
      <c r="EH7" s="303" t="s">
        <v>220</v>
      </c>
      <c r="EI7" s="303" t="s">
        <v>221</v>
      </c>
      <c r="EJ7" s="303" t="s">
        <v>331</v>
      </c>
      <c r="EK7" s="303" t="s">
        <v>220</v>
      </c>
      <c r="EL7" s="303" t="s">
        <v>221</v>
      </c>
      <c r="EM7" s="303" t="s">
        <v>331</v>
      </c>
      <c r="EN7" s="303" t="s">
        <v>220</v>
      </c>
      <c r="EO7" s="303" t="s">
        <v>221</v>
      </c>
      <c r="EP7" s="303" t="s">
        <v>331</v>
      </c>
      <c r="EQ7" s="304" t="s">
        <v>220</v>
      </c>
      <c r="ER7" s="304" t="s">
        <v>221</v>
      </c>
      <c r="ES7" s="304" t="s">
        <v>331</v>
      </c>
      <c r="ET7" s="304" t="s">
        <v>220</v>
      </c>
      <c r="EU7" s="304" t="s">
        <v>221</v>
      </c>
      <c r="EV7" s="304" t="s">
        <v>331</v>
      </c>
      <c r="EW7" s="304" t="s">
        <v>220</v>
      </c>
      <c r="EX7" s="304" t="s">
        <v>221</v>
      </c>
      <c r="EY7" s="304" t="s">
        <v>331</v>
      </c>
      <c r="EZ7" s="304" t="s">
        <v>220</v>
      </c>
      <c r="FA7" s="304" t="s">
        <v>221</v>
      </c>
      <c r="FB7" s="304" t="s">
        <v>331</v>
      </c>
      <c r="FC7" s="304" t="s">
        <v>220</v>
      </c>
      <c r="FD7" s="304" t="s">
        <v>221</v>
      </c>
      <c r="FE7" s="304" t="s">
        <v>331</v>
      </c>
      <c r="FF7" s="304" t="s">
        <v>220</v>
      </c>
      <c r="FG7" s="304" t="s">
        <v>221</v>
      </c>
      <c r="FH7" s="304" t="s">
        <v>331</v>
      </c>
      <c r="FI7" s="304" t="s">
        <v>220</v>
      </c>
      <c r="FJ7" s="304" t="s">
        <v>221</v>
      </c>
      <c r="FK7" s="304" t="s">
        <v>331</v>
      </c>
      <c r="FL7" s="304" t="s">
        <v>220</v>
      </c>
      <c r="FM7" s="304" t="s">
        <v>221</v>
      </c>
      <c r="FN7" s="304" t="s">
        <v>331</v>
      </c>
      <c r="FO7" s="304" t="s">
        <v>220</v>
      </c>
      <c r="FP7" s="304" t="s">
        <v>221</v>
      </c>
      <c r="FQ7" s="304" t="s">
        <v>331</v>
      </c>
      <c r="FR7" s="304" t="s">
        <v>220</v>
      </c>
      <c r="FS7" s="304" t="s">
        <v>221</v>
      </c>
      <c r="FT7" s="304" t="s">
        <v>331</v>
      </c>
      <c r="FU7" s="304" t="s">
        <v>220</v>
      </c>
      <c r="FV7" s="304" t="s">
        <v>221</v>
      </c>
      <c r="FW7" s="304" t="s">
        <v>331</v>
      </c>
      <c r="FX7" s="304" t="s">
        <v>220</v>
      </c>
      <c r="FY7" s="304" t="s">
        <v>221</v>
      </c>
      <c r="FZ7" s="304" t="s">
        <v>331</v>
      </c>
      <c r="GA7" s="304" t="s">
        <v>220</v>
      </c>
      <c r="GB7" s="304" t="s">
        <v>221</v>
      </c>
      <c r="GC7" s="304" t="s">
        <v>331</v>
      </c>
      <c r="GD7" s="304" t="s">
        <v>220</v>
      </c>
      <c r="GE7" s="304" t="s">
        <v>221</v>
      </c>
      <c r="GF7" s="304" t="s">
        <v>331</v>
      </c>
      <c r="GG7" s="304" t="s">
        <v>220</v>
      </c>
      <c r="GH7" s="304" t="s">
        <v>221</v>
      </c>
      <c r="GI7" s="304" t="s">
        <v>331</v>
      </c>
      <c r="GJ7" s="304" t="s">
        <v>220</v>
      </c>
      <c r="GK7" s="304" t="s">
        <v>221</v>
      </c>
      <c r="GL7" s="304" t="s">
        <v>331</v>
      </c>
      <c r="GM7" s="304" t="s">
        <v>220</v>
      </c>
      <c r="GN7" s="304" t="s">
        <v>221</v>
      </c>
      <c r="GO7" s="304" t="s">
        <v>331</v>
      </c>
      <c r="GP7" s="304" t="s">
        <v>220</v>
      </c>
      <c r="GQ7" s="304" t="s">
        <v>221</v>
      </c>
      <c r="GR7" s="304" t="s">
        <v>331</v>
      </c>
      <c r="GS7" s="304" t="s">
        <v>220</v>
      </c>
      <c r="GT7" s="304" t="s">
        <v>221</v>
      </c>
      <c r="GU7" s="304" t="s">
        <v>331</v>
      </c>
      <c r="GV7" s="304" t="s">
        <v>220</v>
      </c>
      <c r="GW7" s="304" t="s">
        <v>221</v>
      </c>
      <c r="GX7" s="304" t="s">
        <v>331</v>
      </c>
      <c r="GY7" s="304" t="s">
        <v>220</v>
      </c>
      <c r="GZ7" s="304" t="s">
        <v>221</v>
      </c>
      <c r="HA7" s="304" t="s">
        <v>331</v>
      </c>
      <c r="HB7" s="304" t="s">
        <v>220</v>
      </c>
      <c r="HC7" s="304" t="s">
        <v>221</v>
      </c>
      <c r="HD7" s="304" t="s">
        <v>331</v>
      </c>
      <c r="HE7" s="304" t="s">
        <v>220</v>
      </c>
      <c r="HF7" s="304" t="s">
        <v>221</v>
      </c>
      <c r="HG7" s="304" t="s">
        <v>331</v>
      </c>
      <c r="HH7" s="304" t="s">
        <v>220</v>
      </c>
      <c r="HI7" s="304" t="s">
        <v>221</v>
      </c>
      <c r="HJ7" s="304" t="s">
        <v>331</v>
      </c>
      <c r="HK7" s="304" t="s">
        <v>220</v>
      </c>
      <c r="HL7" s="304" t="s">
        <v>221</v>
      </c>
      <c r="HM7" s="304" t="s">
        <v>331</v>
      </c>
      <c r="HN7" s="304" t="s">
        <v>220</v>
      </c>
      <c r="HO7" s="304" t="s">
        <v>221</v>
      </c>
      <c r="HP7" s="304" t="s">
        <v>331</v>
      </c>
      <c r="HQ7" s="304" t="s">
        <v>220</v>
      </c>
      <c r="HR7" s="304" t="s">
        <v>221</v>
      </c>
      <c r="HS7" s="304" t="s">
        <v>331</v>
      </c>
      <c r="HT7" s="304" t="s">
        <v>220</v>
      </c>
      <c r="HU7" s="304" t="s">
        <v>221</v>
      </c>
      <c r="HV7" s="304" t="s">
        <v>331</v>
      </c>
      <c r="HW7" s="304" t="s">
        <v>220</v>
      </c>
      <c r="HX7" s="304" t="s">
        <v>221</v>
      </c>
      <c r="HY7" s="304" t="s">
        <v>331</v>
      </c>
      <c r="HZ7" s="304" t="s">
        <v>220</v>
      </c>
      <c r="IA7" s="304" t="s">
        <v>221</v>
      </c>
      <c r="IB7" s="304" t="s">
        <v>331</v>
      </c>
      <c r="IC7" s="304" t="s">
        <v>220</v>
      </c>
      <c r="ID7" s="304" t="s">
        <v>221</v>
      </c>
      <c r="IE7" s="304" t="s">
        <v>331</v>
      </c>
      <c r="IF7" s="304" t="s">
        <v>220</v>
      </c>
      <c r="IG7" s="304" t="s">
        <v>221</v>
      </c>
      <c r="IH7" s="304" t="s">
        <v>331</v>
      </c>
      <c r="II7" s="304" t="s">
        <v>220</v>
      </c>
      <c r="IJ7" s="304" t="s">
        <v>221</v>
      </c>
      <c r="IK7" s="304" t="s">
        <v>331</v>
      </c>
      <c r="IL7" s="304" t="s">
        <v>220</v>
      </c>
      <c r="IM7" s="304" t="s">
        <v>221</v>
      </c>
      <c r="IN7" s="304" t="s">
        <v>331</v>
      </c>
      <c r="IO7" s="304" t="s">
        <v>220</v>
      </c>
      <c r="IP7" s="304" t="s">
        <v>221</v>
      </c>
      <c r="IQ7" s="304" t="s">
        <v>331</v>
      </c>
      <c r="IR7" s="304" t="s">
        <v>220</v>
      </c>
      <c r="IS7" s="304" t="s">
        <v>221</v>
      </c>
      <c r="IT7" s="304" t="s">
        <v>331</v>
      </c>
      <c r="IU7" s="304" t="s">
        <v>220</v>
      </c>
      <c r="IV7" s="304" t="s">
        <v>221</v>
      </c>
      <c r="IW7" s="304" t="s">
        <v>331</v>
      </c>
      <c r="IX7" s="304" t="s">
        <v>220</v>
      </c>
      <c r="IY7" s="304" t="s">
        <v>221</v>
      </c>
      <c r="IZ7" s="304" t="s">
        <v>331</v>
      </c>
      <c r="JA7" s="304" t="s">
        <v>220</v>
      </c>
      <c r="JB7" s="304" t="s">
        <v>221</v>
      </c>
      <c r="JC7" s="304" t="s">
        <v>331</v>
      </c>
      <c r="JD7" s="304" t="s">
        <v>220</v>
      </c>
      <c r="JE7" s="304" t="s">
        <v>221</v>
      </c>
      <c r="JF7" s="304" t="s">
        <v>331</v>
      </c>
      <c r="JG7" s="304" t="s">
        <v>220</v>
      </c>
      <c r="JH7" s="304" t="s">
        <v>221</v>
      </c>
      <c r="JI7" s="304" t="s">
        <v>331</v>
      </c>
      <c r="JJ7" s="304" t="s">
        <v>220</v>
      </c>
      <c r="JK7" s="304" t="s">
        <v>221</v>
      </c>
      <c r="JL7" s="304" t="s">
        <v>331</v>
      </c>
      <c r="JM7" s="304" t="s">
        <v>220</v>
      </c>
      <c r="JN7" s="304" t="s">
        <v>221</v>
      </c>
      <c r="JO7" s="304" t="s">
        <v>331</v>
      </c>
      <c r="JP7" s="304" t="s">
        <v>220</v>
      </c>
      <c r="JQ7" s="304" t="s">
        <v>221</v>
      </c>
      <c r="JR7" s="304" t="s">
        <v>331</v>
      </c>
      <c r="JS7" s="304" t="s">
        <v>220</v>
      </c>
      <c r="JT7" s="304" t="s">
        <v>221</v>
      </c>
      <c r="JU7" s="304" t="s">
        <v>331</v>
      </c>
      <c r="JV7" s="304" t="s">
        <v>220</v>
      </c>
      <c r="JW7" s="304" t="s">
        <v>221</v>
      </c>
      <c r="JX7" s="304" t="s">
        <v>331</v>
      </c>
      <c r="JY7" s="304" t="s">
        <v>220</v>
      </c>
      <c r="JZ7" s="304" t="s">
        <v>221</v>
      </c>
      <c r="KA7" s="304" t="s">
        <v>331</v>
      </c>
      <c r="KB7" s="304" t="s">
        <v>220</v>
      </c>
      <c r="KC7" s="304" t="s">
        <v>221</v>
      </c>
      <c r="KD7" s="304" t="s">
        <v>331</v>
      </c>
      <c r="KE7" s="304" t="s">
        <v>220</v>
      </c>
      <c r="KF7" s="304" t="s">
        <v>221</v>
      </c>
      <c r="KG7" s="304" t="s">
        <v>331</v>
      </c>
      <c r="KH7" s="304" t="s">
        <v>220</v>
      </c>
      <c r="KI7" s="304" t="s">
        <v>221</v>
      </c>
      <c r="KJ7" s="304" t="s">
        <v>331</v>
      </c>
      <c r="KK7" s="304" t="s">
        <v>220</v>
      </c>
      <c r="KL7" s="304" t="s">
        <v>221</v>
      </c>
      <c r="KM7" s="304" t="s">
        <v>331</v>
      </c>
      <c r="KN7" s="304" t="s">
        <v>220</v>
      </c>
      <c r="KO7" s="304" t="s">
        <v>221</v>
      </c>
      <c r="KP7" s="304" t="s">
        <v>331</v>
      </c>
      <c r="KQ7" s="304" t="s">
        <v>220</v>
      </c>
      <c r="KR7" s="304" t="s">
        <v>221</v>
      </c>
      <c r="KS7" s="304" t="s">
        <v>331</v>
      </c>
      <c r="KT7" s="304" t="s">
        <v>220</v>
      </c>
      <c r="KU7" s="304" t="s">
        <v>221</v>
      </c>
      <c r="KV7" s="304" t="s">
        <v>331</v>
      </c>
      <c r="KW7" s="304" t="s">
        <v>220</v>
      </c>
      <c r="KX7" s="304" t="s">
        <v>221</v>
      </c>
      <c r="KY7" s="304" t="s">
        <v>331</v>
      </c>
      <c r="KZ7" s="304" t="s">
        <v>220</v>
      </c>
      <c r="LA7" s="304" t="s">
        <v>221</v>
      </c>
      <c r="LB7" s="304" t="s">
        <v>331</v>
      </c>
      <c r="LC7" s="304" t="s">
        <v>220</v>
      </c>
      <c r="LD7" s="304" t="s">
        <v>221</v>
      </c>
      <c r="LE7" s="304" t="s">
        <v>331</v>
      </c>
      <c r="LF7" s="304" t="s">
        <v>220</v>
      </c>
      <c r="LG7" s="304" t="s">
        <v>221</v>
      </c>
      <c r="LH7" s="304" t="s">
        <v>331</v>
      </c>
      <c r="LI7" s="304" t="s">
        <v>220</v>
      </c>
      <c r="LJ7" s="304" t="s">
        <v>221</v>
      </c>
      <c r="LK7" s="304" t="s">
        <v>331</v>
      </c>
      <c r="LL7" s="304" t="s">
        <v>220</v>
      </c>
      <c r="LM7" s="304" t="s">
        <v>221</v>
      </c>
      <c r="LN7" s="304" t="s">
        <v>331</v>
      </c>
      <c r="LO7" s="304" t="s">
        <v>220</v>
      </c>
      <c r="LP7" s="304" t="s">
        <v>221</v>
      </c>
      <c r="LQ7" s="304" t="s">
        <v>331</v>
      </c>
      <c r="LR7" s="304" t="s">
        <v>220</v>
      </c>
      <c r="LS7" s="304" t="s">
        <v>221</v>
      </c>
      <c r="LT7" s="304" t="s">
        <v>331</v>
      </c>
      <c r="LU7" s="304" t="s">
        <v>220</v>
      </c>
      <c r="LV7" s="304" t="s">
        <v>221</v>
      </c>
      <c r="LW7" s="304" t="s">
        <v>331</v>
      </c>
      <c r="LX7" s="304" t="s">
        <v>220</v>
      </c>
      <c r="LY7" s="304" t="s">
        <v>221</v>
      </c>
      <c r="LZ7" s="304" t="s">
        <v>331</v>
      </c>
      <c r="MA7" s="304" t="s">
        <v>220</v>
      </c>
      <c r="MB7" s="304" t="s">
        <v>221</v>
      </c>
      <c r="MC7" s="304" t="s">
        <v>331</v>
      </c>
      <c r="MD7" s="304" t="s">
        <v>220</v>
      </c>
      <c r="ME7" s="304" t="s">
        <v>221</v>
      </c>
      <c r="MF7" s="304" t="s">
        <v>331</v>
      </c>
      <c r="MG7" s="304" t="s">
        <v>220</v>
      </c>
      <c r="MH7" s="304" t="s">
        <v>221</v>
      </c>
      <c r="MI7" s="304" t="s">
        <v>331</v>
      </c>
      <c r="MJ7" s="304" t="s">
        <v>220</v>
      </c>
      <c r="MK7" s="304" t="s">
        <v>221</v>
      </c>
      <c r="ML7" s="304" t="s">
        <v>331</v>
      </c>
      <c r="MM7" s="304" t="s">
        <v>220</v>
      </c>
      <c r="MN7" s="304" t="s">
        <v>221</v>
      </c>
      <c r="MO7" s="304" t="s">
        <v>331</v>
      </c>
      <c r="MP7" s="304" t="s">
        <v>220</v>
      </c>
      <c r="MQ7" s="304" t="s">
        <v>221</v>
      </c>
      <c r="MR7" s="304" t="s">
        <v>331</v>
      </c>
      <c r="MS7" s="304" t="s">
        <v>220</v>
      </c>
      <c r="MT7" s="304" t="s">
        <v>221</v>
      </c>
      <c r="MU7" s="304" t="s">
        <v>331</v>
      </c>
      <c r="MV7" s="304" t="s">
        <v>220</v>
      </c>
      <c r="MW7" s="304" t="s">
        <v>221</v>
      </c>
      <c r="MX7" s="304" t="s">
        <v>331</v>
      </c>
      <c r="MY7" s="304" t="s">
        <v>220</v>
      </c>
      <c r="MZ7" s="304" t="s">
        <v>221</v>
      </c>
      <c r="NA7" s="304" t="s">
        <v>331</v>
      </c>
      <c r="NB7" s="304" t="s">
        <v>220</v>
      </c>
      <c r="NC7" s="304" t="s">
        <v>221</v>
      </c>
      <c r="ND7" s="304" t="s">
        <v>331</v>
      </c>
      <c r="NE7" s="304" t="s">
        <v>220</v>
      </c>
      <c r="NF7" s="304" t="s">
        <v>221</v>
      </c>
      <c r="NG7" s="304" t="s">
        <v>331</v>
      </c>
      <c r="NH7" s="304" t="s">
        <v>220</v>
      </c>
      <c r="NI7" s="304" t="s">
        <v>221</v>
      </c>
      <c r="NJ7" s="304" t="s">
        <v>331</v>
      </c>
      <c r="NK7" s="304" t="s">
        <v>220</v>
      </c>
      <c r="NL7" s="304" t="s">
        <v>221</v>
      </c>
      <c r="NM7" s="304" t="s">
        <v>331</v>
      </c>
      <c r="NN7" s="304" t="s">
        <v>220</v>
      </c>
      <c r="NO7" s="304" t="s">
        <v>221</v>
      </c>
      <c r="NP7" s="304" t="s">
        <v>331</v>
      </c>
      <c r="NQ7" s="304" t="s">
        <v>220</v>
      </c>
      <c r="NR7" s="304" t="s">
        <v>221</v>
      </c>
      <c r="NS7" s="304" t="s">
        <v>331</v>
      </c>
      <c r="NT7" s="304" t="s">
        <v>220</v>
      </c>
      <c r="NU7" s="304" t="s">
        <v>221</v>
      </c>
      <c r="NV7" s="304" t="s">
        <v>331</v>
      </c>
      <c r="NW7" s="304" t="s">
        <v>220</v>
      </c>
      <c r="NX7" s="304" t="s">
        <v>221</v>
      </c>
      <c r="NY7" s="304" t="s">
        <v>331</v>
      </c>
      <c r="NZ7" s="304" t="s">
        <v>220</v>
      </c>
      <c r="OA7" s="304" t="s">
        <v>221</v>
      </c>
      <c r="OB7" s="304" t="s">
        <v>331</v>
      </c>
      <c r="OC7" s="304" t="s">
        <v>220</v>
      </c>
      <c r="OD7" s="304" t="s">
        <v>221</v>
      </c>
      <c r="OE7" s="304" t="s">
        <v>331</v>
      </c>
      <c r="OF7" s="304" t="s">
        <v>220</v>
      </c>
      <c r="OG7" s="304" t="s">
        <v>221</v>
      </c>
      <c r="OH7" s="304" t="s">
        <v>331</v>
      </c>
      <c r="OI7" s="304" t="s">
        <v>220</v>
      </c>
      <c r="OJ7" s="304" t="s">
        <v>221</v>
      </c>
      <c r="OK7" s="304" t="s">
        <v>331</v>
      </c>
      <c r="OL7" s="304" t="s">
        <v>220</v>
      </c>
      <c r="OM7" s="304" t="s">
        <v>221</v>
      </c>
      <c r="ON7" s="304" t="s">
        <v>331</v>
      </c>
      <c r="OO7" s="304" t="s">
        <v>220</v>
      </c>
      <c r="OP7" s="304" t="s">
        <v>221</v>
      </c>
      <c r="OQ7" s="304" t="s">
        <v>331</v>
      </c>
      <c r="OR7" s="304" t="s">
        <v>220</v>
      </c>
      <c r="OS7" s="304" t="s">
        <v>221</v>
      </c>
      <c r="OT7" s="304" t="s">
        <v>331</v>
      </c>
      <c r="OU7" s="304" t="s">
        <v>220</v>
      </c>
      <c r="OV7" s="304" t="s">
        <v>221</v>
      </c>
    </row>
    <row r="8" spans="1:412" ht="15"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58"/>
      <c r="AZ8" s="358"/>
      <c r="BA8" s="358"/>
      <c r="BB8" s="358"/>
      <c r="BC8" s="358"/>
      <c r="BD8" s="358"/>
      <c r="BE8" s="358"/>
      <c r="BF8" s="358"/>
      <c r="BG8" s="358"/>
      <c r="BH8" s="358"/>
      <c r="BI8" s="358"/>
      <c r="BJ8" s="358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/>
      <c r="CC8" s="349"/>
      <c r="CD8" s="349"/>
      <c r="CE8" s="349"/>
      <c r="CF8" s="349"/>
      <c r="CG8" s="349"/>
      <c r="CH8" s="349"/>
      <c r="CI8" s="349"/>
      <c r="CJ8" s="349"/>
      <c r="CK8" s="349"/>
      <c r="CL8" s="349"/>
      <c r="CM8" s="349"/>
      <c r="CN8" s="349"/>
      <c r="CO8" s="349"/>
      <c r="CP8" s="349"/>
      <c r="CQ8" s="349"/>
      <c r="CR8" s="349"/>
      <c r="CS8" s="349"/>
      <c r="CT8" s="349"/>
      <c r="CU8" s="338"/>
      <c r="CV8" s="338"/>
      <c r="CW8" s="338"/>
      <c r="CX8" s="338"/>
      <c r="CY8" s="338"/>
      <c r="CZ8" s="338"/>
      <c r="DA8" s="338"/>
      <c r="DB8" s="338"/>
      <c r="DC8" s="338"/>
      <c r="DD8" s="338"/>
      <c r="DE8" s="338"/>
      <c r="DF8" s="338"/>
      <c r="DG8" s="338"/>
      <c r="DH8" s="338"/>
      <c r="DI8" s="338"/>
      <c r="DJ8" s="338"/>
      <c r="DK8" s="338"/>
      <c r="DL8" s="338"/>
      <c r="DM8" s="338"/>
      <c r="DN8" s="338"/>
      <c r="DO8" s="338"/>
      <c r="DP8" s="338"/>
      <c r="DQ8" s="338"/>
      <c r="DR8" s="338"/>
      <c r="DS8" s="338"/>
      <c r="DT8" s="338"/>
      <c r="DU8" s="338"/>
      <c r="DV8" s="338"/>
      <c r="DW8" s="338"/>
      <c r="DX8" s="338"/>
      <c r="DY8" s="338"/>
      <c r="DZ8" s="338"/>
      <c r="EA8" s="338"/>
      <c r="EB8" s="338"/>
      <c r="EC8" s="338"/>
      <c r="ED8" s="338"/>
      <c r="EE8" s="338"/>
      <c r="EF8" s="338"/>
      <c r="EG8" s="338"/>
      <c r="EH8" s="338"/>
      <c r="EI8" s="338"/>
      <c r="EJ8" s="338"/>
      <c r="EK8" s="338"/>
      <c r="EL8" s="338"/>
      <c r="EM8" s="338"/>
      <c r="EN8" s="338"/>
      <c r="EO8" s="338"/>
      <c r="EP8" s="338"/>
      <c r="EQ8" s="338"/>
      <c r="ER8" s="338"/>
      <c r="ES8" s="338"/>
      <c r="ET8" s="338"/>
      <c r="EU8" s="338"/>
      <c r="EV8" s="338"/>
      <c r="EW8" s="338"/>
      <c r="EX8" s="338"/>
      <c r="EY8" s="338"/>
      <c r="EZ8" s="338"/>
      <c r="FA8" s="338"/>
      <c r="FB8" s="338"/>
      <c r="FC8" s="338"/>
      <c r="FD8" s="338"/>
      <c r="FE8" s="338"/>
      <c r="FF8" s="338"/>
      <c r="FG8" s="338"/>
      <c r="FH8" s="338"/>
      <c r="FI8" s="338"/>
      <c r="FJ8" s="338"/>
      <c r="FK8" s="338"/>
      <c r="FL8" s="338"/>
      <c r="FM8" s="338"/>
      <c r="FN8" s="338"/>
      <c r="FO8" s="338"/>
      <c r="FP8" s="338"/>
      <c r="FQ8" s="338"/>
      <c r="FR8" s="338"/>
      <c r="FS8" s="338"/>
      <c r="FT8" s="338"/>
      <c r="FU8" s="338"/>
      <c r="FV8" s="338"/>
      <c r="FW8" s="338"/>
      <c r="FX8" s="338"/>
      <c r="FY8" s="338"/>
      <c r="FZ8" s="338"/>
      <c r="GA8" s="338"/>
      <c r="GB8" s="338"/>
      <c r="GC8" s="338"/>
      <c r="GD8" s="338"/>
      <c r="GE8" s="338"/>
      <c r="GF8" s="338"/>
      <c r="GG8" s="338"/>
      <c r="GH8" s="338"/>
      <c r="GI8" s="338"/>
      <c r="GJ8" s="338"/>
      <c r="GK8" s="338"/>
      <c r="GL8" s="338"/>
      <c r="GM8" s="338"/>
      <c r="GN8" s="338"/>
      <c r="GO8" s="338"/>
      <c r="GP8" s="338"/>
      <c r="GQ8" s="338"/>
      <c r="GR8" s="338"/>
      <c r="GS8" s="338"/>
      <c r="GT8" s="338"/>
      <c r="GU8" s="338"/>
      <c r="GV8" s="338"/>
      <c r="GW8" s="338"/>
      <c r="GX8" s="338"/>
      <c r="GY8" s="338"/>
      <c r="GZ8" s="338"/>
      <c r="HA8" s="338"/>
      <c r="HB8" s="338"/>
      <c r="HC8" s="338"/>
      <c r="HD8" s="338"/>
      <c r="HE8" s="338"/>
      <c r="HF8" s="338"/>
      <c r="HG8" s="338"/>
      <c r="HH8" s="333"/>
      <c r="HI8" s="333"/>
      <c r="HJ8" s="333"/>
      <c r="HK8" s="338"/>
      <c r="HL8" s="338"/>
      <c r="HM8" s="338"/>
      <c r="HN8" s="338"/>
      <c r="HO8" s="338"/>
      <c r="HP8" s="338"/>
      <c r="HQ8" s="338"/>
      <c r="HR8" s="338"/>
      <c r="HS8" s="338"/>
      <c r="HT8" s="338"/>
      <c r="HU8" s="338"/>
      <c r="HV8" s="338"/>
      <c r="HW8" s="338"/>
      <c r="HX8" s="338"/>
      <c r="HY8" s="338"/>
      <c r="HZ8" s="338"/>
      <c r="IA8" s="338"/>
      <c r="IB8" s="338"/>
      <c r="IC8" s="338"/>
      <c r="ID8" s="338"/>
      <c r="IE8" s="338"/>
      <c r="IF8" s="338"/>
      <c r="IG8" s="338"/>
      <c r="IH8" s="338"/>
      <c r="II8" s="338"/>
      <c r="IJ8" s="338"/>
      <c r="IK8" s="338"/>
      <c r="IL8" s="338"/>
      <c r="IM8" s="338"/>
      <c r="IN8" s="338"/>
      <c r="IO8" s="338"/>
      <c r="IP8" s="338"/>
      <c r="IQ8" s="338"/>
      <c r="IR8" s="338"/>
      <c r="IS8" s="338"/>
      <c r="IT8" s="338"/>
      <c r="IU8" s="338"/>
      <c r="IV8" s="338"/>
      <c r="IW8" s="338"/>
      <c r="IX8" s="338"/>
      <c r="IY8" s="338"/>
      <c r="IZ8" s="338"/>
      <c r="JA8" s="338"/>
      <c r="JB8" s="338"/>
      <c r="JC8" s="338"/>
      <c r="JD8" s="338"/>
      <c r="JE8" s="338"/>
      <c r="JF8" s="338"/>
      <c r="JG8" s="338"/>
      <c r="JH8" s="338"/>
      <c r="JI8" s="338"/>
      <c r="JJ8" s="338"/>
      <c r="JK8" s="338"/>
      <c r="JL8" s="338"/>
      <c r="JM8" s="338"/>
      <c r="JN8" s="338"/>
      <c r="JO8" s="338"/>
      <c r="JP8" s="338"/>
      <c r="JQ8" s="338"/>
      <c r="JR8" s="338"/>
      <c r="JS8" s="338"/>
      <c r="JT8" s="338"/>
      <c r="JU8" s="338"/>
      <c r="JV8" s="338"/>
      <c r="JW8" s="338"/>
      <c r="JX8" s="338"/>
      <c r="JY8" s="338"/>
      <c r="JZ8" s="338"/>
      <c r="KA8" s="338"/>
      <c r="KB8" s="338"/>
      <c r="KC8" s="338"/>
      <c r="KD8" s="338"/>
      <c r="KE8" s="338"/>
      <c r="KF8" s="338"/>
      <c r="KG8" s="338"/>
      <c r="KH8" s="338"/>
      <c r="KI8" s="338"/>
      <c r="KJ8" s="338"/>
      <c r="KK8" s="338"/>
      <c r="KL8" s="338"/>
      <c r="KM8" s="338"/>
      <c r="KN8" s="338"/>
      <c r="KO8" s="338"/>
      <c r="KP8" s="338"/>
      <c r="KQ8" s="338"/>
      <c r="KR8" s="338"/>
      <c r="KS8" s="338"/>
      <c r="KT8" s="338"/>
      <c r="KU8" s="338"/>
      <c r="KV8" s="338"/>
    </row>
    <row r="9" spans="1:412">
      <c r="BZ9" s="56"/>
      <c r="CA9" s="56"/>
      <c r="CB9" s="56"/>
      <c r="CC9" s="56"/>
      <c r="CD9" s="56"/>
      <c r="CE9" s="56"/>
      <c r="CF9" s="346"/>
      <c r="CG9" s="346"/>
      <c r="CH9" s="34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DA9" s="333"/>
      <c r="DB9" s="333"/>
      <c r="DC9" s="333"/>
      <c r="DD9" s="333"/>
      <c r="DE9" s="333"/>
      <c r="DF9" s="333"/>
      <c r="DS9" s="333"/>
      <c r="DT9" s="333"/>
      <c r="DU9" s="333"/>
      <c r="DV9" s="333"/>
      <c r="DW9" s="333"/>
      <c r="DX9" s="333"/>
      <c r="DY9" s="333"/>
      <c r="DZ9" s="333"/>
      <c r="EA9" s="333"/>
      <c r="EE9" s="333"/>
      <c r="EF9" s="333"/>
      <c r="EG9" s="333"/>
      <c r="EH9" s="333"/>
      <c r="EI9" s="333"/>
      <c r="EJ9" s="333"/>
      <c r="EK9" s="333"/>
      <c r="EL9" s="333"/>
      <c r="EM9" s="333"/>
      <c r="EQ9" s="333"/>
      <c r="ER9" s="333"/>
      <c r="ES9" s="333"/>
      <c r="ET9" s="333"/>
      <c r="EU9" s="333"/>
      <c r="EV9" s="333"/>
      <c r="EW9" s="333"/>
      <c r="EX9" s="333"/>
      <c r="EY9" s="333"/>
      <c r="FC9" s="333"/>
      <c r="FD9" s="333"/>
      <c r="FE9" s="333"/>
      <c r="FF9" s="333"/>
      <c r="FG9" s="333"/>
      <c r="FH9" s="333"/>
      <c r="FI9" s="333"/>
      <c r="FJ9" s="333"/>
      <c r="FK9" s="333"/>
      <c r="FL9" s="333"/>
      <c r="FM9" s="333"/>
      <c r="FN9" s="333"/>
      <c r="FO9" s="333"/>
      <c r="FP9" s="333"/>
      <c r="FQ9" s="333"/>
      <c r="FR9" s="333"/>
      <c r="FS9" s="333"/>
      <c r="FT9" s="333"/>
      <c r="FU9" s="333"/>
      <c r="FV9" s="333"/>
      <c r="FW9" s="333"/>
      <c r="FX9" s="333"/>
      <c r="FY9" s="333"/>
      <c r="FZ9" s="333"/>
      <c r="GA9" s="333"/>
      <c r="GB9" s="333"/>
      <c r="GC9" s="333"/>
      <c r="GD9" s="333"/>
      <c r="GE9" s="333"/>
      <c r="GF9" s="333"/>
      <c r="GG9" s="333"/>
      <c r="GH9" s="333"/>
      <c r="GI9" s="333"/>
      <c r="GJ9" s="333"/>
      <c r="GK9" s="333"/>
      <c r="GL9" s="333"/>
      <c r="GV9" s="333"/>
      <c r="GW9" s="333"/>
      <c r="GX9" s="333"/>
      <c r="GY9" s="333"/>
      <c r="GZ9" s="333"/>
      <c r="HA9" s="333"/>
      <c r="HH9" s="333"/>
      <c r="HI9" s="333"/>
      <c r="HJ9" s="333"/>
      <c r="HK9" s="333"/>
      <c r="HL9" s="333"/>
      <c r="HM9" s="333"/>
      <c r="HN9" s="333"/>
      <c r="HO9" s="333"/>
      <c r="HP9" s="333"/>
      <c r="HQ9" s="333"/>
      <c r="HR9" s="333"/>
      <c r="HS9" s="333"/>
      <c r="HT9" s="333"/>
      <c r="HU9" s="333"/>
      <c r="HV9" s="333"/>
      <c r="HW9" s="333"/>
      <c r="HX9" s="333"/>
      <c r="HY9" s="333"/>
      <c r="II9" s="333"/>
      <c r="IJ9" s="333"/>
      <c r="IK9" s="333"/>
      <c r="IL9" s="333"/>
      <c r="IM9" s="333"/>
      <c r="IN9" s="333"/>
      <c r="IO9" s="333"/>
      <c r="IP9" s="333"/>
      <c r="IQ9" s="333"/>
      <c r="IR9" s="333"/>
      <c r="IS9" s="333"/>
      <c r="IT9" s="333"/>
      <c r="IU9" s="333"/>
      <c r="IV9" s="333"/>
      <c r="IW9" s="333"/>
      <c r="IX9" s="333"/>
      <c r="IY9" s="333"/>
      <c r="IZ9" s="333"/>
      <c r="JA9" s="333"/>
      <c r="JB9" s="333"/>
      <c r="JC9" s="333"/>
      <c r="JD9" s="333"/>
      <c r="JE9" s="333"/>
      <c r="JF9" s="333"/>
      <c r="JJ9" s="333"/>
      <c r="JK9" s="333"/>
      <c r="JL9" s="333"/>
      <c r="JM9" s="333"/>
      <c r="JN9" s="333"/>
      <c r="JO9" s="333"/>
      <c r="JP9" s="333"/>
      <c r="JQ9" s="333"/>
      <c r="JR9" s="333"/>
      <c r="JY9" s="333"/>
      <c r="JZ9" s="333"/>
      <c r="KA9" s="333"/>
      <c r="KE9" s="333"/>
      <c r="KF9" s="333"/>
      <c r="KG9" s="333"/>
      <c r="KK9" s="333"/>
      <c r="KL9" s="333"/>
      <c r="KM9" s="333"/>
      <c r="KN9" s="333"/>
      <c r="KO9" s="333"/>
      <c r="KP9" s="333"/>
      <c r="KQ9" s="333"/>
      <c r="KR9" s="333"/>
      <c r="KS9" s="333"/>
      <c r="KT9" s="333"/>
      <c r="KU9" s="333"/>
      <c r="KV9" s="333"/>
    </row>
    <row r="10" spans="1:412">
      <c r="A10" s="294" t="s">
        <v>332</v>
      </c>
      <c r="B10" s="333" t="s">
        <v>225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4"/>
      <c r="BR10" s="504"/>
      <c r="BS10" s="504"/>
      <c r="BT10" s="504"/>
      <c r="BU10" s="504"/>
      <c r="BV10" s="504"/>
      <c r="BW10" s="504"/>
      <c r="BX10" s="504"/>
      <c r="BY10" s="504"/>
      <c r="BZ10" s="503"/>
      <c r="CA10" s="503"/>
      <c r="CB10" s="503"/>
      <c r="CC10" s="503"/>
      <c r="CD10" s="503"/>
      <c r="CE10" s="503"/>
      <c r="CF10" s="503"/>
      <c r="CG10" s="503"/>
      <c r="CH10" s="503"/>
      <c r="CI10" s="503"/>
      <c r="CJ10" s="503"/>
      <c r="CK10" s="503"/>
      <c r="CL10" s="503"/>
      <c r="CM10" s="503"/>
      <c r="CN10" s="503"/>
      <c r="CO10" s="503"/>
      <c r="CP10" s="503"/>
      <c r="CQ10" s="503"/>
      <c r="CR10" s="503"/>
      <c r="CS10" s="503"/>
      <c r="CT10" s="503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40"/>
      <c r="EC10" s="340"/>
      <c r="ED10" s="340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42"/>
      <c r="FI10" s="339"/>
      <c r="FJ10" s="339"/>
      <c r="FK10" s="339"/>
      <c r="FL10" s="339"/>
      <c r="FM10" s="339"/>
      <c r="FN10" s="339"/>
      <c r="FO10" s="339">
        <v>169.77439100000001</v>
      </c>
      <c r="FP10" s="339">
        <v>24.24</v>
      </c>
      <c r="FQ10" s="339">
        <v>0.15</v>
      </c>
      <c r="FR10" s="339">
        <v>169.68248199999999</v>
      </c>
      <c r="FS10" s="339">
        <v>24.52</v>
      </c>
      <c r="FT10" s="339">
        <v>0.15</v>
      </c>
      <c r="FU10" s="339">
        <v>169.65734800000001</v>
      </c>
      <c r="FV10" s="339">
        <v>20.68</v>
      </c>
      <c r="FW10" s="339">
        <v>0.15</v>
      </c>
      <c r="FX10" s="339">
        <v>169.6</v>
      </c>
      <c r="FY10" s="339">
        <v>23</v>
      </c>
      <c r="FZ10" s="339">
        <v>0.15</v>
      </c>
      <c r="GA10" s="339">
        <v>169.56526199999999</v>
      </c>
      <c r="GB10" s="339">
        <v>23.48</v>
      </c>
      <c r="GC10" s="339">
        <v>0.15</v>
      </c>
      <c r="GD10" s="339">
        <v>169.50591800000001</v>
      </c>
      <c r="GE10" s="339">
        <v>26.52</v>
      </c>
      <c r="GF10" s="339">
        <v>0.15</v>
      </c>
      <c r="GG10" s="339">
        <v>169.4435</v>
      </c>
      <c r="GH10" s="339">
        <v>25.65</v>
      </c>
      <c r="GI10" s="339">
        <v>0.15</v>
      </c>
      <c r="GJ10" s="339">
        <v>169.13300000000001</v>
      </c>
      <c r="GK10" s="339">
        <v>23.17</v>
      </c>
      <c r="GL10" s="339">
        <v>0.15</v>
      </c>
      <c r="GM10" s="339">
        <v>168.894148</v>
      </c>
      <c r="GN10" s="339">
        <v>33.86</v>
      </c>
      <c r="GO10" s="339">
        <v>0.15</v>
      </c>
      <c r="GP10" s="339">
        <v>168.23614799999999</v>
      </c>
      <c r="GQ10" s="339">
        <v>36.770000000000003</v>
      </c>
      <c r="GR10" s="339">
        <v>0.15</v>
      </c>
      <c r="GS10" s="339">
        <v>167.56007500000001</v>
      </c>
      <c r="GT10" s="339">
        <v>50.11</v>
      </c>
      <c r="GU10" s="339">
        <v>0.15</v>
      </c>
      <c r="GV10" s="339">
        <v>166.02159700000001</v>
      </c>
      <c r="GW10" s="339">
        <v>50.5</v>
      </c>
      <c r="GX10" s="339">
        <v>0.15</v>
      </c>
      <c r="GY10" s="339">
        <v>166.101169</v>
      </c>
      <c r="GZ10" s="339">
        <v>63.61</v>
      </c>
      <c r="HA10" s="339">
        <v>0.15</v>
      </c>
      <c r="HB10" s="339">
        <v>165.79401200000001</v>
      </c>
      <c r="HC10" s="339">
        <v>52.26</v>
      </c>
      <c r="HD10" s="339">
        <v>0</v>
      </c>
      <c r="HE10" s="339">
        <v>165.49433200000001</v>
      </c>
      <c r="HF10" s="339">
        <v>51.74</v>
      </c>
      <c r="HG10" s="339">
        <v>0</v>
      </c>
      <c r="HH10" s="339">
        <v>164.18416500000001</v>
      </c>
      <c r="HI10" s="505">
        <v>49.14</v>
      </c>
      <c r="HJ10" s="339">
        <v>0</v>
      </c>
      <c r="HK10" s="339">
        <v>164.81299999999999</v>
      </c>
      <c r="HL10" s="339">
        <v>45.91</v>
      </c>
      <c r="HM10" s="339">
        <v>0</v>
      </c>
      <c r="HN10" s="339">
        <v>163.52622099999999</v>
      </c>
      <c r="HO10" s="339">
        <v>40.17</v>
      </c>
      <c r="HP10" s="339">
        <v>0</v>
      </c>
      <c r="HQ10" s="339">
        <v>163.08031199999999</v>
      </c>
      <c r="HR10" s="339">
        <v>37.07</v>
      </c>
      <c r="HS10" s="339">
        <v>0</v>
      </c>
      <c r="HT10" s="339">
        <v>162.84200000000001</v>
      </c>
      <c r="HU10" s="339">
        <v>33.85</v>
      </c>
      <c r="HV10" s="339">
        <v>0</v>
      </c>
      <c r="HW10" s="339">
        <v>162.71100000000001</v>
      </c>
      <c r="HX10" s="506">
        <v>31.65</v>
      </c>
      <c r="HY10" s="506">
        <v>0</v>
      </c>
      <c r="HZ10" s="339">
        <v>156.73074399999999</v>
      </c>
      <c r="IA10" s="339">
        <v>30.72</v>
      </c>
      <c r="IB10" s="339">
        <v>0</v>
      </c>
      <c r="IC10" s="339">
        <v>137.41796400000001</v>
      </c>
      <c r="ID10" s="339">
        <v>25.22</v>
      </c>
      <c r="IE10" s="339">
        <v>0</v>
      </c>
      <c r="IF10" s="339">
        <v>127.117439</v>
      </c>
      <c r="IG10" s="339">
        <v>20.66</v>
      </c>
      <c r="IH10" s="339">
        <v>0</v>
      </c>
      <c r="II10" s="339">
        <v>127.117439</v>
      </c>
      <c r="IJ10" s="505">
        <v>19.71</v>
      </c>
      <c r="IK10" s="339">
        <v>0</v>
      </c>
      <c r="IL10" s="339">
        <v>126.971447</v>
      </c>
      <c r="IM10" s="339">
        <v>15.96</v>
      </c>
      <c r="IN10" s="339">
        <v>0</v>
      </c>
      <c r="IO10" s="339">
        <v>126.969238</v>
      </c>
      <c r="IP10" s="339">
        <v>15.41</v>
      </c>
      <c r="IQ10" s="339">
        <v>0</v>
      </c>
      <c r="IR10" s="339">
        <v>126.968238</v>
      </c>
      <c r="IS10" s="339">
        <v>13.71</v>
      </c>
      <c r="IT10" s="339">
        <v>0</v>
      </c>
      <c r="IU10" s="342">
        <v>125.5</v>
      </c>
      <c r="IV10" s="339">
        <v>12.76</v>
      </c>
      <c r="IW10" s="339">
        <v>0</v>
      </c>
      <c r="IX10" s="342">
        <v>125.5</v>
      </c>
      <c r="IY10" s="339">
        <v>9.14</v>
      </c>
      <c r="IZ10" s="339">
        <v>0</v>
      </c>
      <c r="JA10" s="339">
        <v>125.5</v>
      </c>
      <c r="JB10" s="339">
        <v>8.4499999999999993</v>
      </c>
      <c r="JC10" s="339">
        <v>0</v>
      </c>
      <c r="JD10" s="339">
        <v>125.5</v>
      </c>
      <c r="JE10" s="339">
        <v>6.21</v>
      </c>
      <c r="JF10" s="339">
        <v>0</v>
      </c>
      <c r="JG10" s="339">
        <v>125.43652</v>
      </c>
      <c r="JH10" s="339">
        <v>7.56</v>
      </c>
      <c r="JI10" s="339">
        <v>0</v>
      </c>
      <c r="JJ10" s="339">
        <v>125.43652</v>
      </c>
      <c r="JK10" s="339">
        <v>13.1</v>
      </c>
      <c r="JL10" s="339">
        <v>0.43</v>
      </c>
      <c r="JM10" s="339">
        <v>125.248884</v>
      </c>
      <c r="JN10" s="339">
        <v>25.75</v>
      </c>
      <c r="JO10" s="339">
        <v>0.43</v>
      </c>
      <c r="JP10" s="339">
        <v>125.059</v>
      </c>
      <c r="JQ10" s="339">
        <v>41.35</v>
      </c>
      <c r="JR10" s="339">
        <v>0.43</v>
      </c>
      <c r="JS10" s="339">
        <v>124.867</v>
      </c>
      <c r="JT10" s="339">
        <v>36.22</v>
      </c>
      <c r="JU10" s="339">
        <v>0.43</v>
      </c>
      <c r="JV10" s="339">
        <v>119.842</v>
      </c>
      <c r="JW10" s="339">
        <v>36.700000000000003</v>
      </c>
      <c r="JX10" s="339">
        <v>0.43</v>
      </c>
      <c r="JY10" s="339">
        <v>110.43600000000001</v>
      </c>
      <c r="JZ10" s="339">
        <v>48.25</v>
      </c>
      <c r="KA10" s="339">
        <v>0.43</v>
      </c>
      <c r="KB10" s="339">
        <v>110.43600000000001</v>
      </c>
      <c r="KC10" s="339">
        <v>46.26</v>
      </c>
      <c r="KD10" s="339">
        <v>0.43</v>
      </c>
      <c r="KE10" s="339">
        <v>110.43600000000001</v>
      </c>
      <c r="KF10" s="339">
        <v>48.1875</v>
      </c>
      <c r="KG10" s="339">
        <v>0.43</v>
      </c>
      <c r="KH10" s="339">
        <v>110.43600000000001</v>
      </c>
      <c r="KI10" s="339">
        <v>38</v>
      </c>
      <c r="KJ10" s="339">
        <v>0.43</v>
      </c>
      <c r="KK10" s="339">
        <v>110.43600000000001</v>
      </c>
      <c r="KL10" s="339">
        <v>27.5625</v>
      </c>
      <c r="KM10" s="339">
        <v>0.43</v>
      </c>
      <c r="KN10" s="339">
        <v>110.43600000000001</v>
      </c>
      <c r="KO10" s="339">
        <v>27.75</v>
      </c>
      <c r="KP10" s="339">
        <v>0.43</v>
      </c>
      <c r="KQ10" s="339">
        <v>114.12</v>
      </c>
      <c r="KR10" s="339">
        <v>26.9375</v>
      </c>
      <c r="KS10" s="339">
        <v>0.43</v>
      </c>
      <c r="KT10" s="339">
        <v>118.152</v>
      </c>
      <c r="KU10" s="339">
        <v>31.875</v>
      </c>
      <c r="KV10" s="339">
        <v>0.43</v>
      </c>
      <c r="KW10" s="334">
        <v>122.44</v>
      </c>
      <c r="KX10" s="334">
        <v>32.0625</v>
      </c>
      <c r="KY10" s="334">
        <v>0.43</v>
      </c>
      <c r="KZ10" s="334">
        <v>122.43</v>
      </c>
      <c r="LA10" s="334">
        <v>29.5</v>
      </c>
      <c r="LB10" s="334">
        <v>0.43</v>
      </c>
      <c r="LC10" s="334">
        <v>122.43</v>
      </c>
      <c r="LD10" s="334">
        <v>34.5</v>
      </c>
      <c r="LE10" s="334">
        <v>0.43</v>
      </c>
      <c r="LF10" s="334">
        <v>122.43</v>
      </c>
      <c r="LG10" s="334">
        <v>31.562999999999999</v>
      </c>
      <c r="LH10" s="334">
        <v>0.43</v>
      </c>
      <c r="LI10" s="334">
        <v>122.43</v>
      </c>
      <c r="LJ10" s="334">
        <v>30.125</v>
      </c>
      <c r="LK10" s="334">
        <v>0.43</v>
      </c>
      <c r="LL10" s="334">
        <v>122.43</v>
      </c>
      <c r="LM10" s="334">
        <v>33.5625</v>
      </c>
      <c r="LN10" s="334">
        <v>0.43</v>
      </c>
      <c r="LO10" s="334">
        <v>122.43</v>
      </c>
      <c r="LP10" s="334">
        <v>32.5</v>
      </c>
      <c r="LQ10" s="334">
        <v>0.43</v>
      </c>
      <c r="LR10" s="334">
        <v>121.283</v>
      </c>
      <c r="LS10" s="334">
        <v>30.25</v>
      </c>
      <c r="LT10" s="334">
        <v>0.43</v>
      </c>
      <c r="LU10" s="334">
        <v>121.283</v>
      </c>
      <c r="LV10" s="334">
        <v>26.6875</v>
      </c>
      <c r="LW10" s="334">
        <v>0.43</v>
      </c>
      <c r="LX10" s="334">
        <v>121.283</v>
      </c>
      <c r="LY10" s="334">
        <v>29.625</v>
      </c>
      <c r="LZ10" s="334">
        <v>0.43</v>
      </c>
      <c r="MA10" s="334">
        <v>121.283</v>
      </c>
      <c r="MB10" s="334">
        <v>30.375</v>
      </c>
      <c r="MC10" s="334">
        <v>0.44</v>
      </c>
      <c r="MD10" s="334">
        <v>120.05500000000001</v>
      </c>
      <c r="ME10" s="334">
        <v>29</v>
      </c>
      <c r="MF10" s="334">
        <v>0.42</v>
      </c>
      <c r="MG10" s="334">
        <v>120.05500000000001</v>
      </c>
      <c r="MH10" s="334">
        <v>30.875</v>
      </c>
      <c r="MI10" s="334">
        <v>0.42</v>
      </c>
      <c r="MJ10" s="334">
        <v>120.05500000000001</v>
      </c>
      <c r="MK10" s="334">
        <v>30.375</v>
      </c>
      <c r="ML10" s="334">
        <v>0.42</v>
      </c>
      <c r="MM10" s="334">
        <v>120.05500000000001</v>
      </c>
      <c r="MN10" s="334">
        <v>28.625</v>
      </c>
      <c r="MO10" s="334">
        <v>0.42</v>
      </c>
      <c r="MP10" s="334">
        <v>119.297</v>
      </c>
      <c r="MQ10" s="334">
        <v>25.5</v>
      </c>
      <c r="MR10" s="334">
        <v>0.41</v>
      </c>
      <c r="MS10" s="334">
        <v>119.297</v>
      </c>
      <c r="MT10" s="334">
        <v>23.5</v>
      </c>
      <c r="MU10" s="334">
        <v>0.41</v>
      </c>
      <c r="MV10" s="334">
        <v>119.297</v>
      </c>
      <c r="MW10" s="334">
        <v>22.625</v>
      </c>
      <c r="MX10" s="334">
        <v>0.41</v>
      </c>
      <c r="MY10" s="334">
        <v>117.786</v>
      </c>
      <c r="MZ10" s="334">
        <v>21.75</v>
      </c>
      <c r="NA10" s="334">
        <v>0.41</v>
      </c>
      <c r="NB10" s="334">
        <v>117.786</v>
      </c>
      <c r="NC10" s="334">
        <v>20.125</v>
      </c>
      <c r="ND10" s="334">
        <v>0.41</v>
      </c>
      <c r="NE10" s="334">
        <v>116.809</v>
      </c>
      <c r="NF10" s="334">
        <v>21</v>
      </c>
      <c r="NG10" s="334">
        <v>0.41</v>
      </c>
      <c r="NH10" s="334">
        <v>114.58799999999999</v>
      </c>
      <c r="NI10" s="334">
        <v>22.75</v>
      </c>
      <c r="NJ10" s="334">
        <v>0.41</v>
      </c>
      <c r="NK10" s="334">
        <v>114.58799999999999</v>
      </c>
      <c r="NL10" s="334">
        <v>26.5</v>
      </c>
      <c r="NM10" s="334">
        <v>0.41</v>
      </c>
      <c r="NN10" s="334">
        <v>114.58799999999999</v>
      </c>
      <c r="NO10" s="334">
        <v>27.875</v>
      </c>
      <c r="NP10" s="334">
        <v>0.41</v>
      </c>
      <c r="NQ10" s="334">
        <v>114.256</v>
      </c>
      <c r="NR10" s="334">
        <v>26.5625</v>
      </c>
      <c r="NS10" s="334">
        <v>0.40500000000000003</v>
      </c>
      <c r="NT10" s="334">
        <v>113.902</v>
      </c>
      <c r="NU10" s="334">
        <v>25.5625</v>
      </c>
      <c r="NV10" s="334">
        <v>0.40500000000000003</v>
      </c>
      <c r="NW10" s="334">
        <v>110.452</v>
      </c>
      <c r="NX10" s="334">
        <v>23.38</v>
      </c>
      <c r="NY10" s="334">
        <v>0.41</v>
      </c>
      <c r="NZ10" s="334">
        <v>110.452</v>
      </c>
      <c r="OA10" s="334">
        <v>23.5</v>
      </c>
      <c r="OB10" s="334">
        <v>0.4</v>
      </c>
      <c r="OC10" s="334">
        <v>109.08</v>
      </c>
      <c r="OD10" s="334">
        <v>22</v>
      </c>
      <c r="OE10" s="334">
        <v>0.4</v>
      </c>
      <c r="OF10" s="334">
        <v>108.456</v>
      </c>
      <c r="OG10" s="334">
        <v>20.88</v>
      </c>
      <c r="OH10" s="334">
        <v>0.4</v>
      </c>
      <c r="OI10" s="334">
        <v>107.548</v>
      </c>
      <c r="OJ10" s="334">
        <v>22.25</v>
      </c>
      <c r="OK10" s="334">
        <v>0.4</v>
      </c>
      <c r="OL10" s="334">
        <v>107.366</v>
      </c>
      <c r="OM10" s="334">
        <v>21.81</v>
      </c>
      <c r="ON10" s="334">
        <v>0.39500000000000002</v>
      </c>
      <c r="OO10" s="334">
        <v>107.18</v>
      </c>
      <c r="OP10" s="334">
        <v>19.309999999999999</v>
      </c>
      <c r="OQ10" s="334">
        <v>0.39500000000000002</v>
      </c>
      <c r="OR10" s="334">
        <v>106.996</v>
      </c>
      <c r="OS10" s="334">
        <v>19.625</v>
      </c>
      <c r="OT10" s="334">
        <v>0.39500000000000002</v>
      </c>
      <c r="OU10" s="334">
        <v>106.102</v>
      </c>
      <c r="OV10" s="334">
        <v>18.440000000000001</v>
      </c>
    </row>
    <row r="11" spans="1:412">
      <c r="A11" s="294" t="s">
        <v>17</v>
      </c>
      <c r="B11" s="335" t="s">
        <v>113</v>
      </c>
      <c r="C11" s="335">
        <v>532.20887600000003</v>
      </c>
      <c r="D11" s="335">
        <v>92.23</v>
      </c>
      <c r="E11" s="335">
        <v>0.93</v>
      </c>
      <c r="F11" s="335">
        <v>528.89881600000001</v>
      </c>
      <c r="G11" s="335">
        <v>102.6</v>
      </c>
      <c r="H11" s="335">
        <v>0.88</v>
      </c>
      <c r="I11" s="335">
        <v>526.55203600000004</v>
      </c>
      <c r="J11" s="335">
        <v>87.74</v>
      </c>
      <c r="K11" s="335">
        <v>0.88</v>
      </c>
      <c r="L11" s="335">
        <v>526.03</v>
      </c>
      <c r="M11" s="335">
        <v>86.1</v>
      </c>
      <c r="N11" s="335">
        <v>0.88</v>
      </c>
      <c r="O11" s="335">
        <v>520.45988</v>
      </c>
      <c r="P11" s="335">
        <v>81.22</v>
      </c>
      <c r="Q11" s="335">
        <v>0.88</v>
      </c>
      <c r="R11" s="340">
        <v>514.87900000000002</v>
      </c>
      <c r="S11" s="340">
        <v>75.22</v>
      </c>
      <c r="T11" s="340">
        <v>0.83</v>
      </c>
      <c r="U11" s="340">
        <v>514.176648</v>
      </c>
      <c r="V11" s="340">
        <v>84.2</v>
      </c>
      <c r="W11" s="340">
        <v>0.83</v>
      </c>
      <c r="X11" s="340">
        <v>511.84194600000001</v>
      </c>
      <c r="Y11" s="340">
        <v>90.99</v>
      </c>
      <c r="Z11" s="340">
        <v>0.83</v>
      </c>
      <c r="AA11" s="340">
        <v>513.73019599999998</v>
      </c>
      <c r="AB11" s="340">
        <v>94.95</v>
      </c>
      <c r="AC11" s="340">
        <v>0.83</v>
      </c>
      <c r="AD11" s="340">
        <v>513.62343099999998</v>
      </c>
      <c r="AE11" s="340">
        <v>86.45</v>
      </c>
      <c r="AF11" s="340">
        <v>0.78</v>
      </c>
      <c r="AG11" s="340">
        <v>506.05014699999998</v>
      </c>
      <c r="AH11" s="340">
        <v>95.94</v>
      </c>
      <c r="AI11" s="340">
        <v>0.78</v>
      </c>
      <c r="AJ11" s="340">
        <v>500.522177</v>
      </c>
      <c r="AK11" s="340">
        <v>99.77</v>
      </c>
      <c r="AL11" s="340">
        <v>0.78</v>
      </c>
      <c r="AM11" s="340">
        <v>501.23367999999999</v>
      </c>
      <c r="AN11" s="340">
        <v>88.97</v>
      </c>
      <c r="AO11" s="340">
        <v>0.78</v>
      </c>
      <c r="AP11" s="340">
        <v>499.91663999999997</v>
      </c>
      <c r="AQ11" s="340">
        <v>81.180000000000007</v>
      </c>
      <c r="AR11" s="340">
        <v>0.74</v>
      </c>
      <c r="AS11" s="340">
        <v>497.05863499999998</v>
      </c>
      <c r="AT11" s="340">
        <v>84.59</v>
      </c>
      <c r="AU11" s="340">
        <v>0.74</v>
      </c>
      <c r="AV11" s="340">
        <v>495.71822300000002</v>
      </c>
      <c r="AW11" s="340">
        <v>84.7</v>
      </c>
      <c r="AX11" s="340">
        <v>0.74</v>
      </c>
      <c r="AY11" s="504">
        <v>496.17796800000002</v>
      </c>
      <c r="AZ11" s="504">
        <v>83.27</v>
      </c>
      <c r="BA11" s="504">
        <v>0.74</v>
      </c>
      <c r="BB11" s="504">
        <v>495.65505300000001</v>
      </c>
      <c r="BC11" s="504">
        <v>81.73</v>
      </c>
      <c r="BD11" s="504">
        <v>0.7</v>
      </c>
      <c r="BE11" s="504">
        <v>494.59686900000003</v>
      </c>
      <c r="BF11" s="504">
        <v>79.64</v>
      </c>
      <c r="BG11" s="504">
        <v>0.7</v>
      </c>
      <c r="BH11" s="504">
        <v>493.694345</v>
      </c>
      <c r="BI11" s="504">
        <v>79.98</v>
      </c>
      <c r="BJ11" s="504">
        <v>0.7</v>
      </c>
      <c r="BK11" s="504">
        <v>493.83903400000003</v>
      </c>
      <c r="BL11" s="504">
        <v>94.51</v>
      </c>
      <c r="BM11" s="504">
        <v>0.7</v>
      </c>
      <c r="BN11" s="504">
        <v>493.58434699999998</v>
      </c>
      <c r="BO11" s="504">
        <v>93.69</v>
      </c>
      <c r="BP11" s="504">
        <v>0.67</v>
      </c>
      <c r="BQ11" s="504">
        <v>493.309076</v>
      </c>
      <c r="BR11" s="504">
        <v>88.01</v>
      </c>
      <c r="BS11" s="504">
        <v>0.67</v>
      </c>
      <c r="BT11" s="504">
        <v>492.77460000000002</v>
      </c>
      <c r="BU11" s="504">
        <v>83.75</v>
      </c>
      <c r="BV11" s="504">
        <v>0.67</v>
      </c>
      <c r="BW11" s="504">
        <v>492.98474099999999</v>
      </c>
      <c r="BX11" s="504">
        <v>74.739999999999995</v>
      </c>
      <c r="BY11" s="507">
        <v>0.67</v>
      </c>
      <c r="BZ11" s="504">
        <v>492.68834199999998</v>
      </c>
      <c r="CA11" s="504">
        <v>70.88</v>
      </c>
      <c r="CB11" s="504">
        <v>0.62</v>
      </c>
      <c r="CC11" s="503">
        <v>492.267402</v>
      </c>
      <c r="CD11" s="503">
        <v>69.25</v>
      </c>
      <c r="CE11" s="503">
        <v>0.62</v>
      </c>
      <c r="CF11" s="503">
        <v>491.91367500000001</v>
      </c>
      <c r="CG11" s="503">
        <v>68.59</v>
      </c>
      <c r="CH11" s="503">
        <v>0.62</v>
      </c>
      <c r="CI11" s="503">
        <v>491.84072200000003</v>
      </c>
      <c r="CJ11" s="503">
        <v>73.569999999999993</v>
      </c>
      <c r="CK11" s="508">
        <v>0.62</v>
      </c>
      <c r="CL11" s="503">
        <v>491.790752</v>
      </c>
      <c r="CM11" s="503">
        <v>70.239999999999995</v>
      </c>
      <c r="CN11" s="503">
        <v>0.59</v>
      </c>
      <c r="CO11" s="503">
        <v>491.712042</v>
      </c>
      <c r="CP11" s="503">
        <v>69.47</v>
      </c>
      <c r="CQ11" s="503">
        <v>0.59</v>
      </c>
      <c r="CR11" s="504">
        <v>491.49545799999999</v>
      </c>
      <c r="CS11" s="504">
        <v>67.13</v>
      </c>
      <c r="CT11" s="504">
        <v>0.59</v>
      </c>
      <c r="CU11" s="503">
        <v>491.69780900000001</v>
      </c>
      <c r="CV11" s="503">
        <v>62.96</v>
      </c>
      <c r="CW11" s="509">
        <v>0.59</v>
      </c>
      <c r="CX11" s="339">
        <v>491.459541</v>
      </c>
      <c r="CY11" s="339">
        <v>64.209999999999994</v>
      </c>
      <c r="CZ11" s="339">
        <v>0.56000000000000005</v>
      </c>
      <c r="DA11" s="339">
        <v>491.10839199999998</v>
      </c>
      <c r="DB11" s="339">
        <v>70.09</v>
      </c>
      <c r="DC11" s="339">
        <v>0.56000000000000005</v>
      </c>
      <c r="DD11" s="339">
        <v>490.34052200000002</v>
      </c>
      <c r="DE11" s="339">
        <v>66.400000000000006</v>
      </c>
      <c r="DF11" s="339">
        <v>0.56000000000000005</v>
      </c>
      <c r="DG11" s="339">
        <v>490.64892900000001</v>
      </c>
      <c r="DH11" s="339">
        <v>58.27</v>
      </c>
      <c r="DI11" s="339">
        <v>0.56000000000000005</v>
      </c>
      <c r="DJ11" s="339">
        <v>490.20748200000003</v>
      </c>
      <c r="DK11" s="339">
        <v>56.86</v>
      </c>
      <c r="DL11" s="339">
        <v>0.53</v>
      </c>
      <c r="DM11" s="339">
        <v>489.59798599999999</v>
      </c>
      <c r="DN11" s="339">
        <v>52.97</v>
      </c>
      <c r="DO11" s="339">
        <v>0.53</v>
      </c>
      <c r="DP11" s="340">
        <v>489.28893699999998</v>
      </c>
      <c r="DQ11" s="340">
        <v>56.25</v>
      </c>
      <c r="DR11" s="340">
        <v>0.53</v>
      </c>
      <c r="DS11" s="339">
        <v>488.912892</v>
      </c>
      <c r="DT11" s="339">
        <v>60.72</v>
      </c>
      <c r="DU11" s="510">
        <v>0.53</v>
      </c>
      <c r="DV11" s="339">
        <v>488.29157600000002</v>
      </c>
      <c r="DW11" s="339">
        <v>52.21</v>
      </c>
      <c r="DX11" s="339">
        <v>0.5</v>
      </c>
      <c r="DY11" s="339">
        <v>487.86708900000002</v>
      </c>
      <c r="DZ11" s="339">
        <v>55.77</v>
      </c>
      <c r="EA11" s="339">
        <v>0.5</v>
      </c>
      <c r="EB11" s="340">
        <v>486.61955499999999</v>
      </c>
      <c r="EC11" s="340">
        <v>50.66</v>
      </c>
      <c r="ED11" s="340">
        <v>0.5</v>
      </c>
      <c r="EE11" s="339">
        <v>486.93274700000001</v>
      </c>
      <c r="EF11" s="339">
        <v>46.74</v>
      </c>
      <c r="EG11" s="510">
        <v>0.5</v>
      </c>
      <c r="EH11" s="339">
        <v>486.293026</v>
      </c>
      <c r="EI11" s="339">
        <v>43.35</v>
      </c>
      <c r="EJ11" s="339">
        <v>0.49</v>
      </c>
      <c r="EK11" s="339">
        <v>485.823668</v>
      </c>
      <c r="EL11" s="339">
        <v>44.78</v>
      </c>
      <c r="EM11" s="510">
        <v>0.49</v>
      </c>
      <c r="EN11" s="340">
        <v>484.68246900000003</v>
      </c>
      <c r="EO11" s="340">
        <v>48.63</v>
      </c>
      <c r="EP11" s="340">
        <v>0.47</v>
      </c>
      <c r="EQ11" s="339">
        <v>484.97954299999998</v>
      </c>
      <c r="ER11" s="339">
        <v>42.68</v>
      </c>
      <c r="ES11" s="339">
        <v>0.47</v>
      </c>
      <c r="ET11" s="339">
        <v>484.50002899999998</v>
      </c>
      <c r="EU11" s="339">
        <v>43.94</v>
      </c>
      <c r="EV11" s="339">
        <v>0.47</v>
      </c>
      <c r="EW11" s="339">
        <v>483.828101</v>
      </c>
      <c r="EX11" s="339">
        <v>39.9</v>
      </c>
      <c r="EY11" s="339">
        <v>0.47</v>
      </c>
      <c r="EZ11" s="340">
        <v>482.16928200000001</v>
      </c>
      <c r="FA11" s="340">
        <v>38.58</v>
      </c>
      <c r="FB11" s="340">
        <v>0.47</v>
      </c>
      <c r="FC11" s="339">
        <v>482.49873400000001</v>
      </c>
      <c r="FD11" s="339">
        <v>41.31</v>
      </c>
      <c r="FE11" s="339">
        <v>0.47</v>
      </c>
      <c r="FF11" s="339">
        <v>481.928494</v>
      </c>
      <c r="FG11" s="339">
        <v>38.020000000000003</v>
      </c>
      <c r="FH11" s="339">
        <v>0.46</v>
      </c>
      <c r="FI11" s="339">
        <v>481.14427000000001</v>
      </c>
      <c r="FJ11" s="339">
        <v>37.68</v>
      </c>
      <c r="FK11" s="339">
        <v>0.46</v>
      </c>
      <c r="FL11" s="339">
        <v>480.42215399999998</v>
      </c>
      <c r="FM11" s="339">
        <v>35.14</v>
      </c>
      <c r="FN11" s="339">
        <v>0.46</v>
      </c>
      <c r="FO11" s="339">
        <v>479.57813900000002</v>
      </c>
      <c r="FP11" s="339">
        <v>35.979999999999997</v>
      </c>
      <c r="FQ11" s="511">
        <v>0.46</v>
      </c>
      <c r="FR11" s="339">
        <v>479.05077399999999</v>
      </c>
      <c r="FS11" s="339">
        <v>36.229999999999997</v>
      </c>
      <c r="FT11" s="339">
        <v>0.42</v>
      </c>
      <c r="FU11" s="339">
        <v>478.42953499999999</v>
      </c>
      <c r="FV11" s="339">
        <v>32.299999999999997</v>
      </c>
      <c r="FW11" s="339">
        <v>0.42</v>
      </c>
      <c r="FX11" s="339">
        <v>477.94477899999998</v>
      </c>
      <c r="FY11" s="339">
        <v>34.18</v>
      </c>
      <c r="FZ11" s="339">
        <v>0.41</v>
      </c>
      <c r="GA11" s="339">
        <v>476.94814300000002</v>
      </c>
      <c r="GB11" s="339">
        <v>34.79</v>
      </c>
      <c r="GC11" s="339">
        <v>0.41</v>
      </c>
      <c r="GD11" s="339">
        <v>472.22004099999998</v>
      </c>
      <c r="GE11" s="339">
        <v>30.99</v>
      </c>
      <c r="GF11" s="339">
        <v>0.41</v>
      </c>
      <c r="GG11" s="339">
        <v>406.82659999999998</v>
      </c>
      <c r="GH11" s="339">
        <v>28.89</v>
      </c>
      <c r="GI11" s="339">
        <v>0.41</v>
      </c>
      <c r="GJ11" s="339">
        <v>403.73</v>
      </c>
      <c r="GK11" s="339">
        <v>25.26</v>
      </c>
      <c r="GL11" s="339">
        <v>0.41</v>
      </c>
      <c r="GM11" s="339">
        <v>402.28677900000002</v>
      </c>
      <c r="GN11" s="339">
        <v>33.28</v>
      </c>
      <c r="GO11" s="339">
        <v>0.41</v>
      </c>
      <c r="GP11" s="339">
        <v>401.513958</v>
      </c>
      <c r="GQ11" s="339">
        <v>37.03</v>
      </c>
      <c r="GR11" s="339">
        <v>0.41</v>
      </c>
      <c r="GS11" s="339">
        <v>400.79799300000002</v>
      </c>
      <c r="GT11" s="339">
        <v>40.229999999999997</v>
      </c>
      <c r="GU11" s="339">
        <v>0.41</v>
      </c>
      <c r="GV11" s="339">
        <v>398.78474499999999</v>
      </c>
      <c r="GW11" s="339">
        <v>41.63</v>
      </c>
      <c r="GX11" s="339">
        <v>0.41</v>
      </c>
      <c r="GY11" s="339">
        <v>399.22256900000002</v>
      </c>
      <c r="GZ11" s="339">
        <v>46.56</v>
      </c>
      <c r="HA11" s="339">
        <v>0.41</v>
      </c>
      <c r="HB11" s="339">
        <v>398.67924199999999</v>
      </c>
      <c r="HC11" s="339">
        <v>46.08</v>
      </c>
      <c r="HD11" s="339">
        <v>0.39</v>
      </c>
      <c r="HE11" s="339">
        <v>397.31464199999999</v>
      </c>
      <c r="HF11" s="339">
        <v>45.04</v>
      </c>
      <c r="HG11" s="339">
        <v>0.39</v>
      </c>
      <c r="HH11" s="339">
        <v>394.21952299999998</v>
      </c>
      <c r="HI11" s="505">
        <v>48.75</v>
      </c>
      <c r="HJ11" s="339">
        <v>0.39</v>
      </c>
      <c r="HK11" s="339">
        <v>393.9</v>
      </c>
      <c r="HL11" s="339">
        <v>42.58</v>
      </c>
      <c r="HM11" s="512">
        <v>0.39</v>
      </c>
      <c r="HN11" s="339">
        <v>393.7</v>
      </c>
      <c r="HO11" s="339">
        <v>36.369999999999997</v>
      </c>
      <c r="HP11" s="339">
        <v>0.37</v>
      </c>
      <c r="HQ11" s="339">
        <v>394</v>
      </c>
      <c r="HR11" s="339">
        <v>34.25</v>
      </c>
      <c r="HS11" s="339">
        <v>0.37</v>
      </c>
      <c r="HT11" s="339">
        <v>394</v>
      </c>
      <c r="HU11" s="339">
        <v>34.020000000000003</v>
      </c>
      <c r="HV11" s="339">
        <v>0.37</v>
      </c>
      <c r="HW11" s="339">
        <v>389</v>
      </c>
      <c r="HX11" s="506">
        <v>37.090000000000003</v>
      </c>
      <c r="HY11" s="513">
        <f>1.48/4</f>
        <v>0.37</v>
      </c>
      <c r="HZ11" s="339">
        <v>384</v>
      </c>
      <c r="IA11" s="339">
        <v>39.700000000000003</v>
      </c>
      <c r="IB11" s="339">
        <v>0.35</v>
      </c>
      <c r="IC11" s="339">
        <v>393</v>
      </c>
      <c r="ID11" s="339">
        <v>36.869999999999997</v>
      </c>
      <c r="IE11" s="339">
        <v>0.35</v>
      </c>
      <c r="IF11" s="339">
        <v>396</v>
      </c>
      <c r="IG11" s="339">
        <v>34.06</v>
      </c>
      <c r="IH11" s="339">
        <v>0.35</v>
      </c>
      <c r="II11" s="339">
        <v>396</v>
      </c>
      <c r="IJ11" s="505">
        <v>34.340000000000003</v>
      </c>
      <c r="IK11" s="339">
        <v>0.35</v>
      </c>
      <c r="IL11" s="339">
        <v>396</v>
      </c>
      <c r="IM11" s="339">
        <v>31.96</v>
      </c>
      <c r="IN11" s="339">
        <v>0.35</v>
      </c>
      <c r="IO11" s="339">
        <v>395</v>
      </c>
      <c r="IP11" s="339">
        <v>32</v>
      </c>
      <c r="IQ11" s="339">
        <v>0.35</v>
      </c>
      <c r="IR11" s="339">
        <v>385</v>
      </c>
      <c r="IS11" s="339">
        <v>32.92</v>
      </c>
      <c r="IT11" s="339">
        <v>0.35</v>
      </c>
      <c r="IU11" s="339">
        <v>395</v>
      </c>
      <c r="IV11" s="339">
        <v>30.51</v>
      </c>
      <c r="IW11" s="339">
        <v>0.35</v>
      </c>
      <c r="IX11" s="339">
        <v>395</v>
      </c>
      <c r="IY11" s="339">
        <v>30</v>
      </c>
      <c r="IZ11" s="339">
        <v>0.35</v>
      </c>
      <c r="JA11" s="339">
        <v>356</v>
      </c>
      <c r="JB11" s="339">
        <v>29.83</v>
      </c>
      <c r="JC11" s="339">
        <v>0.35</v>
      </c>
      <c r="JD11" s="339">
        <v>338.8</v>
      </c>
      <c r="JE11" s="339">
        <v>22.85</v>
      </c>
      <c r="JF11" s="339">
        <v>0.6</v>
      </c>
      <c r="JG11" s="339">
        <v>339</v>
      </c>
      <c r="JH11" s="339">
        <v>27.33</v>
      </c>
      <c r="JI11" s="339">
        <v>0.6</v>
      </c>
      <c r="JJ11" s="339">
        <v>326</v>
      </c>
      <c r="JK11" s="339">
        <v>28.51</v>
      </c>
      <c r="JL11" s="339">
        <v>0.6</v>
      </c>
      <c r="JM11" s="339">
        <v>322</v>
      </c>
      <c r="JN11" s="339">
        <v>40.020000000000003</v>
      </c>
      <c r="JO11" s="339">
        <v>0.6</v>
      </c>
      <c r="JP11" s="339">
        <v>322.2</v>
      </c>
      <c r="JQ11" s="339">
        <v>46.09</v>
      </c>
      <c r="JR11" s="339">
        <v>0.6</v>
      </c>
      <c r="JS11" s="339">
        <v>322</v>
      </c>
      <c r="JT11" s="339">
        <v>43.53</v>
      </c>
      <c r="JU11" s="339">
        <v>0.6</v>
      </c>
      <c r="JV11" s="339">
        <v>322</v>
      </c>
      <c r="JW11" s="339">
        <v>43.23</v>
      </c>
      <c r="JX11" s="339">
        <v>0.6</v>
      </c>
      <c r="JY11" s="339">
        <v>322</v>
      </c>
      <c r="JZ11" s="339">
        <v>46.17</v>
      </c>
      <c r="KA11" s="339">
        <v>0.6</v>
      </c>
      <c r="KB11" s="339">
        <v>322</v>
      </c>
      <c r="KC11" s="339">
        <v>47</v>
      </c>
      <c r="KD11" s="339">
        <v>0.6</v>
      </c>
      <c r="KE11" s="339">
        <v>322</v>
      </c>
      <c r="KF11" s="339">
        <v>46.5</v>
      </c>
      <c r="KG11" s="339">
        <v>0.6</v>
      </c>
      <c r="KH11" s="339">
        <v>322</v>
      </c>
      <c r="KI11" s="339">
        <v>39.125</v>
      </c>
      <c r="KJ11" s="339">
        <v>0.6</v>
      </c>
      <c r="KK11" s="339">
        <v>194.1</v>
      </c>
      <c r="KL11" s="339">
        <v>29.625</v>
      </c>
      <c r="KM11" s="339">
        <v>0.6</v>
      </c>
      <c r="KN11" s="339">
        <v>194</v>
      </c>
      <c r="KO11" s="339">
        <v>29.8125</v>
      </c>
      <c r="KP11" s="339">
        <v>0.6</v>
      </c>
      <c r="KQ11" s="339">
        <v>194</v>
      </c>
      <c r="KR11" s="339">
        <v>32.125</v>
      </c>
      <c r="KS11" s="339">
        <v>0.6</v>
      </c>
      <c r="KT11" s="339">
        <v>193</v>
      </c>
      <c r="KU11" s="339">
        <v>34.125</v>
      </c>
      <c r="KV11" s="339">
        <v>0.6</v>
      </c>
      <c r="KW11" s="334">
        <v>190.77</v>
      </c>
      <c r="KX11" s="334">
        <v>37.5625</v>
      </c>
      <c r="KY11" s="334">
        <v>0.6</v>
      </c>
      <c r="KZ11" s="334">
        <v>190.9</v>
      </c>
      <c r="LA11" s="334">
        <v>39.6875</v>
      </c>
      <c r="LB11" s="334">
        <v>0.6</v>
      </c>
      <c r="LC11" s="334">
        <v>190.9</v>
      </c>
      <c r="LD11" s="334">
        <v>47.063000000000002</v>
      </c>
      <c r="LE11" s="334">
        <v>0.6</v>
      </c>
      <c r="LF11" s="334">
        <v>190.08</v>
      </c>
      <c r="LG11" s="334">
        <v>48.813000000000002</v>
      </c>
      <c r="LH11" s="334">
        <v>0.6</v>
      </c>
      <c r="LI11" s="334">
        <v>190.08</v>
      </c>
      <c r="LJ11" s="334">
        <v>45.375</v>
      </c>
      <c r="LK11" s="334">
        <v>0.6</v>
      </c>
      <c r="LL11" s="334">
        <v>189.29</v>
      </c>
      <c r="LM11" s="334">
        <v>50.25</v>
      </c>
      <c r="LN11" s="334">
        <v>0.6</v>
      </c>
      <c r="LO11" s="334">
        <v>189.28700000000001</v>
      </c>
      <c r="LP11" s="334">
        <v>51.625</v>
      </c>
      <c r="LQ11" s="334">
        <v>0.6</v>
      </c>
      <c r="LR11" s="334">
        <v>188.34700000000001</v>
      </c>
      <c r="LS11" s="334">
        <v>45.5</v>
      </c>
      <c r="LT11" s="334">
        <v>0.6</v>
      </c>
      <c r="LU11" s="334">
        <v>188.34700000000001</v>
      </c>
      <c r="LV11" s="334">
        <v>41.938000000000002</v>
      </c>
      <c r="LW11" s="334">
        <v>0.6</v>
      </c>
      <c r="LX11" s="334">
        <v>187.52799999999999</v>
      </c>
      <c r="LY11" s="334">
        <v>41.125</v>
      </c>
      <c r="LZ11" s="334">
        <v>0.6</v>
      </c>
      <c r="MA11" s="334">
        <v>187.52799999999999</v>
      </c>
      <c r="MB11" s="334">
        <v>41.125</v>
      </c>
      <c r="MC11" s="334">
        <v>0.6</v>
      </c>
      <c r="MD11" s="334">
        <v>186.024</v>
      </c>
      <c r="ME11" s="334">
        <v>40.625</v>
      </c>
      <c r="MF11" s="334">
        <v>0.6</v>
      </c>
      <c r="MG11" s="334">
        <v>186.024</v>
      </c>
      <c r="MH11" s="334">
        <v>42.625</v>
      </c>
      <c r="MI11" s="334">
        <v>0.6</v>
      </c>
      <c r="MJ11" s="334">
        <v>186.024</v>
      </c>
      <c r="MK11" s="334">
        <v>41.75</v>
      </c>
      <c r="ML11" s="334">
        <v>0.6</v>
      </c>
      <c r="MM11" s="334">
        <v>186.024</v>
      </c>
      <c r="MN11" s="334">
        <v>40.5</v>
      </c>
      <c r="MO11" s="334">
        <v>0.6</v>
      </c>
      <c r="MP11" s="334">
        <v>185.31800000000001</v>
      </c>
      <c r="MQ11" s="334">
        <v>36.375</v>
      </c>
      <c r="MR11" s="334">
        <v>0.6</v>
      </c>
      <c r="MS11" s="334">
        <v>185.31800000000001</v>
      </c>
      <c r="MT11" s="334">
        <v>35.125</v>
      </c>
      <c r="MU11" s="334">
        <v>0.6</v>
      </c>
      <c r="MV11" s="334">
        <v>185.31800000000001</v>
      </c>
      <c r="MW11" s="334">
        <v>31.75</v>
      </c>
      <c r="MX11" s="334">
        <v>0.6</v>
      </c>
      <c r="MY11" s="334">
        <v>184.56399999999999</v>
      </c>
      <c r="MZ11" s="334">
        <v>32.875</v>
      </c>
      <c r="NA11" s="334">
        <v>0.6</v>
      </c>
      <c r="NB11" s="334">
        <v>184.56399999999999</v>
      </c>
      <c r="NC11" s="334">
        <v>31.375</v>
      </c>
      <c r="ND11" s="334">
        <v>0.6</v>
      </c>
      <c r="NE11" s="334">
        <v>184.535</v>
      </c>
      <c r="NF11" s="334">
        <v>28.25</v>
      </c>
      <c r="NG11" s="334">
        <v>0.6</v>
      </c>
      <c r="NH11" s="334">
        <v>184.535</v>
      </c>
      <c r="NI11" s="334">
        <v>30.75</v>
      </c>
      <c r="NJ11" s="334">
        <v>0.6</v>
      </c>
      <c r="NK11" s="334">
        <v>184.535</v>
      </c>
      <c r="NL11" s="334">
        <v>37.125</v>
      </c>
      <c r="NM11" s="334">
        <v>0.6</v>
      </c>
      <c r="NN11" s="334">
        <v>184.535</v>
      </c>
      <c r="NO11" s="334">
        <v>38.5</v>
      </c>
      <c r="NP11" s="334">
        <v>0.6</v>
      </c>
      <c r="NQ11" s="334">
        <v>184.535</v>
      </c>
      <c r="NR11" s="334">
        <v>37.75</v>
      </c>
      <c r="NS11" s="334">
        <v>0.6</v>
      </c>
      <c r="NT11" s="334">
        <v>184.535</v>
      </c>
      <c r="NU11" s="334">
        <v>36.875</v>
      </c>
      <c r="NV11" s="334">
        <v>0.6</v>
      </c>
      <c r="NW11" s="334">
        <v>184.535</v>
      </c>
      <c r="NX11" s="334">
        <v>33.130000000000003</v>
      </c>
      <c r="NY11" s="334">
        <v>0.6</v>
      </c>
      <c r="NZ11" s="334">
        <v>184.535</v>
      </c>
      <c r="OA11" s="334">
        <v>33</v>
      </c>
      <c r="OB11" s="334">
        <v>0.6</v>
      </c>
      <c r="OC11" s="334">
        <v>184.535</v>
      </c>
      <c r="OD11" s="334">
        <v>31.88</v>
      </c>
      <c r="OE11" s="334">
        <v>0.6</v>
      </c>
      <c r="OF11" s="334">
        <v>184.535</v>
      </c>
      <c r="OG11" s="334">
        <v>30.75</v>
      </c>
      <c r="OH11" s="334">
        <v>0.6</v>
      </c>
      <c r="OI11" s="334">
        <v>184.535</v>
      </c>
      <c r="OJ11" s="334">
        <v>34.25</v>
      </c>
      <c r="OK11" s="334">
        <v>0.6</v>
      </c>
      <c r="OL11" s="334">
        <v>184.535</v>
      </c>
      <c r="OM11" s="334">
        <v>30.63</v>
      </c>
      <c r="ON11" s="334">
        <v>0.6</v>
      </c>
      <c r="OO11" s="334">
        <v>184.535</v>
      </c>
      <c r="OP11" s="334">
        <v>28.38</v>
      </c>
      <c r="OQ11" s="334">
        <v>0.6</v>
      </c>
      <c r="OR11" s="334">
        <v>184.535</v>
      </c>
      <c r="OS11" s="334">
        <v>29.13</v>
      </c>
      <c r="OT11" s="334">
        <v>0.6</v>
      </c>
      <c r="OU11" s="334">
        <v>187.06399999999999</v>
      </c>
      <c r="OV11" s="334">
        <v>28</v>
      </c>
    </row>
    <row r="12" spans="1:412">
      <c r="B12" s="333" t="s">
        <v>226</v>
      </c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4"/>
      <c r="BR12" s="504"/>
      <c r="BS12" s="504"/>
      <c r="BT12" s="504"/>
      <c r="BU12" s="504"/>
      <c r="BV12" s="504"/>
      <c r="BW12" s="504"/>
      <c r="BX12" s="504"/>
      <c r="BY12" s="504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4"/>
      <c r="CS12" s="504"/>
      <c r="CT12" s="504"/>
      <c r="CU12" s="503"/>
      <c r="CV12" s="503"/>
      <c r="CW12" s="503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40"/>
      <c r="EC12" s="340"/>
      <c r="ED12" s="340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42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505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506"/>
      <c r="HY12" s="513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505"/>
      <c r="IK12" s="339"/>
      <c r="IL12" s="339"/>
      <c r="IM12" s="339"/>
      <c r="IN12" s="339"/>
      <c r="IO12" s="339"/>
      <c r="IP12" s="339"/>
      <c r="IQ12" s="339"/>
      <c r="IR12" s="339"/>
      <c r="IS12" s="339"/>
      <c r="IT12" s="339"/>
      <c r="IU12" s="339"/>
      <c r="IV12" s="339"/>
      <c r="IW12" s="339"/>
      <c r="IX12" s="339"/>
      <c r="IY12" s="339"/>
      <c r="IZ12" s="342"/>
      <c r="JA12" s="339"/>
      <c r="JB12" s="339"/>
      <c r="JC12" s="339"/>
      <c r="JD12" s="339"/>
      <c r="JE12" s="339"/>
      <c r="JF12" s="339"/>
      <c r="JG12" s="339"/>
      <c r="JH12" s="339"/>
      <c r="JI12" s="339"/>
      <c r="JJ12" s="339"/>
      <c r="JK12" s="339"/>
      <c r="JL12" s="339"/>
      <c r="JM12" s="339"/>
      <c r="JN12" s="339"/>
      <c r="JO12" s="339"/>
      <c r="JP12" s="339"/>
      <c r="JQ12" s="339"/>
      <c r="JR12" s="339"/>
      <c r="JS12" s="339"/>
      <c r="JT12" s="342"/>
      <c r="JU12" s="342"/>
      <c r="JV12" s="339"/>
      <c r="JW12" s="339"/>
      <c r="JX12" s="339"/>
      <c r="JY12" s="339"/>
      <c r="JZ12" s="339"/>
      <c r="KA12" s="339"/>
      <c r="KB12" s="339"/>
      <c r="KC12" s="339"/>
      <c r="KD12" s="339"/>
      <c r="KE12" s="339"/>
      <c r="KF12" s="339"/>
      <c r="KG12" s="339"/>
      <c r="KH12" s="339"/>
      <c r="KI12" s="339"/>
      <c r="KJ12" s="339"/>
      <c r="KK12" s="339"/>
      <c r="KL12" s="339"/>
      <c r="KM12" s="339"/>
      <c r="KN12" s="339"/>
      <c r="KO12" s="339"/>
      <c r="KP12" s="339"/>
      <c r="KQ12" s="339"/>
      <c r="KR12" s="339"/>
      <c r="KS12" s="339"/>
      <c r="KT12" s="339"/>
      <c r="KU12" s="339"/>
      <c r="KV12" s="339"/>
      <c r="KW12" s="334"/>
      <c r="KX12" s="334"/>
      <c r="KY12" s="334"/>
      <c r="KZ12" s="334"/>
      <c r="LA12" s="334"/>
      <c r="LB12" s="334"/>
      <c r="LC12" s="334"/>
      <c r="LD12" s="334"/>
      <c r="LE12" s="334"/>
      <c r="LF12" s="334"/>
      <c r="LG12" s="334"/>
      <c r="LH12" s="334"/>
      <c r="LI12" s="334"/>
      <c r="LJ12" s="334"/>
      <c r="LK12" s="334"/>
      <c r="LL12" s="334"/>
      <c r="LM12" s="334"/>
      <c r="LN12" s="334"/>
      <c r="LO12" s="334">
        <v>52.503999999999998</v>
      </c>
      <c r="LP12" s="334">
        <v>21.1875</v>
      </c>
      <c r="LQ12" s="334">
        <v>0.38500000000000001</v>
      </c>
      <c r="LR12" s="334">
        <v>52.505000000000003</v>
      </c>
      <c r="LS12" s="334">
        <v>17.9375</v>
      </c>
      <c r="LT12" s="334">
        <v>0.38500000000000001</v>
      </c>
      <c r="LU12" s="334">
        <v>52.505000000000003</v>
      </c>
      <c r="LV12" s="334">
        <v>16.812999999999999</v>
      </c>
      <c r="LW12" s="334">
        <v>0.38500000000000001</v>
      </c>
      <c r="LX12" s="334">
        <v>52.701999999999998</v>
      </c>
      <c r="LY12" s="334">
        <v>16.75</v>
      </c>
      <c r="LZ12" s="334">
        <v>0.38500000000000001</v>
      </c>
      <c r="MA12" s="334">
        <v>52.701999999999998</v>
      </c>
      <c r="MB12" s="334">
        <v>17.125</v>
      </c>
      <c r="MC12" s="334">
        <v>0.38500000000000001</v>
      </c>
      <c r="MD12" s="334">
        <v>52.542999999999999</v>
      </c>
      <c r="ME12" s="334">
        <v>17.5</v>
      </c>
      <c r="MF12" s="334">
        <v>0.38500000000000001</v>
      </c>
      <c r="MG12" s="334">
        <v>52.542999999999999</v>
      </c>
      <c r="MH12" s="334">
        <v>18.25</v>
      </c>
      <c r="MI12" s="334">
        <v>0.38500000000000001</v>
      </c>
      <c r="MJ12" s="334">
        <v>52.542999999999999</v>
      </c>
      <c r="MK12" s="334">
        <v>16.625</v>
      </c>
      <c r="ML12" s="334">
        <v>0.38500000000000001</v>
      </c>
      <c r="MM12" s="334">
        <v>52.542999999999999</v>
      </c>
      <c r="MN12" s="334">
        <v>19.25</v>
      </c>
      <c r="MO12" s="334">
        <v>0.38500000000000001</v>
      </c>
      <c r="MP12" s="334">
        <v>53.475000000000001</v>
      </c>
      <c r="MQ12" s="334">
        <v>19.875</v>
      </c>
      <c r="MR12" s="334">
        <v>0.38500000000000001</v>
      </c>
      <c r="MS12" s="334">
        <v>53.475000000000001</v>
      </c>
      <c r="MT12" s="334">
        <v>18.875</v>
      </c>
      <c r="MU12" s="334">
        <v>0.38500000000000001</v>
      </c>
      <c r="MV12" s="334">
        <v>53.475000000000001</v>
      </c>
      <c r="MW12" s="334">
        <v>18</v>
      </c>
      <c r="MX12" s="334">
        <v>0.38500000000000001</v>
      </c>
      <c r="MY12" s="334">
        <v>52.082000000000001</v>
      </c>
      <c r="MZ12" s="334">
        <v>17.625</v>
      </c>
      <c r="NA12" s="334">
        <v>0.38500000000000001</v>
      </c>
      <c r="NB12" s="334">
        <v>52.082000000000001</v>
      </c>
      <c r="NC12" s="334">
        <v>16.375</v>
      </c>
      <c r="ND12" s="334">
        <v>0.38500000000000001</v>
      </c>
      <c r="NE12" s="334">
        <v>53.944000000000003</v>
      </c>
      <c r="NF12" s="334">
        <v>17</v>
      </c>
      <c r="NG12" s="334">
        <v>0.38500000000000001</v>
      </c>
      <c r="NH12" s="334">
        <v>53.944000000000003</v>
      </c>
      <c r="NI12" s="334">
        <v>20.25</v>
      </c>
      <c r="NJ12" s="334">
        <v>0.38500000000000001</v>
      </c>
      <c r="NK12" s="334">
        <v>53.033999999999999</v>
      </c>
      <c r="NL12" s="334">
        <v>21.75</v>
      </c>
      <c r="NM12" s="334">
        <v>0.38500000000000001</v>
      </c>
      <c r="NN12" s="334">
        <v>53.033999999999999</v>
      </c>
      <c r="NO12" s="334">
        <v>23.75</v>
      </c>
      <c r="NP12" s="334">
        <v>0.38500000000000001</v>
      </c>
      <c r="NQ12" s="334">
        <v>52.713999999999999</v>
      </c>
      <c r="NR12" s="334">
        <v>22.875</v>
      </c>
      <c r="NS12" s="334">
        <v>0.38500000000000001</v>
      </c>
      <c r="NT12" s="334">
        <v>52.408000000000001</v>
      </c>
      <c r="NU12" s="334">
        <v>23.625</v>
      </c>
      <c r="NV12" s="334">
        <v>0.38</v>
      </c>
      <c r="NW12" s="334">
        <v>51.427</v>
      </c>
      <c r="NX12" s="334">
        <v>23.13</v>
      </c>
      <c r="NY12" s="334">
        <v>0.38</v>
      </c>
      <c r="NZ12" s="334">
        <v>51.427</v>
      </c>
      <c r="OA12" s="334">
        <v>23.13</v>
      </c>
      <c r="OB12" s="334">
        <v>0.38</v>
      </c>
      <c r="OC12" s="334">
        <v>51.255000000000003</v>
      </c>
      <c r="OD12" s="334">
        <v>22.63</v>
      </c>
      <c r="OE12" s="334">
        <v>0.38</v>
      </c>
      <c r="OF12" s="334">
        <v>51.084000000000003</v>
      </c>
      <c r="OG12" s="334">
        <v>20.94</v>
      </c>
      <c r="OH12" s="334">
        <v>0.38</v>
      </c>
      <c r="OI12" s="334">
        <v>49.008000000000003</v>
      </c>
      <c r="OJ12" s="334">
        <v>20.5</v>
      </c>
      <c r="OK12" s="334">
        <v>0.38</v>
      </c>
      <c r="OL12" s="334">
        <v>48.393999999999998</v>
      </c>
      <c r="OM12" s="334">
        <v>18.940000000000001</v>
      </c>
      <c r="ON12" s="334">
        <v>0.38</v>
      </c>
      <c r="OO12" s="334">
        <v>47.276000000000003</v>
      </c>
      <c r="OP12" s="334">
        <v>17.38</v>
      </c>
      <c r="OQ12" s="334">
        <v>0.37</v>
      </c>
      <c r="OR12" s="334">
        <v>46.128</v>
      </c>
      <c r="OS12" s="334">
        <v>18.059999999999999</v>
      </c>
      <c r="OT12" s="334">
        <v>0.37</v>
      </c>
      <c r="OU12" s="334">
        <v>45.59</v>
      </c>
      <c r="OV12" s="334">
        <v>16.940000000000001</v>
      </c>
    </row>
    <row r="13" spans="1:412">
      <c r="B13" s="333" t="s">
        <v>227</v>
      </c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503"/>
      <c r="AZ13" s="503"/>
      <c r="BA13" s="503"/>
      <c r="BB13" s="503"/>
      <c r="BC13" s="503"/>
      <c r="BD13" s="503"/>
      <c r="BE13" s="503"/>
      <c r="BF13" s="503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4"/>
      <c r="BR13" s="504"/>
      <c r="BS13" s="504"/>
      <c r="BT13" s="504"/>
      <c r="BU13" s="504"/>
      <c r="BV13" s="504"/>
      <c r="BW13" s="504"/>
      <c r="BX13" s="504"/>
      <c r="BY13" s="504"/>
      <c r="BZ13" s="503"/>
      <c r="CA13" s="503"/>
      <c r="CB13" s="503"/>
      <c r="CC13" s="503"/>
      <c r="CD13" s="503"/>
      <c r="CE13" s="503"/>
      <c r="CF13" s="503"/>
      <c r="CG13" s="503"/>
      <c r="CH13" s="503"/>
      <c r="CI13" s="503"/>
      <c r="CJ13" s="503"/>
      <c r="CK13" s="503"/>
      <c r="CL13" s="503"/>
      <c r="CM13" s="503"/>
      <c r="CN13" s="503"/>
      <c r="CO13" s="503"/>
      <c r="CP13" s="503"/>
      <c r="CQ13" s="503"/>
      <c r="CR13" s="504"/>
      <c r="CS13" s="504"/>
      <c r="CT13" s="504"/>
      <c r="CU13" s="503"/>
      <c r="CV13" s="503"/>
      <c r="CW13" s="503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40"/>
      <c r="EC13" s="340"/>
      <c r="ED13" s="340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42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505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506"/>
      <c r="HY13" s="513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505"/>
      <c r="IK13" s="339"/>
      <c r="IL13" s="339"/>
      <c r="IM13" s="339"/>
      <c r="IN13" s="339"/>
      <c r="IO13" s="339"/>
      <c r="IP13" s="339"/>
      <c r="IQ13" s="339"/>
      <c r="IR13" s="339"/>
      <c r="IS13" s="339"/>
      <c r="IT13" s="339"/>
      <c r="IU13" s="339"/>
      <c r="IV13" s="339"/>
      <c r="IW13" s="339"/>
      <c r="IX13" s="339"/>
      <c r="IY13" s="339"/>
      <c r="IZ13" s="342"/>
      <c r="JA13" s="339"/>
      <c r="JB13" s="339"/>
      <c r="JC13" s="339"/>
      <c r="JD13" s="339"/>
      <c r="JE13" s="339"/>
      <c r="JF13" s="339"/>
      <c r="JG13" s="339"/>
      <c r="JH13" s="339"/>
      <c r="JI13" s="339"/>
      <c r="JJ13" s="339"/>
      <c r="JK13" s="339"/>
      <c r="JL13" s="339"/>
      <c r="JM13" s="339"/>
      <c r="JN13" s="339"/>
      <c r="JO13" s="339"/>
      <c r="JP13" s="339"/>
      <c r="JQ13" s="339"/>
      <c r="JR13" s="339"/>
      <c r="JS13" s="339"/>
      <c r="JT13" s="342"/>
      <c r="JU13" s="342"/>
      <c r="JV13" s="339">
        <v>7.3630000000000004</v>
      </c>
      <c r="JW13" s="339">
        <v>26.63</v>
      </c>
      <c r="JX13" s="339">
        <v>0.2</v>
      </c>
      <c r="JY13" s="339">
        <v>7.3634240000000002</v>
      </c>
      <c r="JZ13" s="339">
        <v>26.58</v>
      </c>
      <c r="KA13" s="339">
        <v>0.2</v>
      </c>
      <c r="KB13" s="339">
        <v>7.3634240000000002</v>
      </c>
      <c r="KC13" s="339">
        <v>26.23</v>
      </c>
      <c r="KD13" s="339">
        <v>0.2</v>
      </c>
      <c r="KE13" s="339">
        <v>7.3634240000000002</v>
      </c>
      <c r="KF13" s="339">
        <v>25.6875</v>
      </c>
      <c r="KG13" s="339">
        <v>0.2</v>
      </c>
      <c r="KH13" s="339">
        <v>7.3634240000000002</v>
      </c>
      <c r="KI13" s="339">
        <v>24.1875</v>
      </c>
      <c r="KJ13" s="339">
        <v>0.2</v>
      </c>
      <c r="KK13" s="339">
        <v>7.4</v>
      </c>
      <c r="KL13" s="339">
        <v>23.4375</v>
      </c>
      <c r="KM13" s="339">
        <v>0.2</v>
      </c>
      <c r="KN13" s="339">
        <v>7.3634240000000002</v>
      </c>
      <c r="KO13" s="339">
        <v>17.3125</v>
      </c>
      <c r="KP13" s="339">
        <v>0.2</v>
      </c>
      <c r="KQ13" s="339">
        <v>7.3634240000000002</v>
      </c>
      <c r="KR13" s="339">
        <v>16.4375</v>
      </c>
      <c r="KS13" s="339">
        <v>0.15</v>
      </c>
      <c r="KT13" s="339">
        <v>7.4</v>
      </c>
      <c r="KU13" s="339">
        <v>16.5</v>
      </c>
      <c r="KV13" s="339">
        <v>0.15</v>
      </c>
      <c r="KW13" s="334">
        <v>7.4</v>
      </c>
      <c r="KX13" s="334">
        <v>16.125</v>
      </c>
      <c r="KY13" s="334">
        <v>0.15</v>
      </c>
      <c r="KZ13" s="334">
        <v>7.36</v>
      </c>
      <c r="LA13" s="334">
        <v>12.6875</v>
      </c>
      <c r="LB13" s="334">
        <v>0</v>
      </c>
      <c r="LC13" s="334">
        <v>7.36</v>
      </c>
      <c r="LD13" s="334">
        <v>12.813000000000001</v>
      </c>
      <c r="LE13" s="334">
        <v>0</v>
      </c>
      <c r="LF13" s="334">
        <v>7.36</v>
      </c>
      <c r="LG13" s="334">
        <v>9.75</v>
      </c>
      <c r="LH13" s="334">
        <v>0</v>
      </c>
      <c r="LI13" s="334">
        <v>7.36</v>
      </c>
      <c r="LJ13" s="334">
        <v>9</v>
      </c>
      <c r="LK13" s="334">
        <v>0</v>
      </c>
      <c r="LL13" s="334">
        <v>7.36</v>
      </c>
      <c r="LM13" s="334">
        <v>7.875</v>
      </c>
      <c r="LN13" s="334">
        <v>0</v>
      </c>
      <c r="LO13" s="334">
        <v>7.3630000000000004</v>
      </c>
      <c r="LP13" s="334">
        <v>6.1875</v>
      </c>
      <c r="LQ13" s="334">
        <v>0</v>
      </c>
      <c r="LR13" s="334">
        <v>7.3630000000000004</v>
      </c>
      <c r="LS13" s="334">
        <v>5.3125</v>
      </c>
      <c r="LT13" s="334">
        <v>0</v>
      </c>
      <c r="LU13" s="334">
        <v>7.3630000000000004</v>
      </c>
      <c r="LV13" s="334">
        <v>5.75</v>
      </c>
      <c r="LW13" s="334">
        <v>0</v>
      </c>
      <c r="LX13" s="334">
        <v>7.3440000000000003</v>
      </c>
      <c r="LY13" s="334">
        <v>6</v>
      </c>
      <c r="LZ13" s="334">
        <v>0</v>
      </c>
      <c r="MA13" s="334">
        <v>7.3440000000000003</v>
      </c>
      <c r="MB13" s="334">
        <v>9.5</v>
      </c>
      <c r="MC13" s="334">
        <v>0.18</v>
      </c>
      <c r="MD13" s="334">
        <v>7.1509999999999998</v>
      </c>
      <c r="ME13" s="334">
        <v>10</v>
      </c>
      <c r="MF13" s="334">
        <v>0.18</v>
      </c>
      <c r="MG13" s="334">
        <v>7.1509999999999998</v>
      </c>
      <c r="MH13" s="334">
        <v>10.75</v>
      </c>
      <c r="MI13" s="334">
        <v>0.18</v>
      </c>
      <c r="MJ13" s="334">
        <v>7.1509999999999998</v>
      </c>
      <c r="MK13" s="334">
        <v>10.75</v>
      </c>
      <c r="ML13" s="334">
        <v>0.18</v>
      </c>
      <c r="MM13" s="334">
        <v>7.1509999999999998</v>
      </c>
      <c r="MN13" s="334">
        <v>11.5</v>
      </c>
      <c r="MO13" s="334">
        <v>0.18</v>
      </c>
      <c r="MP13" s="334">
        <v>7.1509999999999998</v>
      </c>
      <c r="MQ13" s="334">
        <v>12.25</v>
      </c>
      <c r="MR13" s="334">
        <v>0.18</v>
      </c>
      <c r="MS13" s="334">
        <v>7.1509999999999998</v>
      </c>
      <c r="MT13" s="334">
        <v>10.25</v>
      </c>
      <c r="MU13" s="334">
        <v>0.18</v>
      </c>
      <c r="MV13" s="334">
        <v>7.1509999999999998</v>
      </c>
      <c r="MW13" s="334">
        <v>10.5</v>
      </c>
      <c r="MX13" s="334">
        <v>0.33</v>
      </c>
      <c r="MY13" s="334">
        <v>7.1509999999999998</v>
      </c>
      <c r="MZ13" s="334">
        <v>9.75</v>
      </c>
      <c r="NA13" s="334">
        <v>0.33</v>
      </c>
      <c r="NB13" s="334">
        <v>7.1509999999999998</v>
      </c>
      <c r="NC13" s="334">
        <v>12.25</v>
      </c>
      <c r="ND13" s="334">
        <v>0.33</v>
      </c>
      <c r="NE13" s="334">
        <v>6.2069999999999999</v>
      </c>
      <c r="NF13" s="334">
        <v>13.25</v>
      </c>
      <c r="NG13" s="334">
        <v>0.33</v>
      </c>
      <c r="NH13" s="334">
        <v>6.2069999999999999</v>
      </c>
      <c r="NI13" s="334">
        <v>16.375</v>
      </c>
      <c r="NJ13" s="334">
        <v>0.33</v>
      </c>
      <c r="NK13" s="334">
        <v>6.2069999999999999</v>
      </c>
      <c r="NL13" s="334">
        <v>18.125</v>
      </c>
      <c r="NM13" s="334">
        <v>0.33</v>
      </c>
      <c r="NN13" s="334">
        <v>6.2069999999999999</v>
      </c>
      <c r="NO13" s="334">
        <v>21.375</v>
      </c>
      <c r="NP13" s="334">
        <v>0.33</v>
      </c>
      <c r="NQ13" s="334">
        <v>5.5720000000000001</v>
      </c>
      <c r="NR13" s="334">
        <v>21.125</v>
      </c>
      <c r="NS13" s="334">
        <v>0.33</v>
      </c>
      <c r="NT13" s="334">
        <v>5.4359999999999999</v>
      </c>
      <c r="NU13" s="334">
        <v>23.5</v>
      </c>
      <c r="NV13" s="334">
        <v>0.33</v>
      </c>
      <c r="NW13" s="334">
        <v>5.3849999999999998</v>
      </c>
      <c r="NX13" s="334">
        <v>20</v>
      </c>
      <c r="NY13" s="334">
        <v>0.33</v>
      </c>
      <c r="NZ13" s="334">
        <v>5.3849999999999998</v>
      </c>
      <c r="OA13" s="334">
        <v>19.63</v>
      </c>
      <c r="OB13" s="334">
        <v>0.33</v>
      </c>
      <c r="OC13" s="334">
        <v>5.3769999999999998</v>
      </c>
      <c r="OD13" s="334">
        <v>17.5</v>
      </c>
      <c r="OE13" s="334">
        <v>0.33</v>
      </c>
      <c r="OF13" s="334">
        <v>5.3710000000000004</v>
      </c>
      <c r="OG13" s="334">
        <v>17.63</v>
      </c>
      <c r="OH13" s="334">
        <v>0.33</v>
      </c>
      <c r="OI13" s="334">
        <v>4.9470000000000001</v>
      </c>
      <c r="OJ13" s="334">
        <v>17.88</v>
      </c>
      <c r="OK13" s="334">
        <v>0.32</v>
      </c>
      <c r="OL13" s="334">
        <v>4.8049999999999997</v>
      </c>
      <c r="OM13" s="334">
        <v>16.5</v>
      </c>
      <c r="ON13" s="334">
        <v>0.32</v>
      </c>
      <c r="OO13" s="334">
        <v>4.5170000000000003</v>
      </c>
      <c r="OP13" s="334">
        <v>14.75</v>
      </c>
      <c r="OQ13" s="334">
        <v>0.32</v>
      </c>
      <c r="OR13" s="334">
        <v>4.4509999999999996</v>
      </c>
      <c r="OS13" s="334">
        <v>16.5</v>
      </c>
      <c r="OT13" s="334">
        <v>0.32</v>
      </c>
      <c r="OU13" s="334">
        <v>4.4509999999999996</v>
      </c>
      <c r="OV13" s="334">
        <v>16.25</v>
      </c>
    </row>
    <row r="14" spans="1:412">
      <c r="A14" s="294" t="s">
        <v>38</v>
      </c>
      <c r="B14" s="335" t="s">
        <v>114</v>
      </c>
      <c r="C14" s="335">
        <v>70.5</v>
      </c>
      <c r="D14" s="335">
        <v>58.52</v>
      </c>
      <c r="E14" s="335">
        <v>0.65</v>
      </c>
      <c r="F14" s="335">
        <v>69</v>
      </c>
      <c r="G14" s="335">
        <v>61.12</v>
      </c>
      <c r="H14" s="335">
        <v>0.65</v>
      </c>
      <c r="I14" s="335">
        <v>68.2</v>
      </c>
      <c r="J14" s="335">
        <v>54.38</v>
      </c>
      <c r="K14" s="335">
        <v>0.65</v>
      </c>
      <c r="L14" s="335">
        <v>67.900000000000006</v>
      </c>
      <c r="M14" s="335">
        <v>54.6</v>
      </c>
      <c r="N14" s="335">
        <v>0.65</v>
      </c>
      <c r="O14" s="335">
        <v>67.314999999999998</v>
      </c>
      <c r="P14" s="335">
        <v>53.95</v>
      </c>
      <c r="Q14" s="335">
        <v>0.625</v>
      </c>
      <c r="R14" s="340">
        <v>66.590999999999994</v>
      </c>
      <c r="S14" s="340">
        <v>50.59</v>
      </c>
      <c r="T14" s="340">
        <v>0.625</v>
      </c>
      <c r="U14" s="340">
        <v>66.036000000000001</v>
      </c>
      <c r="V14" s="340">
        <v>60.26</v>
      </c>
      <c r="W14" s="340">
        <v>0.625</v>
      </c>
      <c r="X14" s="340">
        <v>64.858000000000004</v>
      </c>
      <c r="Y14" s="340">
        <v>63.1</v>
      </c>
      <c r="Z14" s="340">
        <v>0.625</v>
      </c>
      <c r="AA14" s="340">
        <v>64.876000000000005</v>
      </c>
      <c r="AB14" s="340">
        <v>70.34</v>
      </c>
      <c r="AC14" s="340">
        <v>0.625</v>
      </c>
      <c r="AD14" s="340">
        <v>64.721000000000004</v>
      </c>
      <c r="AE14" s="340">
        <v>67.73</v>
      </c>
      <c r="AF14" s="340">
        <v>0.59499999999999997</v>
      </c>
      <c r="AG14" s="340">
        <v>64.564999999999998</v>
      </c>
      <c r="AH14" s="340">
        <v>72.77</v>
      </c>
      <c r="AI14" s="340">
        <v>0.59499999999999997</v>
      </c>
      <c r="AJ14" s="340">
        <v>63.219000000000001</v>
      </c>
      <c r="AK14" s="340">
        <v>77.02</v>
      </c>
      <c r="AL14" s="340">
        <v>0.59499999999999997</v>
      </c>
      <c r="AM14" s="340">
        <v>63.341000000000001</v>
      </c>
      <c r="AN14" s="340">
        <v>70.569999999999993</v>
      </c>
      <c r="AO14" s="340">
        <v>0.59499999999999997</v>
      </c>
      <c r="AP14" s="340">
        <v>62.866999999999997</v>
      </c>
      <c r="AQ14" s="340">
        <v>62.76</v>
      </c>
      <c r="AR14" s="340">
        <v>0.56499999999999995</v>
      </c>
      <c r="AS14" s="340">
        <v>62.633000000000003</v>
      </c>
      <c r="AT14" s="340">
        <v>65.63</v>
      </c>
      <c r="AU14" s="340">
        <v>0.56499999999999995</v>
      </c>
      <c r="AV14" s="340">
        <v>62.378</v>
      </c>
      <c r="AW14" s="340">
        <v>66.77</v>
      </c>
      <c r="AX14" s="340">
        <v>0.56499999999999995</v>
      </c>
      <c r="AY14" s="503">
        <v>62.575699999999998</v>
      </c>
      <c r="AZ14" s="503">
        <v>61.45</v>
      </c>
      <c r="BA14" s="503">
        <v>0.56499999999999995</v>
      </c>
      <c r="BB14" s="504">
        <v>62.573</v>
      </c>
      <c r="BC14" s="504">
        <v>53.49</v>
      </c>
      <c r="BD14" s="504">
        <v>0.53500000000000003</v>
      </c>
      <c r="BE14" s="504">
        <v>61.777999999999999</v>
      </c>
      <c r="BF14" s="504">
        <v>56.66</v>
      </c>
      <c r="BG14" s="504">
        <v>0.53500000000000003</v>
      </c>
      <c r="BH14" s="504">
        <v>60.661999999999999</v>
      </c>
      <c r="BI14" s="504">
        <v>64.03</v>
      </c>
      <c r="BJ14" s="504">
        <v>0.53500000000000003</v>
      </c>
      <c r="BK14" s="504">
        <v>60.975999999999999</v>
      </c>
      <c r="BL14" s="504">
        <v>78.540000000000006</v>
      </c>
      <c r="BM14" s="504">
        <v>0.53500000000000003</v>
      </c>
      <c r="BN14" s="504">
        <v>60.466999999999999</v>
      </c>
      <c r="BO14" s="504">
        <v>76.73</v>
      </c>
      <c r="BP14" s="504">
        <v>0.505</v>
      </c>
      <c r="BQ14" s="504">
        <v>59.92</v>
      </c>
      <c r="BR14" s="504">
        <v>78.17</v>
      </c>
      <c r="BS14" s="504">
        <v>0.505</v>
      </c>
      <c r="BT14" s="504">
        <v>54.42</v>
      </c>
      <c r="BU14" s="504">
        <v>74.069999999999993</v>
      </c>
      <c r="BV14" s="504">
        <v>0.505</v>
      </c>
      <c r="BW14" s="504">
        <v>53.363999999999997</v>
      </c>
      <c r="BX14" s="504">
        <v>62.78</v>
      </c>
      <c r="BY14" s="507">
        <v>0.505</v>
      </c>
      <c r="BZ14" s="504">
        <v>53.354999999999997</v>
      </c>
      <c r="CA14" s="504">
        <v>58.09</v>
      </c>
      <c r="CB14" s="504">
        <v>0.47499999999999998</v>
      </c>
      <c r="CC14" s="503">
        <v>53.319000000000003</v>
      </c>
      <c r="CD14" s="503">
        <v>61.21</v>
      </c>
      <c r="CE14" s="503">
        <v>0.47499999999999998</v>
      </c>
      <c r="CF14" s="503">
        <v>53.3</v>
      </c>
      <c r="CG14" s="503">
        <v>54.3</v>
      </c>
      <c r="CH14" s="503">
        <v>0.47499999999999998</v>
      </c>
      <c r="CI14" s="503">
        <v>53.243000000000002</v>
      </c>
      <c r="CJ14" s="503">
        <v>60.11</v>
      </c>
      <c r="CK14" s="508">
        <v>0.47499999999999998</v>
      </c>
      <c r="CL14" s="503">
        <v>53.228999999999999</v>
      </c>
      <c r="CM14" s="503">
        <v>68.87</v>
      </c>
      <c r="CN14" s="503">
        <v>0.44500000000000001</v>
      </c>
      <c r="CO14" s="503">
        <v>53.152000000000001</v>
      </c>
      <c r="CP14" s="503">
        <v>67.47</v>
      </c>
      <c r="CQ14" s="503">
        <v>0.44500000000000001</v>
      </c>
      <c r="CR14" s="504">
        <v>51.921999999999997</v>
      </c>
      <c r="CS14" s="504">
        <v>66.47</v>
      </c>
      <c r="CT14" s="514">
        <v>0.44500000000000001</v>
      </c>
      <c r="CU14" s="503">
        <v>52.183999999999997</v>
      </c>
      <c r="CV14" s="503">
        <v>61.34</v>
      </c>
      <c r="CW14" s="503">
        <v>0.42</v>
      </c>
      <c r="CX14" s="339">
        <v>51.514000000000003</v>
      </c>
      <c r="CY14" s="339">
        <v>61.22</v>
      </c>
      <c r="CZ14" s="339">
        <v>0.42</v>
      </c>
      <c r="DA14" s="339">
        <v>51.043999999999997</v>
      </c>
      <c r="DB14" s="339">
        <v>63.04</v>
      </c>
      <c r="DC14" s="339">
        <v>0.42</v>
      </c>
      <c r="DD14" s="339">
        <v>45.287999999999997</v>
      </c>
      <c r="DE14" s="339">
        <v>60.13</v>
      </c>
      <c r="DF14" s="511">
        <v>0.42</v>
      </c>
      <c r="DG14" s="339">
        <v>44.634999999999998</v>
      </c>
      <c r="DH14" s="339">
        <v>46.43</v>
      </c>
      <c r="DI14" s="339">
        <v>0.40500000000000003</v>
      </c>
      <c r="DJ14" s="339">
        <v>44.616999999999997</v>
      </c>
      <c r="DK14" s="339">
        <v>41.34</v>
      </c>
      <c r="DL14" s="339">
        <v>0.40500000000000003</v>
      </c>
      <c r="DM14" s="339">
        <v>44.540999999999997</v>
      </c>
      <c r="DN14" s="339">
        <v>43.65</v>
      </c>
      <c r="DO14" s="339">
        <v>0.40500000000000003</v>
      </c>
      <c r="DP14" s="340">
        <v>44.43</v>
      </c>
      <c r="DQ14" s="340">
        <v>50.44</v>
      </c>
      <c r="DR14" s="515">
        <v>0.40500000000000003</v>
      </c>
      <c r="DS14" s="339">
        <v>44.414999999999999</v>
      </c>
      <c r="DT14" s="339">
        <v>53.04</v>
      </c>
      <c r="DU14" s="339">
        <v>0.39</v>
      </c>
      <c r="DV14" s="339">
        <v>44.399000000000001</v>
      </c>
      <c r="DW14" s="339">
        <v>47.88</v>
      </c>
      <c r="DX14" s="339">
        <v>0.39</v>
      </c>
      <c r="DY14" s="339">
        <v>44.33</v>
      </c>
      <c r="DZ14" s="339">
        <v>61.39</v>
      </c>
      <c r="EA14" s="339">
        <v>0.39</v>
      </c>
      <c r="EB14" s="340">
        <v>44.162999999999997</v>
      </c>
      <c r="EC14" s="340">
        <v>57.65</v>
      </c>
      <c r="ED14" s="515">
        <v>0.39</v>
      </c>
      <c r="EE14" s="339">
        <v>44.201000000000001</v>
      </c>
      <c r="EF14" s="339">
        <v>52.51</v>
      </c>
      <c r="EG14" s="339">
        <v>0.38</v>
      </c>
      <c r="EH14" s="339">
        <v>44.171999999999997</v>
      </c>
      <c r="EI14" s="339">
        <v>49.86</v>
      </c>
      <c r="EJ14" s="339">
        <v>0.38</v>
      </c>
      <c r="EK14" s="339">
        <v>44.052999999999997</v>
      </c>
      <c r="EL14" s="339">
        <v>48.75</v>
      </c>
      <c r="EM14" s="339">
        <v>0.38</v>
      </c>
      <c r="EN14" s="340">
        <v>43.82</v>
      </c>
      <c r="EO14" s="340">
        <v>44.04</v>
      </c>
      <c r="EP14" s="515">
        <v>0.38</v>
      </c>
      <c r="EQ14" s="339">
        <v>43.847000000000001</v>
      </c>
      <c r="ER14" s="339">
        <v>36.340000000000003</v>
      </c>
      <c r="ES14" s="339">
        <v>0.37</v>
      </c>
      <c r="ET14" s="339">
        <v>43.798999999999999</v>
      </c>
      <c r="EU14" s="339">
        <v>35.57</v>
      </c>
      <c r="EV14" s="339">
        <v>0.37</v>
      </c>
      <c r="EW14" s="339">
        <v>43.731000000000002</v>
      </c>
      <c r="EX14" s="339">
        <v>32.17</v>
      </c>
      <c r="EY14" s="339">
        <v>0.37</v>
      </c>
      <c r="EZ14" s="340">
        <v>39.863999999999997</v>
      </c>
      <c r="FA14" s="340">
        <v>33.53</v>
      </c>
      <c r="FB14" s="515">
        <v>0.37</v>
      </c>
      <c r="FC14" s="339">
        <v>39.145000000000003</v>
      </c>
      <c r="FD14" s="339">
        <v>33.58</v>
      </c>
      <c r="FE14" s="339">
        <v>0.36499999999999999</v>
      </c>
      <c r="FF14" s="339">
        <v>39.109000000000002</v>
      </c>
      <c r="FG14" s="339">
        <v>30.64</v>
      </c>
      <c r="FH14" s="339">
        <v>0.36499999999999999</v>
      </c>
      <c r="FI14" s="339">
        <v>39.058999999999997</v>
      </c>
      <c r="FJ14" s="339">
        <v>30.09</v>
      </c>
      <c r="FK14" s="339">
        <v>0.36499999999999999</v>
      </c>
      <c r="FL14" s="339">
        <v>38.978000000000002</v>
      </c>
      <c r="FM14" s="339">
        <v>33.44</v>
      </c>
      <c r="FN14" s="511">
        <v>0.36499999999999999</v>
      </c>
      <c r="FO14" s="339">
        <v>38.933</v>
      </c>
      <c r="FP14" s="339">
        <v>30</v>
      </c>
      <c r="FQ14" s="339">
        <v>0.36</v>
      </c>
      <c r="FR14" s="339">
        <v>38.902000000000001</v>
      </c>
      <c r="FS14" s="339">
        <v>31.21</v>
      </c>
      <c r="FT14" s="339">
        <v>0.36</v>
      </c>
      <c r="FU14" s="339">
        <v>38.847999999999999</v>
      </c>
      <c r="FV14" s="339">
        <v>28.47</v>
      </c>
      <c r="FW14" s="339">
        <v>0.36</v>
      </c>
      <c r="FX14" s="339">
        <v>38.703000000000003</v>
      </c>
      <c r="FY14" s="339">
        <v>30.35</v>
      </c>
      <c r="FZ14" s="339">
        <v>0.36</v>
      </c>
      <c r="GA14" s="339">
        <v>38.643000000000001</v>
      </c>
      <c r="GB14" s="339">
        <v>26.63</v>
      </c>
      <c r="GC14" s="339">
        <v>0.35499999999999998</v>
      </c>
      <c r="GD14" s="339">
        <v>38.597999999999999</v>
      </c>
      <c r="GE14" s="339">
        <v>25.17</v>
      </c>
      <c r="GF14" s="339">
        <v>0.35499999999999998</v>
      </c>
      <c r="GG14" s="339">
        <v>38.511000000000003</v>
      </c>
      <c r="GH14" s="339">
        <v>22.99</v>
      </c>
      <c r="GI14" s="339">
        <v>0.35499999999999998</v>
      </c>
      <c r="GJ14" s="339">
        <v>38.340000000000003</v>
      </c>
      <c r="GK14" s="339">
        <v>17.89</v>
      </c>
      <c r="GL14" s="339">
        <v>0.35499999999999998</v>
      </c>
      <c r="GM14" s="339">
        <v>38.307000000000002</v>
      </c>
      <c r="GN14" s="339">
        <v>26.96</v>
      </c>
      <c r="GO14" s="339">
        <v>0.35</v>
      </c>
      <c r="GP14" s="339">
        <v>38.298999999999999</v>
      </c>
      <c r="GQ14" s="339">
        <v>31.07</v>
      </c>
      <c r="GR14" s="339">
        <v>0.35</v>
      </c>
      <c r="GS14" s="339">
        <v>37.826000000000001</v>
      </c>
      <c r="GT14" s="339">
        <v>32.06</v>
      </c>
      <c r="GU14" s="339">
        <v>0.35</v>
      </c>
      <c r="GV14" s="339">
        <v>37.024000000000001</v>
      </c>
      <c r="GW14" s="339">
        <v>35.78</v>
      </c>
      <c r="GX14" s="339">
        <v>0.35</v>
      </c>
      <c r="GY14" s="339">
        <v>37.643000000000001</v>
      </c>
      <c r="GZ14" s="339">
        <v>44.1</v>
      </c>
      <c r="HA14" s="339">
        <v>0.35</v>
      </c>
      <c r="HB14" s="339">
        <v>37.588000000000001</v>
      </c>
      <c r="HC14" s="339">
        <v>41.02</v>
      </c>
      <c r="HD14" s="339">
        <v>0.34</v>
      </c>
      <c r="HE14" s="339">
        <v>35.173000000000002</v>
      </c>
      <c r="HF14" s="339">
        <v>39.75</v>
      </c>
      <c r="HG14" s="339">
        <v>0.34</v>
      </c>
      <c r="HH14" s="339">
        <v>33.179000000000002</v>
      </c>
      <c r="HI14" s="505">
        <v>36.770000000000003</v>
      </c>
      <c r="HJ14" s="339">
        <v>0.34</v>
      </c>
      <c r="HK14" s="339">
        <v>33.186999999999998</v>
      </c>
      <c r="HL14" s="339">
        <v>36.94</v>
      </c>
      <c r="HM14" s="339">
        <v>0.33</v>
      </c>
      <c r="HN14" s="339">
        <v>33.164000000000001</v>
      </c>
      <c r="HO14" s="339">
        <v>33.61</v>
      </c>
      <c r="HP14" s="339">
        <v>0.33</v>
      </c>
      <c r="HQ14" s="339">
        <v>33.119999999999997</v>
      </c>
      <c r="HR14" s="339">
        <v>34.33</v>
      </c>
      <c r="HS14" s="339">
        <v>0.33</v>
      </c>
      <c r="HT14" s="339">
        <v>33.076000000000001</v>
      </c>
      <c r="HU14" s="339">
        <v>34</v>
      </c>
      <c r="HV14" s="339">
        <v>0.33</v>
      </c>
      <c r="HW14" s="339">
        <v>32.966999999999999</v>
      </c>
      <c r="HX14" s="506">
        <v>34.61</v>
      </c>
      <c r="HY14" s="513">
        <f>1.28/4</f>
        <v>0.32</v>
      </c>
      <c r="HZ14" s="339">
        <v>32.561999999999998</v>
      </c>
      <c r="IA14" s="339">
        <v>43.37</v>
      </c>
      <c r="IB14" s="339">
        <v>0.32</v>
      </c>
      <c r="IC14" s="339">
        <v>32.444000000000003</v>
      </c>
      <c r="ID14" s="339">
        <v>36.85</v>
      </c>
      <c r="IE14" s="339">
        <v>0.32</v>
      </c>
      <c r="IF14" s="339">
        <v>32.42</v>
      </c>
      <c r="IG14" s="339">
        <v>33.07</v>
      </c>
      <c r="IH14" s="339">
        <v>0.32</v>
      </c>
      <c r="II14" s="339">
        <v>32.42</v>
      </c>
      <c r="IJ14" s="505">
        <v>30.68</v>
      </c>
      <c r="IK14" s="339">
        <v>0.31</v>
      </c>
      <c r="IL14" s="339">
        <v>32.404000000000003</v>
      </c>
      <c r="IM14" s="339">
        <v>27.78</v>
      </c>
      <c r="IN14" s="339">
        <v>0.31</v>
      </c>
      <c r="IO14" s="339">
        <v>32.290999999999997</v>
      </c>
      <c r="IP14" s="339">
        <v>31.5</v>
      </c>
      <c r="IQ14" s="339">
        <v>0.31</v>
      </c>
      <c r="IR14" s="339">
        <v>32.087000000000003</v>
      </c>
      <c r="IS14" s="339">
        <v>31.87</v>
      </c>
      <c r="IT14" s="339">
        <v>0.31</v>
      </c>
      <c r="IU14" s="339">
        <v>32.087000000000003</v>
      </c>
      <c r="IV14" s="339">
        <v>29.83</v>
      </c>
      <c r="IW14" s="339">
        <v>0.3</v>
      </c>
      <c r="IX14" s="339">
        <v>30.582000000000001</v>
      </c>
      <c r="IY14" s="339">
        <v>30.86</v>
      </c>
      <c r="IZ14" s="339">
        <v>0.3</v>
      </c>
      <c r="JA14" s="339">
        <v>27.041</v>
      </c>
      <c r="JB14" s="339">
        <v>30.7</v>
      </c>
      <c r="JC14" s="339">
        <v>0.3</v>
      </c>
      <c r="JD14" s="339">
        <v>26.9</v>
      </c>
      <c r="JE14" s="339">
        <v>27.49</v>
      </c>
      <c r="JF14" s="339">
        <v>0.3</v>
      </c>
      <c r="JG14" s="339">
        <v>26.835000000000001</v>
      </c>
      <c r="JH14" s="339">
        <v>26.52</v>
      </c>
      <c r="JI14" s="339">
        <v>0.28999999999999998</v>
      </c>
      <c r="JJ14" s="339">
        <v>26.803999999999998</v>
      </c>
      <c r="JK14" s="339">
        <v>26.19</v>
      </c>
      <c r="JL14" s="339">
        <v>0.28999999999999998</v>
      </c>
      <c r="JM14" s="339">
        <v>26.693999999999999</v>
      </c>
      <c r="JN14" s="339">
        <v>34.61</v>
      </c>
      <c r="JO14" s="339">
        <v>0.28999999999999998</v>
      </c>
      <c r="JP14" s="339">
        <v>26.5</v>
      </c>
      <c r="JQ14" s="339">
        <v>33.479999999999997</v>
      </c>
      <c r="JR14" s="339">
        <v>0.28999999999999998</v>
      </c>
      <c r="JS14" s="339">
        <v>26.425000000000001</v>
      </c>
      <c r="JT14" s="339">
        <v>33.840000000000003</v>
      </c>
      <c r="JU14" s="339">
        <v>0.28000000000000003</v>
      </c>
      <c r="JV14" s="339">
        <v>25.501999999999999</v>
      </c>
      <c r="JW14" s="339">
        <v>30.52</v>
      </c>
      <c r="JX14" s="339">
        <v>0.28000000000000003</v>
      </c>
      <c r="JY14" s="339">
        <v>22.975000000000001</v>
      </c>
      <c r="JZ14" s="339">
        <v>40.229999999999997</v>
      </c>
      <c r="KA14" s="339">
        <v>0.28000000000000003</v>
      </c>
      <c r="KB14" s="339">
        <v>22.917999999999999</v>
      </c>
      <c r="KC14" s="339">
        <v>45.71</v>
      </c>
      <c r="KD14" s="339">
        <v>0.28000000000000003</v>
      </c>
      <c r="KE14" s="339">
        <v>22.835000000000001</v>
      </c>
      <c r="KF14" s="339">
        <v>44.75</v>
      </c>
      <c r="KG14" s="339">
        <v>0.27</v>
      </c>
      <c r="KH14" s="339">
        <v>21.393999999999998</v>
      </c>
      <c r="KI14" s="339">
        <v>28.0625</v>
      </c>
      <c r="KJ14" s="339">
        <v>0.27</v>
      </c>
      <c r="KK14" s="339">
        <v>21.376000000000001</v>
      </c>
      <c r="KL14" s="339">
        <v>22.5625</v>
      </c>
      <c r="KM14" s="339">
        <v>0.27</v>
      </c>
      <c r="KN14" s="339">
        <v>21.385999999999999</v>
      </c>
      <c r="KO14" s="339">
        <v>22.0625</v>
      </c>
      <c r="KP14" s="339">
        <v>0.27</v>
      </c>
      <c r="KQ14" s="339">
        <v>21.443000000000001</v>
      </c>
      <c r="KR14" s="339">
        <v>22.1875</v>
      </c>
      <c r="KS14" s="339">
        <v>0.26</v>
      </c>
      <c r="KT14" s="339">
        <v>21.451000000000001</v>
      </c>
      <c r="KU14" s="339">
        <v>23.3125</v>
      </c>
      <c r="KV14" s="339">
        <v>0.26</v>
      </c>
      <c r="KW14" s="334">
        <v>21.62</v>
      </c>
      <c r="KX14" s="334">
        <v>23.125</v>
      </c>
      <c r="KY14" s="334">
        <v>0.26</v>
      </c>
      <c r="KZ14" s="334">
        <v>21.57</v>
      </c>
      <c r="LA14" s="334">
        <v>21.3125</v>
      </c>
      <c r="LB14" s="334">
        <v>0.25</v>
      </c>
      <c r="LC14" s="334">
        <v>21.57</v>
      </c>
      <c r="LD14" s="334">
        <v>26.375</v>
      </c>
      <c r="LE14" s="334">
        <v>0.25</v>
      </c>
      <c r="LF14" s="334">
        <v>21.71</v>
      </c>
      <c r="LG14" s="334">
        <v>26.875</v>
      </c>
      <c r="LH14" s="334">
        <v>0.25</v>
      </c>
      <c r="LI14" s="334">
        <v>21.71</v>
      </c>
      <c r="LJ14" s="334">
        <v>23</v>
      </c>
      <c r="LK14" s="334">
        <v>0.25</v>
      </c>
      <c r="LL14" s="334">
        <v>21.7</v>
      </c>
      <c r="LM14" s="334">
        <v>23.1875</v>
      </c>
      <c r="LN14" s="334">
        <v>0.236666666666666</v>
      </c>
      <c r="LO14" s="334">
        <v>21.696000000000002</v>
      </c>
      <c r="LP14" s="334">
        <v>23.5</v>
      </c>
      <c r="LQ14" s="334">
        <v>0.236666666666666</v>
      </c>
      <c r="LR14" s="334">
        <v>21.681000000000001</v>
      </c>
      <c r="LS14" s="334">
        <v>19.541699999999999</v>
      </c>
      <c r="LT14" s="334">
        <v>0.236666666666666</v>
      </c>
      <c r="LU14" s="334">
        <v>21.681000000000001</v>
      </c>
      <c r="LV14" s="334">
        <v>19</v>
      </c>
      <c r="LW14" s="334">
        <v>0.236666666666666</v>
      </c>
      <c r="LX14" s="334">
        <v>21.6645</v>
      </c>
      <c r="LY14" s="334">
        <v>17.5</v>
      </c>
      <c r="LZ14" s="334">
        <v>0.236666666666666</v>
      </c>
      <c r="MA14" s="334">
        <v>21.6645</v>
      </c>
      <c r="MB14" s="334">
        <v>18.75</v>
      </c>
      <c r="MC14" s="334">
        <v>0.23</v>
      </c>
      <c r="MD14" s="334">
        <v>21.620999999999999</v>
      </c>
      <c r="ME14" s="334">
        <v>17.25</v>
      </c>
      <c r="MF14" s="334">
        <v>0.23</v>
      </c>
      <c r="MG14" s="334">
        <v>21.620999999999999</v>
      </c>
      <c r="MH14" s="334">
        <v>16.582999999999998</v>
      </c>
      <c r="MI14" s="334">
        <v>0.23</v>
      </c>
      <c r="MJ14" s="334">
        <v>21.620999999999999</v>
      </c>
      <c r="MK14" s="334">
        <v>16.167000000000002</v>
      </c>
      <c r="ML14" s="334">
        <v>0.223333333333333</v>
      </c>
      <c r="MM14" s="334">
        <v>21.620999999999999</v>
      </c>
      <c r="MN14" s="334">
        <v>16.5</v>
      </c>
      <c r="MO14" s="334">
        <v>0.223333333333333</v>
      </c>
      <c r="MP14" s="334">
        <v>21.945</v>
      </c>
      <c r="MQ14" s="334">
        <v>16.332999999999998</v>
      </c>
      <c r="MR14" s="334">
        <v>0.223333333333333</v>
      </c>
      <c r="MS14" s="334">
        <v>21.945</v>
      </c>
      <c r="MT14" s="334">
        <v>14</v>
      </c>
      <c r="MU14" s="334">
        <v>0.223333333333333</v>
      </c>
      <c r="MV14" s="334">
        <v>21.945</v>
      </c>
      <c r="MW14" s="334">
        <v>15</v>
      </c>
      <c r="MX14" s="334">
        <v>0.223333333333333</v>
      </c>
      <c r="MY14" s="334">
        <v>21.945</v>
      </c>
      <c r="MZ14" s="334">
        <v>14.25</v>
      </c>
      <c r="NA14" s="334">
        <v>0.22</v>
      </c>
      <c r="NB14" s="334">
        <v>21.945</v>
      </c>
      <c r="NC14" s="334">
        <v>12.5833333333333</v>
      </c>
      <c r="ND14" s="334">
        <v>0.22</v>
      </c>
      <c r="NE14" s="334">
        <v>20.569500000000001</v>
      </c>
      <c r="NF14" s="334">
        <v>12.25</v>
      </c>
      <c r="NG14" s="334">
        <v>0.22</v>
      </c>
      <c r="NH14" s="334">
        <v>20.569500000000001</v>
      </c>
      <c r="NI14" s="334">
        <v>14.0833333333333</v>
      </c>
      <c r="NJ14" s="334">
        <v>0.22</v>
      </c>
      <c r="NK14" s="334">
        <v>20.569500000000001</v>
      </c>
      <c r="NL14" s="334">
        <v>15.1666666666666</v>
      </c>
      <c r="NM14" s="334">
        <v>0.21333333333333299</v>
      </c>
      <c r="NN14" s="334">
        <v>20.569500000000001</v>
      </c>
      <c r="NO14" s="334">
        <v>17.3333333333333</v>
      </c>
      <c r="NP14" s="334">
        <v>0.21333333333333299</v>
      </c>
      <c r="NQ14" s="334">
        <v>20.563500000000001</v>
      </c>
      <c r="NR14" s="334">
        <v>16.8333333333333</v>
      </c>
      <c r="NS14" s="334">
        <v>0.21333333333333299</v>
      </c>
      <c r="NT14" s="334">
        <v>20.557500000000001</v>
      </c>
      <c r="NU14" s="334">
        <v>17.1666666666666</v>
      </c>
      <c r="NV14" s="334">
        <v>0.21333333333333299</v>
      </c>
      <c r="NW14" s="334">
        <v>20.529</v>
      </c>
      <c r="NX14" s="334">
        <v>18.329999999999998</v>
      </c>
      <c r="NY14" s="334">
        <v>0.21</v>
      </c>
      <c r="NZ14" s="334">
        <v>20.529</v>
      </c>
      <c r="OA14" s="334">
        <v>19.170000000000002</v>
      </c>
      <c r="OB14" s="334">
        <v>0.21</v>
      </c>
      <c r="OC14" s="334">
        <v>20.524999999999999</v>
      </c>
      <c r="OD14" s="334">
        <v>19.329999999999998</v>
      </c>
      <c r="OE14" s="334">
        <v>0.21</v>
      </c>
      <c r="OF14" s="334">
        <v>20.518999999999998</v>
      </c>
      <c r="OG14" s="334">
        <v>18</v>
      </c>
      <c r="OH14" s="334">
        <v>0.21</v>
      </c>
      <c r="OI14" s="334">
        <v>20.513000000000002</v>
      </c>
      <c r="OJ14" s="334">
        <v>18.39</v>
      </c>
      <c r="OK14" s="334">
        <v>0.2</v>
      </c>
      <c r="OL14" s="334">
        <v>20.513000000000002</v>
      </c>
      <c r="OM14" s="334">
        <v>16.89</v>
      </c>
      <c r="ON14" s="334">
        <v>0.2</v>
      </c>
      <c r="OO14" s="334">
        <v>20.513000000000002</v>
      </c>
      <c r="OP14" s="334">
        <v>15.06</v>
      </c>
      <c r="OQ14" s="334">
        <v>0.2</v>
      </c>
      <c r="OR14" s="334">
        <v>20.513000000000002</v>
      </c>
      <c r="OS14" s="334">
        <v>15.5</v>
      </c>
      <c r="OT14" s="334">
        <v>0.2</v>
      </c>
      <c r="OU14" s="334">
        <v>20.513000000000002</v>
      </c>
      <c r="OV14" s="334">
        <v>13.5</v>
      </c>
    </row>
    <row r="15" spans="1:412">
      <c r="A15" s="294" t="s">
        <v>33</v>
      </c>
      <c r="B15" s="333" t="s">
        <v>69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4"/>
      <c r="BR15" s="504"/>
      <c r="BS15" s="504"/>
      <c r="BT15" s="504"/>
      <c r="BU15" s="504"/>
      <c r="BV15" s="504"/>
      <c r="BW15" s="504"/>
      <c r="BX15" s="504"/>
      <c r="BY15" s="504"/>
      <c r="BZ15" s="503"/>
      <c r="CA15" s="503"/>
      <c r="CB15" s="503"/>
      <c r="CC15" s="503"/>
      <c r="CD15" s="503"/>
      <c r="CE15" s="503"/>
      <c r="CF15" s="503"/>
      <c r="CG15" s="503"/>
      <c r="CH15" s="503"/>
      <c r="CI15" s="503"/>
      <c r="CJ15" s="503"/>
      <c r="CK15" s="503"/>
      <c r="CL15" s="503"/>
      <c r="CM15" s="503"/>
      <c r="CN15" s="503"/>
      <c r="CO15" s="503"/>
      <c r="CP15" s="503"/>
      <c r="CQ15" s="503"/>
      <c r="CR15" s="504"/>
      <c r="CS15" s="504"/>
      <c r="CT15" s="504"/>
      <c r="CU15" s="503"/>
      <c r="CV15" s="503"/>
      <c r="CW15" s="503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40"/>
      <c r="EC15" s="340"/>
      <c r="ED15" s="340"/>
      <c r="EE15" s="339"/>
      <c r="EF15" s="339"/>
      <c r="EG15" s="339"/>
      <c r="EH15" s="339"/>
      <c r="EI15" s="339"/>
      <c r="EJ15" s="339"/>
      <c r="EK15" s="339"/>
      <c r="EL15" s="339"/>
      <c r="EM15" s="339"/>
      <c r="EN15" s="340"/>
      <c r="EO15" s="340"/>
      <c r="EP15" s="340"/>
      <c r="EQ15" s="339"/>
      <c r="ER15" s="339"/>
      <c r="ES15" s="339"/>
      <c r="ET15" s="339"/>
      <c r="EU15" s="339"/>
      <c r="EV15" s="339"/>
      <c r="EW15" s="339"/>
      <c r="EX15" s="339"/>
      <c r="EY15" s="339"/>
      <c r="EZ15" s="340">
        <v>103.587</v>
      </c>
      <c r="FA15" s="340">
        <v>48.63</v>
      </c>
      <c r="FB15" s="515">
        <v>0.45</v>
      </c>
      <c r="FC15" s="339">
        <v>103.587</v>
      </c>
      <c r="FD15" s="339">
        <v>46.96</v>
      </c>
      <c r="FE15" s="339">
        <f>0.42498+0.28332</f>
        <v>0.70830000000000004</v>
      </c>
      <c r="FF15" s="339">
        <v>103.587</v>
      </c>
      <c r="FG15" s="339">
        <v>44.81</v>
      </c>
      <c r="FH15" s="339">
        <v>0.42499999999999999</v>
      </c>
      <c r="FI15" s="339">
        <v>103.587</v>
      </c>
      <c r="FJ15" s="339">
        <v>45.98</v>
      </c>
      <c r="FK15" s="339">
        <v>0.42499999999999999</v>
      </c>
      <c r="FL15" s="339">
        <v>103.587</v>
      </c>
      <c r="FM15" s="339">
        <v>46.27</v>
      </c>
      <c r="FN15" s="339">
        <v>0.42499999999999999</v>
      </c>
      <c r="FO15" s="339">
        <v>103.587</v>
      </c>
      <c r="FP15" s="339">
        <v>42.19</v>
      </c>
      <c r="FQ15" s="511">
        <v>0.42499999999999999</v>
      </c>
      <c r="FR15" s="339">
        <v>105.994</v>
      </c>
      <c r="FS15" s="339">
        <v>39.35</v>
      </c>
      <c r="FT15" s="339">
        <v>0.4</v>
      </c>
      <c r="FU15" s="339">
        <v>106.80800000000001</v>
      </c>
      <c r="FV15" s="339">
        <v>35</v>
      </c>
      <c r="FW15" s="339">
        <v>0.4</v>
      </c>
      <c r="FX15" s="339">
        <v>106.80800000000001</v>
      </c>
      <c r="FY15" s="339">
        <v>35.42</v>
      </c>
      <c r="FZ15" s="339">
        <v>0.4</v>
      </c>
      <c r="GA15" s="339">
        <v>106.80800000000001</v>
      </c>
      <c r="GB15" s="339">
        <v>36.799999999999997</v>
      </c>
      <c r="GC15" s="339">
        <v>0.4</v>
      </c>
      <c r="GD15" s="339">
        <v>106.80800000000001</v>
      </c>
      <c r="GE15" s="339">
        <v>31.82</v>
      </c>
      <c r="GF15" s="339">
        <v>0.375</v>
      </c>
      <c r="GG15" s="339">
        <v>106.80800000000001</v>
      </c>
      <c r="GH15" s="339">
        <v>32.11</v>
      </c>
      <c r="GI15" s="339">
        <v>0.375</v>
      </c>
      <c r="GJ15" s="339">
        <v>106.81</v>
      </c>
      <c r="GK15" s="339">
        <v>31.88</v>
      </c>
      <c r="GL15" s="339">
        <v>0.375</v>
      </c>
      <c r="GM15" s="339">
        <v>106.80800000000001</v>
      </c>
      <c r="GN15" s="339">
        <v>36.49</v>
      </c>
      <c r="GO15" s="339">
        <v>0.375</v>
      </c>
      <c r="GP15" s="339">
        <v>106.80800000000001</v>
      </c>
      <c r="GQ15" s="339">
        <v>33.5</v>
      </c>
      <c r="GR15" s="339">
        <v>0.35</v>
      </c>
      <c r="GS15" s="339">
        <v>106.80800000000001</v>
      </c>
      <c r="GT15" s="339">
        <v>33.82</v>
      </c>
      <c r="GU15" s="339">
        <v>0.35</v>
      </c>
      <c r="GV15" s="339">
        <v>106.80800000000001</v>
      </c>
      <c r="GW15" s="339">
        <v>30.43</v>
      </c>
      <c r="GX15" s="339">
        <v>0.35</v>
      </c>
      <c r="GY15" s="339">
        <v>106.80800000000001</v>
      </c>
      <c r="GZ15" s="339">
        <v>36.22</v>
      </c>
      <c r="HA15" s="339">
        <v>0.35</v>
      </c>
      <c r="HB15" s="339">
        <v>106.80800000000001</v>
      </c>
      <c r="HC15" s="339">
        <v>34.81</v>
      </c>
      <c r="HD15" s="339">
        <v>0.32500000000000001</v>
      </c>
      <c r="HE15" s="339">
        <v>106.80800000000001</v>
      </c>
      <c r="HF15" s="339">
        <v>32.450000000000003</v>
      </c>
      <c r="HG15" s="339">
        <v>0.32500000000000001</v>
      </c>
      <c r="HH15" s="339">
        <v>106.80800000000001</v>
      </c>
      <c r="HI15" s="505">
        <v>35.119999999999997</v>
      </c>
      <c r="HJ15" s="339">
        <v>0.32500000000000001</v>
      </c>
      <c r="HK15" s="339">
        <v>106.80800000000001</v>
      </c>
      <c r="HL15" s="339">
        <v>34.36</v>
      </c>
      <c r="HM15" s="512">
        <v>0.32500000000000001</v>
      </c>
      <c r="HN15" s="339">
        <v>106.80800000000001</v>
      </c>
      <c r="HO15" s="339">
        <v>33.36</v>
      </c>
      <c r="HP15" s="339">
        <v>0.30249999999999999</v>
      </c>
      <c r="HQ15" s="339">
        <v>106.80800000000001</v>
      </c>
      <c r="HR15" s="339">
        <v>28.6</v>
      </c>
      <c r="HS15" s="339">
        <v>0.30249999999999999</v>
      </c>
      <c r="HT15" s="339">
        <v>106.80800000000001</v>
      </c>
      <c r="HU15" s="339">
        <v>28.61</v>
      </c>
      <c r="HV15" s="339">
        <v>0.30249999999999999</v>
      </c>
      <c r="HW15" s="339">
        <v>106.80800000000001</v>
      </c>
      <c r="HX15" s="506">
        <v>28.7</v>
      </c>
      <c r="HY15" s="513">
        <f>1.16/4</f>
        <v>0.28999999999999998</v>
      </c>
      <c r="HZ15" s="339">
        <v>106.767</v>
      </c>
      <c r="IA15" s="339">
        <v>28.92</v>
      </c>
      <c r="IB15" s="339">
        <v>0.28999999999999998</v>
      </c>
      <c r="IC15" s="339">
        <v>106.636</v>
      </c>
      <c r="ID15" s="339">
        <v>30.83</v>
      </c>
      <c r="IE15" s="339">
        <v>0.28999999999999998</v>
      </c>
      <c r="IF15" s="339">
        <f>53.168*2</f>
        <v>106.336</v>
      </c>
      <c r="IG15" s="339">
        <f>54.3/2</f>
        <v>27.15</v>
      </c>
      <c r="IH15" s="339">
        <v>0.28999999999999998</v>
      </c>
      <c r="II15" s="339">
        <f>53.168*2</f>
        <v>106.336</v>
      </c>
      <c r="IJ15" s="505">
        <f>54.28/2</f>
        <v>27.14</v>
      </c>
      <c r="IK15" s="339">
        <f>0.58/2</f>
        <v>0.28999999999999998</v>
      </c>
      <c r="IL15" s="339">
        <f>53.085*2</f>
        <v>106.17</v>
      </c>
      <c r="IM15" s="339">
        <f>49.1/2</f>
        <v>24.55</v>
      </c>
      <c r="IN15" s="339">
        <f>0.555/2</f>
        <v>0.27750000000000002</v>
      </c>
      <c r="IO15" s="339">
        <f>53.033*2</f>
        <v>106.066</v>
      </c>
      <c r="IP15" s="339">
        <f>47.88/2</f>
        <v>23.94</v>
      </c>
      <c r="IQ15" s="339">
        <f>0.555/2</f>
        <v>0.27750000000000002</v>
      </c>
      <c r="IR15" s="339">
        <f>53.033*2</f>
        <v>106.066</v>
      </c>
      <c r="IS15" s="339">
        <f>50.72/2</f>
        <v>25.36</v>
      </c>
      <c r="IT15" s="339">
        <f>0.555/2</f>
        <v>0.27750000000000002</v>
      </c>
      <c r="IU15" s="339">
        <f>53.033*2</f>
        <v>106.066</v>
      </c>
      <c r="IV15" s="339">
        <f>48.5/2</f>
        <v>24.25</v>
      </c>
      <c r="IW15" s="339">
        <f>0.555/2</f>
        <v>0.27750000000000002</v>
      </c>
      <c r="IX15" s="339">
        <f>53.033*2</f>
        <v>106.066</v>
      </c>
      <c r="IY15" s="339">
        <f>47.5/2</f>
        <v>23.75</v>
      </c>
      <c r="IZ15" s="339">
        <f>0.54/2</f>
        <v>0.27</v>
      </c>
      <c r="JA15" s="339">
        <f>53.033*2</f>
        <v>106.066</v>
      </c>
      <c r="JB15" s="339">
        <f>45.55/2</f>
        <v>22.774999999999999</v>
      </c>
      <c r="JC15" s="339">
        <f>0.54/2</f>
        <v>0.27</v>
      </c>
      <c r="JD15" s="339">
        <f>53.033*2</f>
        <v>106.066</v>
      </c>
      <c r="JE15" s="339">
        <f>40.02/2</f>
        <v>20.010000000000002</v>
      </c>
      <c r="JF15" s="339">
        <f>0.54/2</f>
        <v>0.27</v>
      </c>
      <c r="JG15" s="339">
        <f>53.033*2</f>
        <v>106.066</v>
      </c>
      <c r="JH15" s="339">
        <f>44.39/2</f>
        <v>22.195</v>
      </c>
      <c r="JI15" s="339">
        <f>0.54/2</f>
        <v>0.27</v>
      </c>
      <c r="JJ15" s="339">
        <f>53.033*2</f>
        <v>106.066</v>
      </c>
      <c r="JK15" s="339">
        <f>39.55/2</f>
        <v>19.774999999999999</v>
      </c>
      <c r="JL15" s="339">
        <f>0.53/2</f>
        <v>0.26500000000000001</v>
      </c>
      <c r="JM15" s="339">
        <f>53.033*2</f>
        <v>106.066</v>
      </c>
      <c r="JN15" s="339">
        <f>44.78/2</f>
        <v>22.39</v>
      </c>
      <c r="JO15" s="339">
        <f>0.53/2</f>
        <v>0.26500000000000001</v>
      </c>
      <c r="JP15" s="339">
        <f>53.033*2</f>
        <v>106.066</v>
      </c>
      <c r="JQ15" s="339">
        <f>45.34/2</f>
        <v>22.67</v>
      </c>
      <c r="JR15" s="339">
        <f>0.53/2</f>
        <v>0.26500000000000001</v>
      </c>
      <c r="JS15" s="339">
        <f>53.033*2</f>
        <v>106.066</v>
      </c>
      <c r="JT15" s="339">
        <f>44.85/2</f>
        <v>22.425000000000001</v>
      </c>
      <c r="JU15" s="339">
        <f>0.53/2</f>
        <v>0.26500000000000001</v>
      </c>
      <c r="JV15" s="339">
        <f>53.033*2</f>
        <v>106.066</v>
      </c>
      <c r="JW15" s="339">
        <f>41.9/2</f>
        <v>20.95</v>
      </c>
      <c r="JX15" s="339">
        <f>0.515/2</f>
        <v>0.25750000000000001</v>
      </c>
      <c r="JY15" s="339">
        <f>53.033*2</f>
        <v>106.066</v>
      </c>
      <c r="JZ15" s="339">
        <f>42.56/2</f>
        <v>21.28</v>
      </c>
      <c r="KA15" s="339">
        <f>0.515/2</f>
        <v>0.25750000000000001</v>
      </c>
      <c r="KB15" s="339">
        <f>53.033*2</f>
        <v>106.066</v>
      </c>
      <c r="KC15" s="339">
        <f>38.3/2</f>
        <v>19.149999999999999</v>
      </c>
      <c r="KD15" s="339">
        <f>0.515/2</f>
        <v>0.25750000000000001</v>
      </c>
      <c r="KE15" s="339">
        <f>53.69*2</f>
        <v>107.38</v>
      </c>
      <c r="KF15" s="339">
        <f>42.875/2</f>
        <v>21.4375</v>
      </c>
      <c r="KG15" s="339">
        <f>0.515/2</f>
        <v>0.25750000000000001</v>
      </c>
      <c r="KH15" s="339">
        <f>55.597*2</f>
        <v>111.194</v>
      </c>
      <c r="KI15" s="339">
        <f>40.25/2</f>
        <v>20.125</v>
      </c>
      <c r="KJ15" s="339">
        <f>0.5/2</f>
        <v>0.25</v>
      </c>
      <c r="KK15" s="339">
        <f>57.262*2</f>
        <v>114.524</v>
      </c>
      <c r="KL15" s="339">
        <f>40.6875/2</f>
        <v>20.34375</v>
      </c>
      <c r="KM15" s="339">
        <f>0.5/2</f>
        <v>0.25</v>
      </c>
      <c r="KN15" s="339">
        <f>50.796*2</f>
        <v>101.592</v>
      </c>
      <c r="KO15" s="339">
        <f>42/2</f>
        <v>21</v>
      </c>
      <c r="KP15" s="339">
        <f>0.5/2</f>
        <v>0.25</v>
      </c>
      <c r="KQ15" s="334"/>
      <c r="KR15" s="334"/>
      <c r="KS15" s="334"/>
      <c r="KT15" s="334"/>
      <c r="KU15" s="334"/>
      <c r="KV15" s="334"/>
      <c r="KW15" s="334"/>
      <c r="KX15" s="334"/>
      <c r="KY15" s="334"/>
      <c r="KZ15" s="334"/>
      <c r="LA15" s="334"/>
      <c r="LB15" s="334">
        <v>0.48499999999999999</v>
      </c>
      <c r="LC15" s="334">
        <v>48.52</v>
      </c>
      <c r="LD15" s="334">
        <v>41.188000000000002</v>
      </c>
      <c r="LE15" s="334">
        <v>0.48499999999999999</v>
      </c>
      <c r="LF15" s="334">
        <v>48.52</v>
      </c>
      <c r="LG15" s="334">
        <v>43.563000000000002</v>
      </c>
      <c r="LH15" s="334">
        <v>0.47</v>
      </c>
      <c r="LI15" s="334">
        <v>48.52</v>
      </c>
      <c r="LJ15" s="334">
        <v>41.5</v>
      </c>
      <c r="LK15" s="334">
        <v>0.47</v>
      </c>
      <c r="LL15" s="334">
        <v>48.52</v>
      </c>
      <c r="LM15" s="334">
        <v>41.9375</v>
      </c>
      <c r="LN15" s="334">
        <v>0.47</v>
      </c>
      <c r="LO15" s="334">
        <v>48.515000000000001</v>
      </c>
      <c r="LP15" s="334">
        <v>37.875</v>
      </c>
      <c r="LQ15" s="334">
        <v>0.47</v>
      </c>
      <c r="LR15" s="334">
        <v>48.515000000000001</v>
      </c>
      <c r="LS15" s="334">
        <v>30.6875</v>
      </c>
      <c r="LT15" s="334">
        <v>0.47</v>
      </c>
      <c r="LU15" s="334">
        <v>48.515000000000001</v>
      </c>
      <c r="LV15" s="334">
        <v>26.375</v>
      </c>
      <c r="LW15" s="334">
        <v>0.47</v>
      </c>
      <c r="LX15" s="334">
        <v>48.326999999999998</v>
      </c>
      <c r="LY15" s="334">
        <v>26.125</v>
      </c>
      <c r="LZ15" s="334">
        <v>0.47</v>
      </c>
      <c r="MA15" s="334">
        <v>48.326999999999998</v>
      </c>
      <c r="MB15" s="334">
        <v>26.875</v>
      </c>
      <c r="MC15" s="334">
        <v>0.47</v>
      </c>
      <c r="MD15" s="334">
        <v>46.860999999999997</v>
      </c>
      <c r="ME15" s="334">
        <v>22</v>
      </c>
      <c r="MF15" s="334">
        <v>0.47</v>
      </c>
      <c r="MG15" s="334">
        <v>46.860999999999997</v>
      </c>
      <c r="MH15" s="334">
        <v>25.5</v>
      </c>
      <c r="MI15" s="334">
        <v>0.47</v>
      </c>
      <c r="MJ15" s="334">
        <v>46.860999999999997</v>
      </c>
      <c r="MK15" s="334">
        <v>26.875</v>
      </c>
      <c r="ML15" s="334">
        <v>0.47</v>
      </c>
      <c r="MM15" s="334">
        <v>46.860999999999997</v>
      </c>
      <c r="MN15" s="334">
        <v>29.5</v>
      </c>
      <c r="MO15" s="334">
        <v>0.47</v>
      </c>
      <c r="MP15" s="334">
        <v>45.600999999999999</v>
      </c>
      <c r="MQ15" s="334">
        <v>27.5</v>
      </c>
      <c r="MR15" s="334">
        <v>0.45500000000000002</v>
      </c>
      <c r="MS15" s="334">
        <v>45.600999999999999</v>
      </c>
      <c r="MT15" s="334">
        <v>26.125</v>
      </c>
      <c r="MU15" s="334">
        <v>0.45500000000000002</v>
      </c>
      <c r="MV15" s="334">
        <v>45.600999999999999</v>
      </c>
      <c r="MW15" s="334">
        <v>24</v>
      </c>
      <c r="MX15" s="334">
        <v>0.45500000000000002</v>
      </c>
      <c r="MY15" s="334">
        <v>45.286000000000001</v>
      </c>
      <c r="MZ15" s="334">
        <v>24</v>
      </c>
      <c r="NA15" s="334">
        <v>0.45500000000000002</v>
      </c>
      <c r="NB15" s="334">
        <v>45.286000000000001</v>
      </c>
      <c r="NC15" s="334">
        <v>23.5</v>
      </c>
      <c r="ND15" s="334">
        <v>0.44</v>
      </c>
      <c r="NE15" s="334">
        <v>45.237000000000002</v>
      </c>
      <c r="NF15" s="334">
        <v>26.375</v>
      </c>
      <c r="NG15" s="334">
        <v>0.44</v>
      </c>
      <c r="NH15" s="334">
        <v>45.005000000000003</v>
      </c>
      <c r="NI15" s="334">
        <v>27.125</v>
      </c>
      <c r="NJ15" s="334">
        <v>0.44</v>
      </c>
      <c r="NK15" s="334">
        <v>45.005000000000003</v>
      </c>
      <c r="NL15" s="334">
        <v>29.75</v>
      </c>
      <c r="NM15" s="334">
        <v>0.44</v>
      </c>
      <c r="NN15" s="334">
        <v>45.005000000000003</v>
      </c>
      <c r="NO15" s="334">
        <v>32.25</v>
      </c>
      <c r="NP15" s="334">
        <v>0.42499999999999999</v>
      </c>
      <c r="NQ15" s="334">
        <v>44.912999999999997</v>
      </c>
      <c r="NR15" s="334">
        <v>30.625</v>
      </c>
      <c r="NS15" s="334">
        <v>0.42499999999999999</v>
      </c>
      <c r="NT15" s="334">
        <v>44.820999999999998</v>
      </c>
      <c r="NU15" s="334">
        <v>30.375</v>
      </c>
      <c r="NV15" s="334">
        <v>0.42499999999999999</v>
      </c>
      <c r="NW15" s="334">
        <v>42.613</v>
      </c>
      <c r="NX15" s="334">
        <v>27.5</v>
      </c>
      <c r="NY15" s="334">
        <v>0.41</v>
      </c>
      <c r="NZ15" s="334">
        <v>42.613</v>
      </c>
      <c r="OA15" s="334">
        <v>25.38</v>
      </c>
      <c r="OB15" s="334">
        <v>0.41</v>
      </c>
      <c r="OC15" s="334">
        <v>42.167999999999999</v>
      </c>
      <c r="OD15" s="334">
        <v>25.88</v>
      </c>
      <c r="OE15" s="334">
        <v>0.41</v>
      </c>
      <c r="OF15" s="334">
        <v>42.110999999999997</v>
      </c>
      <c r="OG15" s="334">
        <v>22.63</v>
      </c>
      <c r="OH15" s="334">
        <v>0.41</v>
      </c>
      <c r="OI15" s="334">
        <v>39.347999999999999</v>
      </c>
      <c r="OJ15" s="334">
        <v>24.75</v>
      </c>
      <c r="OK15" s="334">
        <v>0.4</v>
      </c>
      <c r="OL15" s="334">
        <v>39.185000000000002</v>
      </c>
      <c r="OM15" s="334">
        <v>21.75</v>
      </c>
      <c r="ON15" s="334">
        <v>0.4</v>
      </c>
      <c r="OO15" s="334">
        <v>39.127000000000002</v>
      </c>
      <c r="OP15" s="334">
        <v>19.63</v>
      </c>
      <c r="OQ15" s="334">
        <v>0.4</v>
      </c>
      <c r="OR15" s="334">
        <v>39.069000000000003</v>
      </c>
      <c r="OS15" s="334">
        <v>20.38</v>
      </c>
      <c r="OT15" s="334">
        <v>0.4</v>
      </c>
      <c r="OU15" s="334">
        <v>38.779000000000003</v>
      </c>
      <c r="OV15" s="334">
        <v>20</v>
      </c>
    </row>
    <row r="16" spans="1:412">
      <c r="A16" s="294" t="s">
        <v>19</v>
      </c>
      <c r="B16" s="333" t="s">
        <v>115</v>
      </c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4"/>
      <c r="BR16" s="504"/>
      <c r="BS16" s="504"/>
      <c r="BT16" s="504"/>
      <c r="BU16" s="504"/>
      <c r="BV16" s="504"/>
      <c r="BW16" s="504"/>
      <c r="BX16" s="504"/>
      <c r="BY16" s="504"/>
      <c r="BZ16" s="503"/>
      <c r="CA16" s="503"/>
      <c r="CB16" s="503"/>
      <c r="CC16" s="503"/>
      <c r="CD16" s="503"/>
      <c r="CE16" s="503"/>
      <c r="CF16" s="503"/>
      <c r="CG16" s="503"/>
      <c r="CH16" s="503"/>
      <c r="CI16" s="503"/>
      <c r="CJ16" s="503"/>
      <c r="CK16" s="503"/>
      <c r="CL16" s="503"/>
      <c r="CM16" s="503"/>
      <c r="CN16" s="503"/>
      <c r="CO16" s="503"/>
      <c r="CP16" s="503"/>
      <c r="CQ16" s="503"/>
      <c r="CR16" s="504"/>
      <c r="CS16" s="504"/>
      <c r="CT16" s="504"/>
      <c r="CU16" s="503"/>
      <c r="CV16" s="503"/>
      <c r="CW16" s="503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40"/>
      <c r="EC16" s="340"/>
      <c r="ED16" s="340"/>
      <c r="EE16" s="339"/>
      <c r="EF16" s="339"/>
      <c r="EG16" s="339"/>
      <c r="EH16" s="339"/>
      <c r="EI16" s="339"/>
      <c r="EJ16" s="339"/>
      <c r="EK16" s="339"/>
      <c r="EL16" s="339"/>
      <c r="EM16" s="339"/>
      <c r="EN16" s="340"/>
      <c r="EO16" s="340"/>
      <c r="EP16" s="340"/>
      <c r="EQ16" s="339"/>
      <c r="ER16" s="339"/>
      <c r="ES16" s="339"/>
      <c r="ET16" s="339"/>
      <c r="EU16" s="339"/>
      <c r="EV16" s="339"/>
      <c r="EW16" s="339">
        <v>297</v>
      </c>
      <c r="EX16" s="339">
        <v>60.17</v>
      </c>
      <c r="EY16" s="339">
        <v>0.62</v>
      </c>
      <c r="EZ16" s="340">
        <v>295.8</v>
      </c>
      <c r="FA16" s="340">
        <v>53.11</v>
      </c>
      <c r="FB16" s="340">
        <v>0.62</v>
      </c>
      <c r="FC16" s="339">
        <v>296</v>
      </c>
      <c r="FD16" s="339">
        <v>56.02</v>
      </c>
      <c r="FE16" s="339">
        <v>0.62160000000000004</v>
      </c>
      <c r="FF16" s="339">
        <v>296</v>
      </c>
      <c r="FG16" s="339">
        <v>51.72</v>
      </c>
      <c r="FH16" s="339">
        <v>0.62</v>
      </c>
      <c r="FI16" s="339">
        <v>295</v>
      </c>
      <c r="FJ16" s="339">
        <v>48.01</v>
      </c>
      <c r="FK16" s="339">
        <v>0.62</v>
      </c>
      <c r="FL16" s="339">
        <v>294</v>
      </c>
      <c r="FM16" s="339">
        <v>46.14</v>
      </c>
      <c r="FN16" s="339">
        <v>0.62</v>
      </c>
      <c r="FO16" s="339">
        <v>294</v>
      </c>
      <c r="FP16" s="339">
        <v>43.48</v>
      </c>
      <c r="FQ16" s="339">
        <v>0.62</v>
      </c>
      <c r="FR16" s="339">
        <v>290</v>
      </c>
      <c r="FS16" s="339">
        <v>44.42</v>
      </c>
      <c r="FT16" s="339">
        <v>0.62</v>
      </c>
      <c r="FU16" s="339">
        <v>284</v>
      </c>
      <c r="FV16" s="339">
        <v>39.22</v>
      </c>
      <c r="FW16" s="339">
        <v>0.62</v>
      </c>
      <c r="FX16" s="339">
        <v>281</v>
      </c>
      <c r="FY16" s="339">
        <v>39.36</v>
      </c>
      <c r="FZ16" s="339">
        <v>0.62</v>
      </c>
      <c r="GA16" s="339">
        <v>280</v>
      </c>
      <c r="GB16" s="339">
        <v>41.01</v>
      </c>
      <c r="GC16" s="339">
        <v>0.62</v>
      </c>
      <c r="GD16" s="339">
        <v>280</v>
      </c>
      <c r="GE16" s="339">
        <v>39.06</v>
      </c>
      <c r="GF16" s="339">
        <v>0.62</v>
      </c>
      <c r="GG16" s="339">
        <v>277</v>
      </c>
      <c r="GH16" s="339">
        <v>37.83</v>
      </c>
      <c r="GI16" s="339">
        <v>0.62</v>
      </c>
      <c r="GJ16" s="339">
        <v>262</v>
      </c>
      <c r="GK16" s="339">
        <v>36.26</v>
      </c>
      <c r="GL16" s="339">
        <v>0.62</v>
      </c>
      <c r="GM16" s="339">
        <v>261</v>
      </c>
      <c r="GN16" s="339">
        <v>39.85</v>
      </c>
      <c r="GO16" s="339">
        <v>0.62</v>
      </c>
      <c r="GP16" s="339">
        <v>260</v>
      </c>
      <c r="GQ16" s="339">
        <v>43.13</v>
      </c>
      <c r="GR16" s="339">
        <v>0.61499999999999999</v>
      </c>
      <c r="GS16" s="339">
        <v>259</v>
      </c>
      <c r="GT16" s="339">
        <v>41.83</v>
      </c>
      <c r="GU16" s="339">
        <v>0.61499999999999999</v>
      </c>
      <c r="GV16" s="339">
        <v>256.10000000000002</v>
      </c>
      <c r="GW16" s="339">
        <v>41.7</v>
      </c>
      <c r="GX16" s="339">
        <v>0.61499999999999999</v>
      </c>
      <c r="GY16" s="339">
        <v>257</v>
      </c>
      <c r="GZ16" s="339">
        <v>48.43</v>
      </c>
      <c r="HA16" s="339">
        <v>0.61499999999999999</v>
      </c>
      <c r="HB16" s="339">
        <v>256</v>
      </c>
      <c r="HC16" s="339">
        <v>46.85</v>
      </c>
      <c r="HD16" s="339">
        <v>0.61</v>
      </c>
      <c r="HE16" s="339">
        <v>254</v>
      </c>
      <c r="HF16" s="339">
        <v>45.59</v>
      </c>
      <c r="HG16" s="339">
        <v>0.61</v>
      </c>
      <c r="HH16" s="339">
        <v>250.4</v>
      </c>
      <c r="HI16" s="505">
        <v>50.44</v>
      </c>
      <c r="HJ16" s="339">
        <v>0.61</v>
      </c>
      <c r="HK16" s="339">
        <v>251</v>
      </c>
      <c r="HL16" s="339">
        <v>49.08</v>
      </c>
      <c r="HM16" s="512">
        <v>0.61</v>
      </c>
      <c r="HN16" s="339">
        <v>250</v>
      </c>
      <c r="HO16" s="339">
        <v>45.38</v>
      </c>
      <c r="HP16" s="339">
        <v>0.60499999999999998</v>
      </c>
      <c r="HQ16" s="339">
        <v>249</v>
      </c>
      <c r="HR16" s="339">
        <v>42.87</v>
      </c>
      <c r="HS16" s="339">
        <v>0.60499999999999998</v>
      </c>
      <c r="HT16" s="339">
        <v>248</v>
      </c>
      <c r="HU16" s="339">
        <v>43.98</v>
      </c>
      <c r="HV16" s="339">
        <v>0.60499999999999998</v>
      </c>
      <c r="HW16" s="339">
        <v>248</v>
      </c>
      <c r="HX16" s="506">
        <v>43.92</v>
      </c>
      <c r="HY16" s="513">
        <f>2.42/4</f>
        <v>0.60499999999999998</v>
      </c>
      <c r="HZ16" s="339">
        <v>246</v>
      </c>
      <c r="IA16" s="339">
        <v>44.75</v>
      </c>
      <c r="IB16" s="339">
        <v>0.59</v>
      </c>
      <c r="IC16" s="339">
        <v>244</v>
      </c>
      <c r="ID16" s="339">
        <v>45.24</v>
      </c>
      <c r="IE16" s="339">
        <v>0.59</v>
      </c>
      <c r="IF16" s="339">
        <v>243</v>
      </c>
      <c r="IG16" s="339">
        <v>41.95</v>
      </c>
      <c r="IH16" s="339">
        <v>0.59</v>
      </c>
      <c r="II16" s="339">
        <v>243</v>
      </c>
      <c r="IJ16" s="505">
        <v>45.24</v>
      </c>
      <c r="IK16" s="339">
        <v>0.59</v>
      </c>
      <c r="IL16" s="339">
        <v>242</v>
      </c>
      <c r="IM16" s="339">
        <v>42.34</v>
      </c>
      <c r="IN16" s="339">
        <v>0.57499999999999996</v>
      </c>
      <c r="IO16" s="339">
        <v>241</v>
      </c>
      <c r="IP16" s="339">
        <v>44.05</v>
      </c>
      <c r="IQ16" s="339">
        <v>0.57499999999999996</v>
      </c>
      <c r="IR16" s="339">
        <v>240.345</v>
      </c>
      <c r="IS16" s="339">
        <v>47.08</v>
      </c>
      <c r="IT16" s="339">
        <v>0.57499999999999996</v>
      </c>
      <c r="IU16" s="339">
        <v>239.02500000000001</v>
      </c>
      <c r="IV16" s="339">
        <v>45.26</v>
      </c>
      <c r="IW16" s="339">
        <v>0.57499999999999996</v>
      </c>
      <c r="IX16" s="339">
        <v>236.05699999999999</v>
      </c>
      <c r="IY16" s="339">
        <v>44.46</v>
      </c>
      <c r="IZ16" s="339">
        <v>0.56000000000000005</v>
      </c>
      <c r="JA16" s="339">
        <v>233.43799999999999</v>
      </c>
      <c r="JB16" s="339">
        <v>43.9</v>
      </c>
      <c r="JC16" s="339">
        <v>0.56000000000000005</v>
      </c>
      <c r="JD16" s="339">
        <v>224.80699999999999</v>
      </c>
      <c r="JE16" s="339">
        <v>39.15</v>
      </c>
      <c r="JF16" s="339">
        <v>0.56000000000000005</v>
      </c>
      <c r="JG16" s="339">
        <v>216.07900000000001</v>
      </c>
      <c r="JH16" s="339">
        <v>43.35</v>
      </c>
      <c r="JI16" s="339">
        <v>0.56000000000000005</v>
      </c>
      <c r="JJ16" s="339">
        <v>215.00700000000001</v>
      </c>
      <c r="JK16" s="339">
        <v>40.869999999999997</v>
      </c>
      <c r="JL16" s="339">
        <v>0.54500000000000004</v>
      </c>
      <c r="JM16" s="339">
        <v>212.97900000000001</v>
      </c>
      <c r="JN16" s="339">
        <v>52.01</v>
      </c>
      <c r="JO16" s="339">
        <v>0.54500000000000004</v>
      </c>
      <c r="JP16" s="339">
        <v>212.86600000000001</v>
      </c>
      <c r="JQ16" s="339">
        <v>50.04</v>
      </c>
      <c r="JR16" s="339">
        <v>0.54500000000000004</v>
      </c>
      <c r="JS16" s="339">
        <v>205.86600000000001</v>
      </c>
      <c r="JT16" s="339">
        <v>45.03</v>
      </c>
      <c r="JU16" s="339">
        <v>0.54500000000000004</v>
      </c>
      <c r="JV16" s="339">
        <v>200.04300000000001</v>
      </c>
      <c r="JW16" s="339">
        <v>42.99</v>
      </c>
      <c r="JX16" s="339">
        <v>0.53</v>
      </c>
      <c r="JY16" s="339">
        <v>199.79900000000001</v>
      </c>
      <c r="JZ16" s="339">
        <v>44.92</v>
      </c>
      <c r="KA16" s="339">
        <v>0.53</v>
      </c>
      <c r="KB16" s="339">
        <v>168.899</v>
      </c>
      <c r="KC16" s="339">
        <v>43.07</v>
      </c>
      <c r="KD16" s="339">
        <v>0.53</v>
      </c>
      <c r="KE16" s="339">
        <v>153.32400000000001</v>
      </c>
      <c r="KF16" s="339">
        <v>49.1875</v>
      </c>
      <c r="KG16" s="339">
        <v>0.52500000000000002</v>
      </c>
      <c r="KH16" s="339">
        <v>159.597655</v>
      </c>
      <c r="KI16" s="339">
        <v>41.6875</v>
      </c>
      <c r="KJ16" s="339">
        <v>0.51500000000000001</v>
      </c>
      <c r="KK16" s="339">
        <v>153.054</v>
      </c>
      <c r="KL16" s="339">
        <v>31.9375</v>
      </c>
      <c r="KM16" s="339">
        <v>0.51500000000000001</v>
      </c>
      <c r="KN16" s="339">
        <v>152.905</v>
      </c>
      <c r="KO16" s="339">
        <v>32.4375</v>
      </c>
      <c r="KP16" s="339">
        <v>0.51500000000000001</v>
      </c>
      <c r="KQ16" s="339">
        <v>159.589744</v>
      </c>
      <c r="KR16" s="339">
        <v>30.4375</v>
      </c>
      <c r="KS16" s="339">
        <v>0.51500000000000001</v>
      </c>
      <c r="KT16" s="339">
        <v>144.46600000000001</v>
      </c>
      <c r="KU16" s="339">
        <v>35.375</v>
      </c>
      <c r="KV16" s="339">
        <v>0.5</v>
      </c>
      <c r="KW16" s="334">
        <v>144.03</v>
      </c>
      <c r="KX16" s="334">
        <v>42.8125</v>
      </c>
      <c r="KY16" s="334">
        <v>0.5</v>
      </c>
      <c r="KZ16" s="334">
        <v>144</v>
      </c>
      <c r="LA16" s="334">
        <v>37.8125</v>
      </c>
      <c r="LB16" s="334">
        <v>0.5</v>
      </c>
      <c r="LC16" s="334">
        <v>144</v>
      </c>
      <c r="LD16" s="334">
        <v>47.063000000000002</v>
      </c>
      <c r="LE16" s="334">
        <v>0.5</v>
      </c>
      <c r="LF16" s="334">
        <v>143.77000000000001</v>
      </c>
      <c r="LG16" s="334">
        <v>46.188000000000002</v>
      </c>
      <c r="LH16" s="334">
        <v>0.48499999999999999</v>
      </c>
      <c r="LI16" s="334">
        <v>143.77000000000001</v>
      </c>
      <c r="LJ16" s="334">
        <v>43.375</v>
      </c>
      <c r="LK16" s="334">
        <v>0.48499999999999999</v>
      </c>
      <c r="LL16" s="334">
        <v>143.80000000000001</v>
      </c>
      <c r="LM16" s="334">
        <v>45.25</v>
      </c>
      <c r="LN16" s="334">
        <v>0.48499999999999999</v>
      </c>
      <c r="LO16" s="334">
        <v>143.80000000000001</v>
      </c>
      <c r="LP16" s="334">
        <v>42.375</v>
      </c>
      <c r="LQ16" s="334">
        <v>0.48</v>
      </c>
      <c r="LR16" s="334">
        <v>143.495</v>
      </c>
      <c r="LS16" s="334">
        <v>36</v>
      </c>
      <c r="LT16" s="334">
        <v>0.47</v>
      </c>
      <c r="LU16" s="334">
        <v>143.495</v>
      </c>
      <c r="LV16" s="334">
        <v>35.875</v>
      </c>
      <c r="LW16" s="334">
        <v>0.47</v>
      </c>
      <c r="LX16" s="334">
        <v>143.738</v>
      </c>
      <c r="LY16" s="334">
        <v>36.25</v>
      </c>
      <c r="LZ16" s="334">
        <v>0.47</v>
      </c>
      <c r="MA16" s="334">
        <v>143.738</v>
      </c>
      <c r="MB16" s="334">
        <v>36.5</v>
      </c>
      <c r="MC16" s="334">
        <v>0.47</v>
      </c>
      <c r="MD16" s="334">
        <v>146.161</v>
      </c>
      <c r="ME16" s="334">
        <v>34.5</v>
      </c>
      <c r="MF16" s="334">
        <v>0.45500000000000002</v>
      </c>
      <c r="MG16" s="334">
        <v>146.161</v>
      </c>
      <c r="MH16" s="334">
        <v>38</v>
      </c>
      <c r="MI16" s="334">
        <v>0.45500000000000002</v>
      </c>
      <c r="MJ16" s="334">
        <v>146.161</v>
      </c>
      <c r="MK16" s="334">
        <v>37.25</v>
      </c>
      <c r="ML16" s="334">
        <v>0.45500000000000002</v>
      </c>
      <c r="MM16" s="334">
        <v>146.161</v>
      </c>
      <c r="MN16" s="334">
        <v>34.5</v>
      </c>
      <c r="MO16" s="334">
        <v>0.45500000000000002</v>
      </c>
      <c r="MP16" s="334">
        <v>147.27000000000001</v>
      </c>
      <c r="MQ16" s="334">
        <v>33.625</v>
      </c>
      <c r="MR16" s="334">
        <v>0.44</v>
      </c>
      <c r="MS16" s="334">
        <v>147.27000000000001</v>
      </c>
      <c r="MT16" s="334">
        <v>30.25</v>
      </c>
      <c r="MU16" s="334">
        <v>0.44</v>
      </c>
      <c r="MV16" s="334">
        <v>147.27000000000001</v>
      </c>
      <c r="MW16" s="334">
        <v>27.125</v>
      </c>
      <c r="MX16" s="334">
        <v>0.44</v>
      </c>
      <c r="MY16" s="334">
        <v>153.02500000000001</v>
      </c>
      <c r="MZ16" s="334">
        <v>26.625</v>
      </c>
      <c r="NA16" s="334">
        <v>0.44</v>
      </c>
      <c r="NB16" s="334">
        <v>153.02500000000001</v>
      </c>
      <c r="NC16" s="334">
        <v>26.25</v>
      </c>
      <c r="ND16" s="334">
        <v>0.42499999999999999</v>
      </c>
      <c r="NE16" s="334">
        <v>155.87799999999999</v>
      </c>
      <c r="NF16" s="334">
        <v>23.125</v>
      </c>
      <c r="NG16" s="334">
        <v>0.42499999999999999</v>
      </c>
      <c r="NH16" s="334">
        <v>160.73699999999999</v>
      </c>
      <c r="NI16" s="334">
        <v>25.625</v>
      </c>
      <c r="NJ16" s="334">
        <v>0.42499999999999999</v>
      </c>
      <c r="NK16" s="334">
        <v>160.73699999999999</v>
      </c>
      <c r="NL16" s="334">
        <v>30.125</v>
      </c>
      <c r="NM16" s="334">
        <v>0.42499999999999999</v>
      </c>
      <c r="NN16" s="334">
        <v>160.73699999999999</v>
      </c>
      <c r="NO16" s="334">
        <v>32.75</v>
      </c>
      <c r="NP16" s="334">
        <v>0.41</v>
      </c>
      <c r="NQ16" s="334">
        <v>160.73699999999999</v>
      </c>
      <c r="NR16" s="334">
        <v>32.625</v>
      </c>
      <c r="NS16" s="334">
        <v>0.41</v>
      </c>
      <c r="NT16" s="334">
        <v>160.73699999999999</v>
      </c>
      <c r="NU16" s="334">
        <v>32.875</v>
      </c>
      <c r="NV16" s="334">
        <v>0.41</v>
      </c>
      <c r="NW16" s="334">
        <v>160.73599999999999</v>
      </c>
      <c r="NX16" s="334">
        <v>27.75</v>
      </c>
      <c r="NY16" s="334">
        <v>0.4</v>
      </c>
      <c r="NZ16" s="334">
        <v>160.73599999999999</v>
      </c>
      <c r="OA16" s="334">
        <v>26.56</v>
      </c>
      <c r="OB16" s="334">
        <v>0.4</v>
      </c>
      <c r="OC16" s="334">
        <v>160.73599999999999</v>
      </c>
      <c r="OD16" s="334">
        <v>25.25</v>
      </c>
      <c r="OE16" s="334">
        <v>0.4</v>
      </c>
      <c r="OF16" s="334">
        <v>160.73599999999999</v>
      </c>
      <c r="OG16" s="334">
        <v>26.38</v>
      </c>
      <c r="OH16" s="334">
        <v>0.4</v>
      </c>
      <c r="OI16" s="334">
        <v>160.73599999999999</v>
      </c>
      <c r="OJ16" s="334">
        <v>27.06</v>
      </c>
      <c r="OK16" s="334">
        <v>0.38</v>
      </c>
      <c r="OL16" s="334">
        <v>160.73599999999999</v>
      </c>
      <c r="OM16" s="334">
        <v>24.88</v>
      </c>
      <c r="ON16" s="334">
        <v>0.38</v>
      </c>
      <c r="OO16" s="334">
        <v>160.73599999999999</v>
      </c>
      <c r="OP16" s="334">
        <v>22.81</v>
      </c>
      <c r="OQ16" s="334">
        <v>0.38</v>
      </c>
      <c r="OR16" s="334">
        <v>160.73599999999999</v>
      </c>
      <c r="OS16" s="334">
        <v>23.75</v>
      </c>
      <c r="OT16" s="334">
        <v>0.38</v>
      </c>
      <c r="OU16" s="334">
        <v>165.72200000000001</v>
      </c>
      <c r="OV16" s="334">
        <v>23.31</v>
      </c>
    </row>
    <row r="17" spans="1:412">
      <c r="B17" s="333" t="s">
        <v>228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503"/>
      <c r="AZ17" s="503"/>
      <c r="BA17" s="503"/>
      <c r="BB17" s="503"/>
      <c r="BC17" s="503"/>
      <c r="BD17" s="503"/>
      <c r="BE17" s="503"/>
      <c r="BF17" s="503"/>
      <c r="BG17" s="503"/>
      <c r="BH17" s="503"/>
      <c r="BI17" s="503"/>
      <c r="BJ17" s="503"/>
      <c r="BK17" s="503"/>
      <c r="BL17" s="503"/>
      <c r="BM17" s="503"/>
      <c r="BN17" s="503"/>
      <c r="BO17" s="503"/>
      <c r="BP17" s="503"/>
      <c r="BQ17" s="504"/>
      <c r="BR17" s="504"/>
      <c r="BS17" s="504"/>
      <c r="BT17" s="504"/>
      <c r="BU17" s="504"/>
      <c r="BV17" s="504"/>
      <c r="BW17" s="504"/>
      <c r="BX17" s="504"/>
      <c r="BY17" s="504"/>
      <c r="BZ17" s="503"/>
      <c r="CA17" s="503"/>
      <c r="CB17" s="503"/>
      <c r="CC17" s="503"/>
      <c r="CD17" s="503"/>
      <c r="CE17" s="503"/>
      <c r="CF17" s="503"/>
      <c r="CG17" s="503"/>
      <c r="CH17" s="503"/>
      <c r="CI17" s="503"/>
      <c r="CJ17" s="503"/>
      <c r="CK17" s="503"/>
      <c r="CL17" s="503"/>
      <c r="CM17" s="503"/>
      <c r="CN17" s="503"/>
      <c r="CO17" s="503"/>
      <c r="CP17" s="503"/>
      <c r="CQ17" s="503"/>
      <c r="CR17" s="504"/>
      <c r="CS17" s="504"/>
      <c r="CT17" s="504"/>
      <c r="CU17" s="503"/>
      <c r="CV17" s="503"/>
      <c r="CW17" s="503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39"/>
      <c r="EA17" s="339"/>
      <c r="EB17" s="340"/>
      <c r="EC17" s="340"/>
      <c r="ED17" s="340"/>
      <c r="EE17" s="339"/>
      <c r="EF17" s="339"/>
      <c r="EG17" s="339"/>
      <c r="EH17" s="339"/>
      <c r="EI17" s="339"/>
      <c r="EJ17" s="339"/>
      <c r="EK17" s="339"/>
      <c r="EL17" s="339"/>
      <c r="EM17" s="339"/>
      <c r="EN17" s="339"/>
      <c r="EO17" s="339"/>
      <c r="EP17" s="339"/>
      <c r="EQ17" s="339"/>
      <c r="ER17" s="339"/>
      <c r="ES17" s="339"/>
      <c r="ET17" s="339"/>
      <c r="EU17" s="339"/>
      <c r="EV17" s="339"/>
      <c r="EW17" s="339"/>
      <c r="EX17" s="339"/>
      <c r="EY17" s="339"/>
      <c r="EZ17" s="339"/>
      <c r="FA17" s="339"/>
      <c r="FB17" s="339"/>
      <c r="FC17" s="339"/>
      <c r="FD17" s="339"/>
      <c r="FE17" s="339"/>
      <c r="FF17" s="339"/>
      <c r="FG17" s="339"/>
      <c r="FH17" s="342"/>
      <c r="FI17" s="339"/>
      <c r="FJ17" s="339"/>
      <c r="FK17" s="339"/>
      <c r="FL17" s="339"/>
      <c r="FM17" s="339"/>
      <c r="FN17" s="339"/>
      <c r="FO17" s="339"/>
      <c r="FP17" s="339"/>
      <c r="FQ17" s="339"/>
      <c r="FR17" s="339"/>
      <c r="FS17" s="339"/>
      <c r="FT17" s="339"/>
      <c r="FU17" s="339"/>
      <c r="FV17" s="339"/>
      <c r="FW17" s="339"/>
      <c r="FX17" s="339"/>
      <c r="FY17" s="339"/>
      <c r="FZ17" s="339"/>
      <c r="GA17" s="339"/>
      <c r="GB17" s="339"/>
      <c r="GC17" s="339"/>
      <c r="GD17" s="339"/>
      <c r="GE17" s="339"/>
      <c r="GF17" s="339"/>
      <c r="GG17" s="339"/>
      <c r="GH17" s="339"/>
      <c r="GI17" s="339"/>
      <c r="GJ17" s="339"/>
      <c r="GK17" s="339"/>
      <c r="GL17" s="339"/>
      <c r="GM17" s="339"/>
      <c r="GN17" s="339"/>
      <c r="GO17" s="339"/>
      <c r="GP17" s="339"/>
      <c r="GQ17" s="339"/>
      <c r="GR17" s="339"/>
      <c r="GS17" s="339"/>
      <c r="GT17" s="339"/>
      <c r="GU17" s="339"/>
      <c r="GV17" s="339"/>
      <c r="GW17" s="339"/>
      <c r="GX17" s="339"/>
      <c r="GY17" s="339"/>
      <c r="GZ17" s="339"/>
      <c r="HA17" s="339"/>
      <c r="HB17" s="339"/>
      <c r="HC17" s="339"/>
      <c r="HD17" s="339"/>
      <c r="HE17" s="339"/>
      <c r="HF17" s="339"/>
      <c r="HG17" s="339"/>
      <c r="HH17" s="339"/>
      <c r="HI17" s="505"/>
      <c r="HJ17" s="339"/>
      <c r="HK17" s="339"/>
      <c r="HL17" s="339"/>
      <c r="HM17" s="339"/>
      <c r="HN17" s="339"/>
      <c r="HO17" s="339"/>
      <c r="HP17" s="339"/>
      <c r="HQ17" s="339"/>
      <c r="HR17" s="339"/>
      <c r="HS17" s="339"/>
      <c r="HT17" s="339"/>
      <c r="HU17" s="339"/>
      <c r="HV17" s="339"/>
      <c r="HW17" s="339"/>
      <c r="HX17" s="506"/>
      <c r="HY17" s="513"/>
      <c r="HZ17" s="339"/>
      <c r="IA17" s="339"/>
      <c r="IB17" s="339"/>
      <c r="IC17" s="339"/>
      <c r="ID17" s="339"/>
      <c r="IE17" s="339"/>
      <c r="IF17" s="339"/>
      <c r="IG17" s="339"/>
      <c r="IH17" s="339"/>
      <c r="II17" s="339"/>
      <c r="IJ17" s="505"/>
      <c r="IK17" s="339"/>
      <c r="IL17" s="339"/>
      <c r="IM17" s="339"/>
      <c r="IN17" s="339"/>
      <c r="IO17" s="339"/>
      <c r="IP17" s="339"/>
      <c r="IQ17" s="339"/>
      <c r="IR17" s="339"/>
      <c r="IS17" s="339"/>
      <c r="IT17" s="339"/>
      <c r="IU17" s="339"/>
      <c r="IV17" s="339"/>
      <c r="IW17" s="339"/>
      <c r="IX17" s="339"/>
      <c r="IY17" s="339"/>
      <c r="IZ17" s="342"/>
      <c r="JA17" s="339"/>
      <c r="JB17" s="339"/>
      <c r="JC17" s="339"/>
      <c r="JD17" s="339"/>
      <c r="JE17" s="339"/>
      <c r="JF17" s="339"/>
      <c r="JG17" s="339"/>
      <c r="JH17" s="339"/>
      <c r="JI17" s="339"/>
      <c r="JJ17" s="339"/>
      <c r="JK17" s="339"/>
      <c r="JL17" s="339"/>
      <c r="JM17" s="339"/>
      <c r="JN17" s="339"/>
      <c r="JO17" s="339"/>
      <c r="JP17" s="339"/>
      <c r="JQ17" s="339"/>
      <c r="JR17" s="339"/>
      <c r="JS17" s="339"/>
      <c r="JT17" s="342"/>
      <c r="JU17" s="342"/>
      <c r="JV17" s="339"/>
      <c r="JW17" s="339"/>
      <c r="JX17" s="339"/>
      <c r="JY17" s="339"/>
      <c r="JZ17" s="339"/>
      <c r="KA17" s="339"/>
      <c r="KB17" s="339"/>
      <c r="KC17" s="339"/>
      <c r="KD17" s="339"/>
      <c r="KE17" s="339"/>
      <c r="KF17" s="339"/>
      <c r="KG17" s="339"/>
      <c r="KH17" s="339"/>
      <c r="KI17" s="339"/>
      <c r="KJ17" s="339"/>
      <c r="KK17" s="339"/>
      <c r="KL17" s="339"/>
      <c r="KM17" s="339"/>
      <c r="KN17" s="339"/>
      <c r="KO17" s="339"/>
      <c r="KP17" s="339"/>
      <c r="KQ17" s="339"/>
      <c r="KR17" s="339"/>
      <c r="KS17" s="339"/>
      <c r="KT17" s="339"/>
      <c r="KU17" s="339"/>
      <c r="KV17" s="339"/>
      <c r="KW17" s="334"/>
      <c r="KX17" s="334"/>
      <c r="KY17" s="334"/>
      <c r="KZ17" s="334"/>
      <c r="LA17" s="334"/>
      <c r="LB17" s="334"/>
      <c r="LC17" s="334"/>
      <c r="LD17" s="334"/>
      <c r="LE17" s="334"/>
      <c r="LF17" s="334"/>
      <c r="LG17" s="334"/>
      <c r="LH17" s="334"/>
      <c r="LI17" s="334"/>
      <c r="LJ17" s="334"/>
      <c r="LK17" s="334"/>
      <c r="LL17" s="334"/>
      <c r="LM17" s="334"/>
      <c r="LN17" s="334"/>
      <c r="LO17" s="334"/>
      <c r="LP17" s="334"/>
      <c r="LQ17" s="334"/>
      <c r="LR17" s="334">
        <v>148.02600000000001</v>
      </c>
      <c r="LS17" s="334">
        <v>11.4375</v>
      </c>
      <c r="LT17" s="334">
        <v>0.2</v>
      </c>
      <c r="LU17" s="334">
        <v>148.02600000000001</v>
      </c>
      <c r="LV17" s="334">
        <v>11.188000000000001</v>
      </c>
      <c r="LW17" s="334">
        <v>0.2</v>
      </c>
      <c r="LX17" s="334">
        <v>148.03200000000001</v>
      </c>
      <c r="LY17" s="334">
        <v>10.125</v>
      </c>
      <c r="LZ17" s="334">
        <v>0.2</v>
      </c>
      <c r="MA17" s="334">
        <v>148.03200000000001</v>
      </c>
      <c r="MB17" s="334">
        <v>10.75</v>
      </c>
      <c r="MC17" s="334">
        <v>0.2</v>
      </c>
      <c r="MD17" s="334">
        <v>148.03200000000001</v>
      </c>
      <c r="ME17" s="334">
        <v>9.125</v>
      </c>
      <c r="MF17" s="334">
        <v>0.2</v>
      </c>
      <c r="MG17" s="334">
        <v>148.03200000000001</v>
      </c>
      <c r="MH17" s="334">
        <v>7.5</v>
      </c>
      <c r="MI17" s="334">
        <v>0.2</v>
      </c>
      <c r="MJ17" s="334">
        <v>148.03200000000001</v>
      </c>
      <c r="MK17" s="334">
        <v>8</v>
      </c>
      <c r="ML17" s="334">
        <v>0.2</v>
      </c>
      <c r="MM17" s="334">
        <v>148.03200000000001</v>
      </c>
      <c r="MN17" s="334">
        <v>8.875</v>
      </c>
      <c r="MO17" s="334">
        <v>0.2</v>
      </c>
      <c r="MP17" s="334">
        <v>148.03200000000001</v>
      </c>
      <c r="MQ17" s="334">
        <v>10.875</v>
      </c>
      <c r="MR17" s="334">
        <v>0.2</v>
      </c>
      <c r="MS17" s="334">
        <v>148.03200000000001</v>
      </c>
      <c r="MT17" s="334">
        <v>9.625</v>
      </c>
      <c r="MU17" s="334">
        <v>0.2</v>
      </c>
      <c r="MV17" s="334">
        <v>148.03200000000001</v>
      </c>
      <c r="MW17" s="334">
        <v>8.875</v>
      </c>
      <c r="MX17" s="334">
        <v>0.2</v>
      </c>
      <c r="MY17" s="334">
        <v>147.78</v>
      </c>
      <c r="MZ17" s="334">
        <v>8.875</v>
      </c>
      <c r="NA17" s="334">
        <v>0.2</v>
      </c>
      <c r="NB17" s="334">
        <v>147.78</v>
      </c>
      <c r="NC17" s="334">
        <v>9.25</v>
      </c>
      <c r="ND17" s="334">
        <v>0.2</v>
      </c>
      <c r="NE17" s="334">
        <v>147.67400000000001</v>
      </c>
      <c r="NF17" s="334">
        <v>10.125</v>
      </c>
      <c r="NG17" s="334">
        <v>0.2</v>
      </c>
      <c r="NH17" s="334">
        <v>145.34700000000001</v>
      </c>
      <c r="NI17" s="334">
        <v>11</v>
      </c>
      <c r="NJ17" s="334">
        <v>0.2</v>
      </c>
      <c r="NK17" s="334">
        <v>145.34700000000001</v>
      </c>
      <c r="NL17" s="334">
        <v>13.25</v>
      </c>
      <c r="NM17" s="334">
        <v>0.4</v>
      </c>
      <c r="NN17" s="334">
        <v>145.34700000000001</v>
      </c>
      <c r="NO17" s="334">
        <v>17.875</v>
      </c>
      <c r="NP17" s="334">
        <v>0.4</v>
      </c>
      <c r="NQ17" s="334">
        <v>144.36099999999999</v>
      </c>
      <c r="NR17" s="334">
        <v>18.375</v>
      </c>
      <c r="NS17" s="334">
        <v>0.4</v>
      </c>
      <c r="NT17" s="334">
        <v>143.364</v>
      </c>
      <c r="NU17" s="334">
        <v>19.75</v>
      </c>
      <c r="NV17" s="334">
        <v>0.4</v>
      </c>
      <c r="NW17" s="334">
        <v>141.43199999999999</v>
      </c>
      <c r="NX17" s="334">
        <v>19.88</v>
      </c>
      <c r="NY17" s="334">
        <v>0.4</v>
      </c>
      <c r="NZ17" s="334">
        <v>141.43199999999999</v>
      </c>
      <c r="OA17" s="334">
        <v>17.5</v>
      </c>
      <c r="OB17" s="334">
        <v>0.4</v>
      </c>
      <c r="OC17" s="334">
        <v>141.125</v>
      </c>
      <c r="OD17" s="334">
        <v>17</v>
      </c>
      <c r="OE17" s="334">
        <v>0.4</v>
      </c>
      <c r="OF17" s="334">
        <v>140.64099999999999</v>
      </c>
      <c r="OG17" s="334">
        <v>18.25</v>
      </c>
      <c r="OH17" s="334">
        <v>0.4</v>
      </c>
      <c r="OI17" s="334">
        <v>139.10400000000001</v>
      </c>
      <c r="OJ17" s="334">
        <v>19.88</v>
      </c>
      <c r="OK17" s="334">
        <v>0.4</v>
      </c>
      <c r="OL17" s="334">
        <v>138.87200000000001</v>
      </c>
      <c r="OM17" s="334">
        <v>18.25</v>
      </c>
      <c r="ON17" s="334">
        <v>0.4</v>
      </c>
      <c r="OO17" s="334">
        <v>138.67599999999999</v>
      </c>
      <c r="OP17" s="334">
        <v>16.38</v>
      </c>
      <c r="OQ17" s="334">
        <v>0.4</v>
      </c>
      <c r="OR17" s="334">
        <v>138.404</v>
      </c>
      <c r="OS17" s="334">
        <v>19.88</v>
      </c>
      <c r="OT17" s="334">
        <v>0.4</v>
      </c>
      <c r="OU17" s="334">
        <v>138.88499999999999</v>
      </c>
      <c r="OV17" s="334">
        <v>18</v>
      </c>
    </row>
    <row r="18" spans="1:412">
      <c r="B18" s="333" t="s">
        <v>229</v>
      </c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503"/>
      <c r="AZ18" s="503"/>
      <c r="BA18" s="503"/>
      <c r="BB18" s="503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4"/>
      <c r="BR18" s="504"/>
      <c r="BS18" s="504"/>
      <c r="BT18" s="504"/>
      <c r="BU18" s="504"/>
      <c r="BV18" s="504"/>
      <c r="BW18" s="504"/>
      <c r="BX18" s="504"/>
      <c r="BY18" s="504"/>
      <c r="BZ18" s="503"/>
      <c r="CA18" s="503"/>
      <c r="CB18" s="503"/>
      <c r="CC18" s="503"/>
      <c r="CD18" s="503"/>
      <c r="CE18" s="503"/>
      <c r="CF18" s="503"/>
      <c r="CG18" s="503"/>
      <c r="CH18" s="503"/>
      <c r="CI18" s="503"/>
      <c r="CJ18" s="503"/>
      <c r="CK18" s="503"/>
      <c r="CL18" s="503"/>
      <c r="CM18" s="503"/>
      <c r="CN18" s="503"/>
      <c r="CO18" s="503"/>
      <c r="CP18" s="503"/>
      <c r="CQ18" s="503"/>
      <c r="CR18" s="504"/>
      <c r="CS18" s="504"/>
      <c r="CT18" s="504"/>
      <c r="CU18" s="503"/>
      <c r="CV18" s="503"/>
      <c r="CW18" s="503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39"/>
      <c r="EA18" s="339"/>
      <c r="EB18" s="340"/>
      <c r="EC18" s="340"/>
      <c r="ED18" s="340"/>
      <c r="EE18" s="339"/>
      <c r="EF18" s="339"/>
      <c r="EG18" s="339"/>
      <c r="EH18" s="339"/>
      <c r="EI18" s="339"/>
      <c r="EJ18" s="339"/>
      <c r="EK18" s="339"/>
      <c r="EL18" s="339"/>
      <c r="EM18" s="339"/>
      <c r="EN18" s="339"/>
      <c r="EO18" s="339"/>
      <c r="EP18" s="339"/>
      <c r="EQ18" s="339"/>
      <c r="ER18" s="339"/>
      <c r="ES18" s="339"/>
      <c r="ET18" s="339"/>
      <c r="EU18" s="339"/>
      <c r="EV18" s="339"/>
      <c r="EW18" s="339"/>
      <c r="EX18" s="339"/>
      <c r="EY18" s="339"/>
      <c r="EZ18" s="339"/>
      <c r="FA18" s="339"/>
      <c r="FB18" s="339"/>
      <c r="FC18" s="339"/>
      <c r="FD18" s="339"/>
      <c r="FE18" s="339"/>
      <c r="FF18" s="339"/>
      <c r="FG18" s="339"/>
      <c r="FH18" s="342"/>
      <c r="FI18" s="339"/>
      <c r="FJ18" s="339"/>
      <c r="FK18" s="339"/>
      <c r="FL18" s="339"/>
      <c r="FM18" s="339"/>
      <c r="FN18" s="339"/>
      <c r="FO18" s="339"/>
      <c r="FP18" s="339"/>
      <c r="FQ18" s="339"/>
      <c r="FR18" s="339"/>
      <c r="FS18" s="339"/>
      <c r="FT18" s="339"/>
      <c r="FU18" s="339"/>
      <c r="FV18" s="339"/>
      <c r="FW18" s="339"/>
      <c r="FX18" s="339"/>
      <c r="FY18" s="339"/>
      <c r="FZ18" s="339"/>
      <c r="GA18" s="339"/>
      <c r="GB18" s="339"/>
      <c r="GC18" s="339"/>
      <c r="GD18" s="339"/>
      <c r="GE18" s="339"/>
      <c r="GF18" s="339"/>
      <c r="GG18" s="339"/>
      <c r="GH18" s="339"/>
      <c r="GI18" s="339"/>
      <c r="GJ18" s="339"/>
      <c r="GK18" s="339"/>
      <c r="GL18" s="339"/>
      <c r="GM18" s="339"/>
      <c r="GN18" s="339"/>
      <c r="GO18" s="339"/>
      <c r="GP18" s="339"/>
      <c r="GQ18" s="339"/>
      <c r="GR18" s="339"/>
      <c r="GS18" s="339"/>
      <c r="GT18" s="339"/>
      <c r="GU18" s="339"/>
      <c r="GV18" s="339"/>
      <c r="GW18" s="339"/>
      <c r="GX18" s="339"/>
      <c r="GY18" s="339"/>
      <c r="GZ18" s="339"/>
      <c r="HA18" s="339"/>
      <c r="HB18" s="339"/>
      <c r="HC18" s="339"/>
      <c r="HD18" s="339"/>
      <c r="HE18" s="339"/>
      <c r="HF18" s="339"/>
      <c r="HG18" s="339"/>
      <c r="HH18" s="339"/>
      <c r="HI18" s="505"/>
      <c r="HJ18" s="339"/>
      <c r="HK18" s="339"/>
      <c r="HL18" s="339"/>
      <c r="HM18" s="339"/>
      <c r="HN18" s="339"/>
      <c r="HO18" s="339"/>
      <c r="HP18" s="339"/>
      <c r="HQ18" s="339"/>
      <c r="HR18" s="339"/>
      <c r="HS18" s="339"/>
      <c r="HT18" s="339"/>
      <c r="HU18" s="339"/>
      <c r="HV18" s="339"/>
      <c r="HW18" s="339"/>
      <c r="HX18" s="506"/>
      <c r="HY18" s="513"/>
      <c r="HZ18" s="339"/>
      <c r="IA18" s="339"/>
      <c r="IB18" s="339"/>
      <c r="IC18" s="339"/>
      <c r="ID18" s="339"/>
      <c r="IE18" s="339"/>
      <c r="IF18" s="339"/>
      <c r="IG18" s="339"/>
      <c r="IH18" s="339"/>
      <c r="II18" s="339"/>
      <c r="IJ18" s="505"/>
      <c r="IK18" s="339"/>
      <c r="IL18" s="339"/>
      <c r="IM18" s="339"/>
      <c r="IN18" s="339"/>
      <c r="IO18" s="339"/>
      <c r="IP18" s="339"/>
      <c r="IQ18" s="339"/>
      <c r="IR18" s="339"/>
      <c r="IS18" s="339"/>
      <c r="IT18" s="339"/>
      <c r="IU18" s="339"/>
      <c r="IV18" s="339"/>
      <c r="IW18" s="339"/>
      <c r="IX18" s="339"/>
      <c r="IY18" s="339"/>
      <c r="IZ18" s="342"/>
      <c r="JA18" s="339"/>
      <c r="JB18" s="339"/>
      <c r="JC18" s="339"/>
      <c r="JD18" s="339"/>
      <c r="JE18" s="339"/>
      <c r="JF18" s="339"/>
      <c r="JG18" s="339"/>
      <c r="JH18" s="339"/>
      <c r="JI18" s="339"/>
      <c r="JJ18" s="339"/>
      <c r="JK18" s="339"/>
      <c r="JL18" s="339"/>
      <c r="JM18" s="339"/>
      <c r="JN18" s="339"/>
      <c r="JO18" s="339"/>
      <c r="JP18" s="339"/>
      <c r="JQ18" s="339"/>
      <c r="JR18" s="339"/>
      <c r="JS18" s="339"/>
      <c r="JT18" s="342"/>
      <c r="JU18" s="342"/>
      <c r="JV18" s="339"/>
      <c r="JW18" s="339"/>
      <c r="JX18" s="339"/>
      <c r="JY18" s="339"/>
      <c r="JZ18" s="339"/>
      <c r="KA18" s="339"/>
      <c r="KB18" s="339"/>
      <c r="KC18" s="339"/>
      <c r="KD18" s="339"/>
      <c r="KE18" s="339"/>
      <c r="KF18" s="339"/>
      <c r="KG18" s="339"/>
      <c r="KH18" s="339"/>
      <c r="KI18" s="339"/>
      <c r="KJ18" s="339"/>
      <c r="KK18" s="339"/>
      <c r="KL18" s="339"/>
      <c r="KM18" s="339"/>
      <c r="KN18" s="339">
        <v>212.6</v>
      </c>
      <c r="KO18" s="339">
        <v>17.125</v>
      </c>
      <c r="KP18" s="339">
        <v>0.435</v>
      </c>
      <c r="KQ18" s="339">
        <v>212.6</v>
      </c>
      <c r="KR18" s="339">
        <v>20</v>
      </c>
      <c r="KS18" s="339">
        <v>0.435</v>
      </c>
      <c r="KT18" s="339">
        <v>212.6</v>
      </c>
      <c r="KU18" s="339">
        <v>21.125</v>
      </c>
      <c r="KV18" s="339">
        <v>0.435</v>
      </c>
      <c r="KW18" s="334">
        <v>212.4</v>
      </c>
      <c r="KX18" s="334">
        <v>23.375</v>
      </c>
      <c r="KY18" s="334">
        <v>0.435</v>
      </c>
      <c r="KZ18" s="334">
        <v>212.5</v>
      </c>
      <c r="LA18" s="334">
        <v>23.4375</v>
      </c>
      <c r="LB18" s="334">
        <v>0.435</v>
      </c>
      <c r="LC18" s="334">
        <v>212.5</v>
      </c>
      <c r="LD18" s="334">
        <v>27.437999999999999</v>
      </c>
      <c r="LE18" s="334">
        <v>0.435</v>
      </c>
      <c r="LF18" s="334">
        <v>212.3</v>
      </c>
      <c r="LG18" s="334">
        <v>28.625</v>
      </c>
      <c r="LH18" s="334">
        <v>0.435</v>
      </c>
      <c r="LI18" s="334">
        <v>212.3</v>
      </c>
      <c r="LJ18" s="334">
        <v>26.875</v>
      </c>
      <c r="LK18" s="334">
        <v>0.435</v>
      </c>
      <c r="LL18" s="334">
        <v>212.2</v>
      </c>
      <c r="LM18" s="334">
        <v>26.75</v>
      </c>
      <c r="LN18" s="334">
        <v>0.435</v>
      </c>
      <c r="LO18" s="334">
        <v>212.2</v>
      </c>
      <c r="LP18" s="334">
        <v>27.0625</v>
      </c>
      <c r="LQ18" s="334">
        <v>0.435</v>
      </c>
      <c r="LR18" s="334">
        <v>211.8</v>
      </c>
      <c r="LS18" s="334">
        <v>22.1875</v>
      </c>
      <c r="LT18" s="334">
        <v>0.435</v>
      </c>
      <c r="LU18" s="334">
        <v>211.8</v>
      </c>
      <c r="LV18" s="334">
        <v>21.25</v>
      </c>
      <c r="LW18" s="334">
        <v>0.435</v>
      </c>
      <c r="LX18" s="334">
        <v>210.3</v>
      </c>
      <c r="LY18" s="334">
        <v>21.375</v>
      </c>
      <c r="LZ18" s="334">
        <v>0.435</v>
      </c>
      <c r="MA18" s="334">
        <v>210.3</v>
      </c>
      <c r="MB18" s="334">
        <v>25.625</v>
      </c>
      <c r="MC18" s="334">
        <v>0.435</v>
      </c>
      <c r="MD18" s="334">
        <v>191.9</v>
      </c>
      <c r="ME18" s="334">
        <v>26</v>
      </c>
      <c r="MF18" s="334">
        <v>0.435</v>
      </c>
      <c r="MG18" s="334">
        <v>191.9</v>
      </c>
      <c r="MH18" s="334">
        <v>28.875</v>
      </c>
      <c r="MI18" s="334">
        <v>0.435</v>
      </c>
      <c r="MJ18" s="334">
        <v>191.9</v>
      </c>
      <c r="MK18" s="334">
        <v>28.5</v>
      </c>
      <c r="ML18" s="334">
        <v>0.43</v>
      </c>
      <c r="MM18" s="334">
        <v>191.9</v>
      </c>
      <c r="MN18" s="334">
        <v>27.875</v>
      </c>
      <c r="MO18" s="334">
        <v>0.43</v>
      </c>
      <c r="MP18" s="334">
        <v>189.6</v>
      </c>
      <c r="MQ18" s="334">
        <v>25.5</v>
      </c>
      <c r="MR18" s="334">
        <v>0.43</v>
      </c>
      <c r="MS18" s="334">
        <v>189.6</v>
      </c>
      <c r="MT18" s="334">
        <v>26.25</v>
      </c>
      <c r="MU18" s="334">
        <v>0.43</v>
      </c>
      <c r="MV18" s="334">
        <v>189.6</v>
      </c>
      <c r="MW18" s="334">
        <v>24.25</v>
      </c>
      <c r="MX18" s="334">
        <v>0.42499999999999999</v>
      </c>
      <c r="MY18" s="334">
        <v>189.6</v>
      </c>
      <c r="MZ18" s="334">
        <v>22.625</v>
      </c>
      <c r="NA18" s="334">
        <v>0.42499999999999999</v>
      </c>
      <c r="NB18" s="334">
        <v>189.6</v>
      </c>
      <c r="NC18" s="334">
        <v>22.25</v>
      </c>
      <c r="ND18" s="334">
        <v>0.42499999999999999</v>
      </c>
      <c r="NE18" s="334">
        <v>189</v>
      </c>
      <c r="NF18" s="334">
        <v>21.25</v>
      </c>
      <c r="NG18" s="334">
        <v>0.42499999999999999</v>
      </c>
      <c r="NH18" s="334">
        <v>188.4</v>
      </c>
      <c r="NI18" s="334">
        <v>24.75</v>
      </c>
      <c r="NJ18" s="334">
        <v>0.42499999999999999</v>
      </c>
      <c r="NK18" s="334">
        <v>188.4</v>
      </c>
      <c r="NL18" s="334">
        <v>30.25</v>
      </c>
      <c r="NM18" s="334">
        <v>0.40500000000000003</v>
      </c>
      <c r="NN18" s="334">
        <v>188.4</v>
      </c>
      <c r="NO18" s="334">
        <v>32.875</v>
      </c>
      <c r="NP18" s="334">
        <v>0.40500000000000003</v>
      </c>
      <c r="NQ18" s="334">
        <v>188.4</v>
      </c>
      <c r="NR18" s="334">
        <v>32.5</v>
      </c>
      <c r="NS18" s="334">
        <v>0.40500000000000003</v>
      </c>
      <c r="NT18" s="334">
        <v>188.3</v>
      </c>
      <c r="NU18" s="334">
        <v>32.375</v>
      </c>
      <c r="NV18" s="334">
        <v>0.40500000000000003</v>
      </c>
      <c r="NW18" s="334">
        <v>188.3</v>
      </c>
      <c r="NX18" s="334">
        <v>29.13</v>
      </c>
      <c r="NY18" s="334">
        <v>0.39</v>
      </c>
      <c r="NZ18" s="334">
        <v>188.3</v>
      </c>
      <c r="OA18" s="334">
        <v>29.13</v>
      </c>
      <c r="OB18" s="334">
        <v>0.39</v>
      </c>
      <c r="OC18" s="334">
        <v>188.3</v>
      </c>
      <c r="OD18" s="334">
        <v>28.25</v>
      </c>
      <c r="OE18" s="334">
        <v>0.39</v>
      </c>
      <c r="OF18" s="334">
        <v>188.3</v>
      </c>
      <c r="OG18" s="334">
        <v>25.25</v>
      </c>
      <c r="OH18" s="334">
        <v>0.39</v>
      </c>
      <c r="OI18" s="334">
        <v>188.2</v>
      </c>
      <c r="OJ18" s="334">
        <v>27</v>
      </c>
      <c r="OK18" s="334">
        <v>0.37</v>
      </c>
      <c r="OL18" s="334">
        <v>188.2</v>
      </c>
      <c r="OM18" s="334">
        <v>24.88</v>
      </c>
      <c r="ON18" s="334">
        <v>0.37</v>
      </c>
      <c r="OO18" s="334">
        <v>188.2</v>
      </c>
      <c r="OP18" s="334">
        <v>22.5</v>
      </c>
      <c r="OQ18" s="334">
        <v>0.37</v>
      </c>
      <c r="OR18" s="334">
        <v>188.2</v>
      </c>
      <c r="OS18" s="334">
        <v>22.56</v>
      </c>
      <c r="OT18" s="334">
        <v>0.37</v>
      </c>
      <c r="OU18" s="334">
        <v>188.2</v>
      </c>
      <c r="OV18" s="334">
        <v>22</v>
      </c>
    </row>
    <row r="19" spans="1:412">
      <c r="A19" s="294" t="s">
        <v>41</v>
      </c>
      <c r="B19" s="333" t="s">
        <v>116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503"/>
      <c r="AZ19" s="503"/>
      <c r="BA19" s="503"/>
      <c r="BB19" s="503"/>
      <c r="BC19" s="503"/>
      <c r="BD19" s="503"/>
      <c r="BE19" s="503"/>
      <c r="BF19" s="503"/>
      <c r="BG19" s="503"/>
      <c r="BH19" s="503"/>
      <c r="BI19" s="503"/>
      <c r="BJ19" s="503"/>
      <c r="BK19" s="503"/>
      <c r="BL19" s="503"/>
      <c r="BM19" s="503"/>
      <c r="BN19" s="503"/>
      <c r="BO19" s="503"/>
      <c r="BP19" s="503"/>
      <c r="BQ19" s="504"/>
      <c r="BR19" s="504"/>
      <c r="BS19" s="504"/>
      <c r="BT19" s="504"/>
      <c r="BU19" s="504"/>
      <c r="BV19" s="504"/>
      <c r="BW19" s="504"/>
      <c r="BX19" s="504"/>
      <c r="BY19" s="504"/>
      <c r="BZ19" s="503"/>
      <c r="CA19" s="503"/>
      <c r="CB19" s="503"/>
      <c r="CC19" s="503"/>
      <c r="CD19" s="503"/>
      <c r="CE19" s="503"/>
      <c r="CF19" s="503"/>
      <c r="CG19" s="503"/>
      <c r="CH19" s="503"/>
      <c r="CI19" s="503"/>
      <c r="CJ19" s="503"/>
      <c r="CK19" s="503"/>
      <c r="CL19" s="503"/>
      <c r="CM19" s="503"/>
      <c r="CN19" s="503"/>
      <c r="CO19" s="503"/>
      <c r="CP19" s="503"/>
      <c r="CQ19" s="503"/>
      <c r="CR19" s="504"/>
      <c r="CS19" s="504"/>
      <c r="CT19" s="504"/>
      <c r="CU19" s="503"/>
      <c r="CV19" s="503"/>
      <c r="CW19" s="503"/>
      <c r="CX19" s="339"/>
      <c r="CY19" s="339"/>
      <c r="CZ19" s="339"/>
      <c r="DA19" s="516"/>
      <c r="DB19" s="516"/>
      <c r="DC19" s="516"/>
      <c r="DD19" s="340">
        <v>60.528489</v>
      </c>
      <c r="DE19" s="339">
        <v>55.21</v>
      </c>
      <c r="DF19" s="339">
        <v>0.4</v>
      </c>
      <c r="DG19" s="339">
        <v>60.481583999999998</v>
      </c>
      <c r="DH19" s="339">
        <v>52.21</v>
      </c>
      <c r="DI19" s="339">
        <v>0.4</v>
      </c>
      <c r="DJ19" s="339">
        <v>60.480683999999997</v>
      </c>
      <c r="DK19" s="339">
        <v>53.24</v>
      </c>
      <c r="DL19" s="339">
        <v>0.4</v>
      </c>
      <c r="DM19" s="339">
        <v>64.463693000000006</v>
      </c>
      <c r="DN19" s="339">
        <v>53.85</v>
      </c>
      <c r="DO19" s="339">
        <v>0.4</v>
      </c>
      <c r="DP19" s="340">
        <v>60.388615999999999</v>
      </c>
      <c r="DQ19" s="340">
        <v>54.52</v>
      </c>
      <c r="DR19" s="340">
        <v>0.4</v>
      </c>
      <c r="DS19" s="339">
        <v>60.372568999999999</v>
      </c>
      <c r="DT19" s="339">
        <v>54.54</v>
      </c>
      <c r="DU19" s="339">
        <v>0.4</v>
      </c>
      <c r="DV19" s="339">
        <v>60.359949</v>
      </c>
      <c r="DW19" s="339">
        <v>48.15</v>
      </c>
      <c r="DX19" s="339">
        <v>0.4</v>
      </c>
      <c r="DY19" s="339">
        <v>60.472968999999999</v>
      </c>
      <c r="DZ19" s="339">
        <v>58.95</v>
      </c>
      <c r="EA19" s="510">
        <v>0.4</v>
      </c>
      <c r="EB19" s="340">
        <v>60.434510000000003</v>
      </c>
      <c r="EC19" s="340">
        <v>50.58</v>
      </c>
      <c r="ED19" s="340">
        <v>0.36249999999999999</v>
      </c>
      <c r="EE19" s="339">
        <v>60.450384</v>
      </c>
      <c r="EF19" s="339">
        <v>46.62</v>
      </c>
      <c r="EG19" s="339">
        <v>0.36249999999999999</v>
      </c>
      <c r="EH19" s="339">
        <v>60.445616999999999</v>
      </c>
      <c r="EI19" s="339">
        <v>44.84</v>
      </c>
      <c r="EJ19" s="339">
        <v>0.36249999999999999</v>
      </c>
      <c r="EK19" s="339">
        <v>60.399697000000003</v>
      </c>
      <c r="EL19" s="339">
        <v>46.43</v>
      </c>
      <c r="EM19" s="510">
        <v>0.36249999999999999</v>
      </c>
      <c r="EN19" s="340">
        <v>60.370587999999998</v>
      </c>
      <c r="EO19" s="340">
        <v>47.03</v>
      </c>
      <c r="EP19" s="340">
        <v>0.33750000000000002</v>
      </c>
      <c r="EQ19" s="339">
        <v>60.346476000000003</v>
      </c>
      <c r="ER19" s="339">
        <v>40.01</v>
      </c>
      <c r="ES19" s="339">
        <v>0.33750000000000002</v>
      </c>
      <c r="ET19" s="339">
        <v>60.421028</v>
      </c>
      <c r="EU19" s="339">
        <v>41.98</v>
      </c>
      <c r="EV19" s="510">
        <v>0.33750000000000002</v>
      </c>
      <c r="EW19" s="339">
        <v>60.372566999999997</v>
      </c>
      <c r="EX19" s="339">
        <v>41.85</v>
      </c>
      <c r="EY19" s="339">
        <v>0.3125</v>
      </c>
      <c r="EZ19" s="340">
        <v>60.48874</v>
      </c>
      <c r="FA19" s="340">
        <v>39.65</v>
      </c>
      <c r="FB19" s="340">
        <v>0.3125</v>
      </c>
      <c r="FC19" s="339">
        <v>60.467595000000003</v>
      </c>
      <c r="FD19" s="339">
        <v>38.1</v>
      </c>
      <c r="FE19" s="339">
        <v>0.3125</v>
      </c>
      <c r="FF19" s="339">
        <v>60.655538</v>
      </c>
      <c r="FG19" s="339">
        <v>34.14</v>
      </c>
      <c r="FH19" s="339">
        <v>0.28000000000000003</v>
      </c>
      <c r="FI19" s="339">
        <v>60.576003999999998</v>
      </c>
      <c r="FJ19" s="339">
        <v>34.85</v>
      </c>
      <c r="FK19" s="511">
        <v>0.28000000000000003</v>
      </c>
      <c r="FL19" s="339">
        <v>60.511691999999996</v>
      </c>
      <c r="FM19" s="339">
        <v>34.29</v>
      </c>
      <c r="FN19" s="339">
        <v>0.25</v>
      </c>
      <c r="FO19" s="339">
        <v>60.471183000000003</v>
      </c>
      <c r="FP19" s="339">
        <v>30.76</v>
      </c>
      <c r="FQ19" s="339">
        <v>0.25</v>
      </c>
      <c r="FR19" s="339">
        <v>60.431930000000001</v>
      </c>
      <c r="FS19" s="339">
        <v>29.62</v>
      </c>
      <c r="FT19" s="339">
        <v>0.25</v>
      </c>
      <c r="FU19" s="339">
        <v>60.326000000000001</v>
      </c>
      <c r="FV19" s="339">
        <v>26.41</v>
      </c>
      <c r="FW19" s="339">
        <v>0.25</v>
      </c>
      <c r="FX19" s="339">
        <v>60.254541000000003</v>
      </c>
      <c r="FY19" s="339">
        <v>26.55</v>
      </c>
      <c r="FZ19" s="339">
        <v>0.22500000000000001</v>
      </c>
      <c r="GA19" s="339">
        <v>60.234242999999999</v>
      </c>
      <c r="GB19" s="339">
        <v>27.33</v>
      </c>
      <c r="GC19" s="339">
        <v>0.22500000000000001</v>
      </c>
      <c r="GD19" s="339">
        <v>60.175528</v>
      </c>
      <c r="GE19" s="339">
        <v>25.08</v>
      </c>
      <c r="GF19" s="339">
        <v>0.22500000000000001</v>
      </c>
      <c r="GG19" s="339">
        <v>60.097900000000003</v>
      </c>
      <c r="GH19" s="339">
        <v>22.42</v>
      </c>
      <c r="GI19" s="339">
        <v>0.22500000000000001</v>
      </c>
      <c r="GJ19" s="339">
        <v>60.04</v>
      </c>
      <c r="GK19" s="339">
        <v>21.69</v>
      </c>
      <c r="GL19" s="339">
        <v>0.22500000000000001</v>
      </c>
      <c r="GM19" s="339">
        <v>60.031962</v>
      </c>
      <c r="GN19" s="339">
        <v>22.83</v>
      </c>
      <c r="GO19" s="339">
        <v>0.22500000000000001</v>
      </c>
      <c r="GP19" s="339">
        <v>59.998227</v>
      </c>
      <c r="GQ19" s="339">
        <v>25.25</v>
      </c>
      <c r="GR19" s="339">
        <v>0.22500000000000001</v>
      </c>
      <c r="GS19" s="339">
        <v>59.907896000000001</v>
      </c>
      <c r="GT19" s="339">
        <v>23.33</v>
      </c>
      <c r="GU19" s="339">
        <v>0.22500000000000001</v>
      </c>
      <c r="GV19" s="339">
        <v>58.976052000000003</v>
      </c>
      <c r="GW19" s="339">
        <v>22.18</v>
      </c>
      <c r="GX19" s="339">
        <v>0.22500000000000001</v>
      </c>
      <c r="GY19" s="339">
        <v>59.669691999999998</v>
      </c>
      <c r="GZ19" s="339">
        <v>27.8</v>
      </c>
      <c r="HA19" s="339">
        <v>0.22500000000000001</v>
      </c>
      <c r="HB19" s="339">
        <v>59.489725</v>
      </c>
      <c r="HC19" s="339">
        <v>25.27</v>
      </c>
      <c r="HD19" s="339">
        <v>0.22500000000000001</v>
      </c>
      <c r="HE19" s="339">
        <v>57.854737</v>
      </c>
      <c r="HF19" s="339">
        <v>24.5</v>
      </c>
      <c r="HG19" s="339">
        <v>0.22500000000000001</v>
      </c>
      <c r="HH19" s="339">
        <v>52.751021000000001</v>
      </c>
      <c r="HI19" s="505">
        <v>25.83</v>
      </c>
      <c r="HJ19" s="339">
        <v>0.22500000000000001</v>
      </c>
      <c r="HK19" s="339">
        <v>53.630493999999999</v>
      </c>
      <c r="HL19" s="339">
        <v>25.23</v>
      </c>
      <c r="HM19" s="339">
        <v>0.22500000000000001</v>
      </c>
      <c r="HN19" s="339">
        <v>50.053685000000002</v>
      </c>
      <c r="HO19" s="339">
        <v>25.24</v>
      </c>
      <c r="HP19" s="339">
        <v>0.22500000000000001</v>
      </c>
      <c r="HQ19" s="339">
        <v>49.851812000000002</v>
      </c>
      <c r="HR19" s="339">
        <v>23.25</v>
      </c>
      <c r="HS19" s="339">
        <v>0.22500000000000001</v>
      </c>
      <c r="HT19" s="339">
        <v>49.615707999999998</v>
      </c>
      <c r="HU19" s="339">
        <v>22.33</v>
      </c>
      <c r="HV19" s="339">
        <v>0.22500000000000001</v>
      </c>
      <c r="HW19" s="339">
        <v>49.548834999999997</v>
      </c>
      <c r="HX19" s="506">
        <v>20.85</v>
      </c>
      <c r="HY19" s="513">
        <f>0.9/4</f>
        <v>0.22500000000000001</v>
      </c>
      <c r="HZ19" s="339">
        <v>49.507159000000001</v>
      </c>
      <c r="IA19" s="339">
        <v>23.58</v>
      </c>
      <c r="IB19" s="339">
        <v>0.22500000000000001</v>
      </c>
      <c r="IC19" s="339">
        <v>49.292848999999997</v>
      </c>
      <c r="ID19" s="339">
        <v>21.57</v>
      </c>
      <c r="IE19" s="339">
        <v>0.22500000000000001</v>
      </c>
      <c r="IF19" s="339">
        <v>47.114330000000002</v>
      </c>
      <c r="IG19" s="339">
        <v>21.3</v>
      </c>
      <c r="IH19" s="339">
        <v>0.22500000000000001</v>
      </c>
      <c r="II19" s="339">
        <v>47.114330000000002</v>
      </c>
      <c r="IJ19" s="505">
        <v>20.260000000000002</v>
      </c>
      <c r="IK19" s="339">
        <v>0.22500000000000001</v>
      </c>
      <c r="IL19" s="339">
        <v>47.078622000000003</v>
      </c>
      <c r="IM19" s="339">
        <v>17.239999999999998</v>
      </c>
      <c r="IN19" s="339">
        <v>0.22500000000000001</v>
      </c>
      <c r="IO19" s="339">
        <v>46.916535000000003</v>
      </c>
      <c r="IP19" s="339">
        <v>17.98</v>
      </c>
      <c r="IQ19" s="339">
        <v>0.22500000000000001</v>
      </c>
      <c r="IR19" s="339">
        <v>47.239652</v>
      </c>
      <c r="IS19" s="339">
        <v>19.03</v>
      </c>
      <c r="IT19" s="339">
        <v>0.22500000000000001</v>
      </c>
      <c r="IU19" s="339">
        <v>47.239652</v>
      </c>
      <c r="IV19" s="339">
        <v>17.98</v>
      </c>
      <c r="IW19" s="339">
        <v>0.22500000000000001</v>
      </c>
      <c r="IX19" s="339">
        <v>47.225304000000001</v>
      </c>
      <c r="IY19" s="339">
        <v>16.34</v>
      </c>
      <c r="IZ19" s="339">
        <v>0.22500000000000001</v>
      </c>
      <c r="JA19" s="339">
        <v>47.068584000000001</v>
      </c>
      <c r="JB19" s="339">
        <v>17.32</v>
      </c>
      <c r="JC19" s="339">
        <v>0.22500000000000001</v>
      </c>
      <c r="JD19" s="339">
        <v>47.033461000000003</v>
      </c>
      <c r="JE19" s="339">
        <v>12.55</v>
      </c>
      <c r="JF19" s="339">
        <v>0.22500000000000001</v>
      </c>
      <c r="JG19" s="339">
        <v>47.033831999999997</v>
      </c>
      <c r="JH19" s="339">
        <v>14</v>
      </c>
      <c r="JI19" s="339">
        <v>0.22500000000000001</v>
      </c>
      <c r="JJ19" s="339">
        <v>46.025013999999999</v>
      </c>
      <c r="JK19" s="339">
        <v>13.47</v>
      </c>
      <c r="JL19" s="339">
        <v>0.22500000000000001</v>
      </c>
      <c r="JM19" s="339">
        <v>44.973466000000002</v>
      </c>
      <c r="JN19" s="339">
        <v>21.9</v>
      </c>
      <c r="JO19" s="339">
        <v>0.22500000000000001</v>
      </c>
      <c r="JP19" s="339">
        <v>44.978068999999998</v>
      </c>
      <c r="JQ19" s="339">
        <v>23.9</v>
      </c>
      <c r="JR19" s="339">
        <v>0.22</v>
      </c>
      <c r="JS19" s="339">
        <v>45.003999999999998</v>
      </c>
      <c r="JT19" s="339">
        <v>21.97</v>
      </c>
      <c r="JU19" s="339">
        <v>0.22</v>
      </c>
      <c r="JV19" s="339">
        <v>45.023000000000003</v>
      </c>
      <c r="JW19" s="339">
        <v>20.61</v>
      </c>
      <c r="JX19" s="339">
        <v>0.22</v>
      </c>
      <c r="JY19" s="339">
        <v>45.005800000000001</v>
      </c>
      <c r="JZ19" s="339">
        <v>22.75</v>
      </c>
      <c r="KA19" s="339">
        <v>0.2175</v>
      </c>
      <c r="KB19" s="339">
        <v>44.991</v>
      </c>
      <c r="KC19" s="339">
        <v>22.725000000000001</v>
      </c>
      <c r="KD19" s="339">
        <v>0.21249999999999999</v>
      </c>
      <c r="KE19" s="339">
        <v>44.975999999999999</v>
      </c>
      <c r="KF19" s="339">
        <v>27.375</v>
      </c>
      <c r="KG19" s="339">
        <v>0.21249999999999999</v>
      </c>
      <c r="KH19" s="339">
        <v>44.937800000000003</v>
      </c>
      <c r="KI19" s="339">
        <v>23.375</v>
      </c>
      <c r="KJ19" s="339">
        <v>0.21249999999999999</v>
      </c>
      <c r="KK19" s="339">
        <v>44.884</v>
      </c>
      <c r="KL19" s="339">
        <v>16.75</v>
      </c>
      <c r="KM19" s="339">
        <v>0.21249999999999999</v>
      </c>
      <c r="KN19" s="339">
        <v>44.954599999999999</v>
      </c>
      <c r="KO19" s="339">
        <v>16.625</v>
      </c>
      <c r="KP19" s="339">
        <v>0.20749999999999999</v>
      </c>
      <c r="KQ19" s="339">
        <v>45.010599999999997</v>
      </c>
      <c r="KR19" s="339">
        <v>16.03125</v>
      </c>
      <c r="KS19" s="339">
        <v>0.20749999999999999</v>
      </c>
      <c r="KT19" s="339">
        <v>45.062199999999997</v>
      </c>
      <c r="KU19" s="339">
        <v>16.21875</v>
      </c>
      <c r="KV19" s="339">
        <v>0.20749999999999999</v>
      </c>
      <c r="KW19" s="334">
        <v>44.96</v>
      </c>
      <c r="KX19" s="334">
        <v>15.1875</v>
      </c>
      <c r="KY19" s="334">
        <v>0.20749999999999999</v>
      </c>
      <c r="KZ19" s="334">
        <v>44.96</v>
      </c>
      <c r="LA19" s="334">
        <v>14.75</v>
      </c>
      <c r="LB19" s="334">
        <v>0.20250000000000001</v>
      </c>
      <c r="LC19" s="334">
        <v>44.96</v>
      </c>
      <c r="LD19" s="334">
        <v>17.156500000000001</v>
      </c>
      <c r="LE19" s="334">
        <v>0.20250000000000001</v>
      </c>
      <c r="LF19" s="334">
        <v>44.94</v>
      </c>
      <c r="LG19" s="334">
        <v>16.844000000000001</v>
      </c>
      <c r="LH19" s="334">
        <v>0.20250000000000001</v>
      </c>
      <c r="LI19" s="334">
        <v>44.94</v>
      </c>
      <c r="LJ19" s="334">
        <v>14.875</v>
      </c>
      <c r="LK19" s="334">
        <v>0.20250000000000001</v>
      </c>
      <c r="LL19" s="334">
        <v>44.94</v>
      </c>
      <c r="LM19" s="334">
        <v>17.125</v>
      </c>
      <c r="LN19" s="334">
        <v>0.19750000000000001</v>
      </c>
      <c r="LO19" s="334">
        <v>44.933999999999997</v>
      </c>
      <c r="LP19" s="334">
        <v>16.1875</v>
      </c>
      <c r="LQ19" s="334">
        <v>0.19750000000000001</v>
      </c>
      <c r="LR19" s="334">
        <v>44.926000000000002</v>
      </c>
      <c r="LS19" s="334">
        <v>13.78125</v>
      </c>
      <c r="LT19" s="334">
        <v>0.19750000000000001</v>
      </c>
      <c r="LU19" s="334">
        <v>44.926000000000002</v>
      </c>
      <c r="LV19" s="334">
        <v>14.0625</v>
      </c>
      <c r="LW19" s="334">
        <v>0.19750000000000001</v>
      </c>
      <c r="LX19" s="334">
        <v>44.841999999999999</v>
      </c>
      <c r="LY19" s="334">
        <v>13.125</v>
      </c>
      <c r="LZ19" s="334">
        <v>0.1925</v>
      </c>
      <c r="MA19" s="334">
        <v>44.841999999999999</v>
      </c>
      <c r="MB19" s="334">
        <v>13.8125</v>
      </c>
      <c r="MC19" s="334">
        <v>0.1925</v>
      </c>
      <c r="MD19" s="334">
        <v>44.841999999999999</v>
      </c>
      <c r="ME19" s="334">
        <v>13.0625</v>
      </c>
      <c r="MF19" s="334">
        <v>0.1925</v>
      </c>
      <c r="MG19" s="334">
        <v>44.841999999999999</v>
      </c>
      <c r="MH19" s="334">
        <v>13.3125</v>
      </c>
      <c r="MI19" s="334">
        <v>0.1925</v>
      </c>
      <c r="MJ19" s="334">
        <v>44.841999999999999</v>
      </c>
      <c r="MK19" s="334">
        <v>13.4375</v>
      </c>
      <c r="ML19" s="334">
        <v>0.1875</v>
      </c>
      <c r="MM19" s="334">
        <v>44.841999999999999</v>
      </c>
      <c r="MN19" s="334">
        <v>13.4375</v>
      </c>
      <c r="MO19" s="334">
        <v>0.1875</v>
      </c>
      <c r="MP19" s="334">
        <v>44.814</v>
      </c>
      <c r="MQ19" s="334">
        <v>12.8125</v>
      </c>
      <c r="MR19" s="334">
        <v>0.1875</v>
      </c>
      <c r="MS19" s="334">
        <v>44.814</v>
      </c>
      <c r="MT19" s="334">
        <v>11.75</v>
      </c>
      <c r="MU19" s="334">
        <v>0.1825</v>
      </c>
      <c r="MV19" s="334">
        <v>44.814</v>
      </c>
      <c r="MW19" s="334">
        <v>11.1875</v>
      </c>
      <c r="MX19" s="334">
        <v>0.1825</v>
      </c>
      <c r="MY19" s="334">
        <v>44.792000000000002</v>
      </c>
      <c r="MZ19" s="334">
        <v>11.59375</v>
      </c>
      <c r="NA19" s="334">
        <v>0.1825</v>
      </c>
      <c r="NB19" s="334">
        <v>44.792000000000002</v>
      </c>
      <c r="NC19" s="334">
        <v>11.1875</v>
      </c>
      <c r="ND19" s="334">
        <v>0.17749999999999999</v>
      </c>
      <c r="NE19" s="334">
        <v>44.792000000000002</v>
      </c>
      <c r="NF19" s="334">
        <v>11.75</v>
      </c>
      <c r="NG19" s="334">
        <v>0.17749999999999999</v>
      </c>
      <c r="NH19" s="334">
        <v>44.725999999999999</v>
      </c>
      <c r="NI19" s="334">
        <v>11.875</v>
      </c>
      <c r="NJ19" s="334">
        <v>0.17749999999999999</v>
      </c>
      <c r="NK19" s="334">
        <v>44.725999999999999</v>
      </c>
      <c r="NL19" s="334">
        <v>12.375</v>
      </c>
      <c r="NM19" s="334">
        <v>0.17749999999999999</v>
      </c>
      <c r="NN19" s="334">
        <v>44.725999999999999</v>
      </c>
      <c r="NO19" s="334">
        <v>13.1875</v>
      </c>
      <c r="NP19" s="334">
        <v>0.17749999999999999</v>
      </c>
      <c r="NQ19" s="334">
        <v>44690</v>
      </c>
      <c r="NR19" s="334">
        <v>13.0625</v>
      </c>
      <c r="NS19" s="334">
        <v>0.17749999999999999</v>
      </c>
      <c r="NT19" s="334">
        <v>44.64</v>
      </c>
      <c r="NU19" s="334">
        <v>12.6875</v>
      </c>
      <c r="NV19" s="334">
        <v>0.17249999999999999</v>
      </c>
      <c r="NW19" s="334">
        <v>44.543999999999997</v>
      </c>
      <c r="NX19" s="334">
        <v>12.065</v>
      </c>
      <c r="NY19" s="334">
        <v>0.17499999999999999</v>
      </c>
      <c r="NZ19" s="334">
        <v>44.543999999999997</v>
      </c>
      <c r="OA19" s="334">
        <v>12.125</v>
      </c>
      <c r="OB19" s="334">
        <v>0.17499999999999999</v>
      </c>
      <c r="OC19" s="334">
        <v>44.521999999999998</v>
      </c>
      <c r="OD19" s="334">
        <v>11.75</v>
      </c>
      <c r="OE19" s="334">
        <v>0.17499999999999999</v>
      </c>
      <c r="OF19" s="334">
        <v>44.5</v>
      </c>
      <c r="OG19" s="334">
        <v>11.72</v>
      </c>
      <c r="OH19" s="334">
        <v>0.17</v>
      </c>
      <c r="OI19" s="334">
        <v>44.723999999999997</v>
      </c>
      <c r="OJ19" s="334">
        <v>12.25</v>
      </c>
      <c r="OK19" s="334">
        <v>0.17</v>
      </c>
      <c r="OL19" s="334">
        <v>44.8</v>
      </c>
      <c r="OM19" s="334">
        <v>11.065</v>
      </c>
      <c r="ON19" s="334">
        <v>0.17</v>
      </c>
      <c r="OO19" s="334">
        <v>44.936</v>
      </c>
      <c r="OP19" s="334">
        <v>10</v>
      </c>
      <c r="OQ19" s="334">
        <v>0.17</v>
      </c>
      <c r="OR19" s="334">
        <v>45.015999999999998</v>
      </c>
      <c r="OS19" s="334">
        <v>9.5299999999999994</v>
      </c>
      <c r="OT19" s="334">
        <v>0.16</v>
      </c>
      <c r="OU19" s="334">
        <v>44.988</v>
      </c>
      <c r="OV19" s="334">
        <v>9.0299999999999994</v>
      </c>
    </row>
    <row r="20" spans="1:412">
      <c r="B20" s="333" t="s">
        <v>230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503"/>
      <c r="AZ20" s="503"/>
      <c r="BA20" s="503"/>
      <c r="BB20" s="503"/>
      <c r="BC20" s="503"/>
      <c r="BD20" s="503"/>
      <c r="BE20" s="503"/>
      <c r="BF20" s="503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4"/>
      <c r="BR20" s="504"/>
      <c r="BS20" s="504"/>
      <c r="BT20" s="504"/>
      <c r="BU20" s="504"/>
      <c r="BV20" s="504"/>
      <c r="BW20" s="504"/>
      <c r="BX20" s="504"/>
      <c r="BY20" s="504"/>
      <c r="BZ20" s="503"/>
      <c r="CA20" s="503"/>
      <c r="CB20" s="503"/>
      <c r="CC20" s="503"/>
      <c r="CD20" s="503"/>
      <c r="CE20" s="503"/>
      <c r="CF20" s="503"/>
      <c r="CG20" s="503"/>
      <c r="CH20" s="503"/>
      <c r="CI20" s="503"/>
      <c r="CJ20" s="503"/>
      <c r="CK20" s="503"/>
      <c r="CL20" s="503"/>
      <c r="CM20" s="503"/>
      <c r="CN20" s="503"/>
      <c r="CO20" s="503"/>
      <c r="CP20" s="503"/>
      <c r="CQ20" s="503"/>
      <c r="CR20" s="504"/>
      <c r="CS20" s="504"/>
      <c r="CT20" s="504"/>
      <c r="CU20" s="503"/>
      <c r="CV20" s="503"/>
      <c r="CW20" s="503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V20" s="339"/>
      <c r="DW20" s="339"/>
      <c r="DX20" s="339"/>
      <c r="DY20" s="339"/>
      <c r="DZ20" s="339"/>
      <c r="EA20" s="339"/>
      <c r="EB20" s="340"/>
      <c r="EC20" s="340"/>
      <c r="ED20" s="340"/>
      <c r="EE20" s="339"/>
      <c r="EF20" s="339"/>
      <c r="EG20" s="339"/>
      <c r="EH20" s="339"/>
      <c r="EI20" s="339"/>
      <c r="EJ20" s="339"/>
      <c r="EK20" s="339"/>
      <c r="EL20" s="339"/>
      <c r="EM20" s="339"/>
      <c r="EN20" s="339"/>
      <c r="EO20" s="339"/>
      <c r="EP20" s="339"/>
      <c r="EQ20" s="339"/>
      <c r="ER20" s="339"/>
      <c r="ES20" s="339"/>
      <c r="ET20" s="339"/>
      <c r="EU20" s="339"/>
      <c r="EV20" s="339"/>
      <c r="EW20" s="339"/>
      <c r="EX20" s="339"/>
      <c r="EY20" s="339"/>
      <c r="EZ20" s="339"/>
      <c r="FA20" s="339"/>
      <c r="FB20" s="339"/>
      <c r="FC20" s="339"/>
      <c r="FD20" s="339"/>
      <c r="FE20" s="339"/>
      <c r="FF20" s="339"/>
      <c r="FG20" s="339"/>
      <c r="FH20" s="342"/>
      <c r="FI20" s="339"/>
      <c r="FJ20" s="339"/>
      <c r="FK20" s="339"/>
      <c r="FL20" s="339"/>
      <c r="FM20" s="339"/>
      <c r="FN20" s="339"/>
      <c r="FO20" s="339"/>
      <c r="FP20" s="339"/>
      <c r="FQ20" s="339"/>
      <c r="FR20" s="339"/>
      <c r="FS20" s="339"/>
      <c r="FT20" s="339"/>
      <c r="FU20" s="339"/>
      <c r="FV20" s="339"/>
      <c r="FW20" s="339"/>
      <c r="FX20" s="339"/>
      <c r="FY20" s="339"/>
      <c r="FZ20" s="339"/>
      <c r="GA20" s="339"/>
      <c r="GB20" s="339"/>
      <c r="GC20" s="339"/>
      <c r="GD20" s="339"/>
      <c r="GE20" s="339"/>
      <c r="GF20" s="339"/>
      <c r="GG20" s="339"/>
      <c r="GH20" s="339"/>
      <c r="GI20" s="339"/>
      <c r="GJ20" s="339"/>
      <c r="GK20" s="339"/>
      <c r="GL20" s="339"/>
      <c r="GM20" s="339"/>
      <c r="GN20" s="339"/>
      <c r="GO20" s="339"/>
      <c r="GP20" s="339"/>
      <c r="GQ20" s="339"/>
      <c r="GR20" s="339"/>
      <c r="GS20" s="339"/>
      <c r="GT20" s="339"/>
      <c r="GU20" s="339"/>
      <c r="GV20" s="339"/>
      <c r="GW20" s="339"/>
      <c r="GX20" s="339"/>
      <c r="GY20" s="339"/>
      <c r="GZ20" s="339"/>
      <c r="HA20" s="339"/>
      <c r="HB20" s="339"/>
      <c r="HC20" s="339"/>
      <c r="HD20" s="339"/>
      <c r="HE20" s="339"/>
      <c r="HF20" s="339"/>
      <c r="HG20" s="339"/>
      <c r="HH20" s="339"/>
      <c r="HI20" s="505"/>
      <c r="HJ20" s="339"/>
      <c r="HK20" s="339"/>
      <c r="HL20" s="339"/>
      <c r="HM20" s="339"/>
      <c r="HN20" s="339"/>
      <c r="HO20" s="339"/>
      <c r="HP20" s="339"/>
      <c r="HQ20" s="339"/>
      <c r="HR20" s="339"/>
      <c r="HS20" s="339"/>
      <c r="HT20" s="339"/>
      <c r="HU20" s="339"/>
      <c r="HV20" s="339"/>
      <c r="HW20" s="339"/>
      <c r="HX20" s="506"/>
      <c r="HY20" s="513"/>
      <c r="HZ20" s="339"/>
      <c r="IA20" s="339"/>
      <c r="IB20" s="339"/>
      <c r="IC20" s="339"/>
      <c r="ID20" s="339"/>
      <c r="IE20" s="339"/>
      <c r="IF20" s="339"/>
      <c r="IG20" s="339"/>
      <c r="IH20" s="339"/>
      <c r="II20" s="339"/>
      <c r="IJ20" s="505"/>
      <c r="IK20" s="339"/>
      <c r="IL20" s="339"/>
      <c r="IM20" s="339"/>
      <c r="IN20" s="339"/>
      <c r="IO20" s="339"/>
      <c r="IP20" s="339"/>
      <c r="IQ20" s="339"/>
      <c r="IR20" s="339"/>
      <c r="IS20" s="339"/>
      <c r="IT20" s="339"/>
      <c r="IU20" s="339"/>
      <c r="IV20" s="339"/>
      <c r="IW20" s="339"/>
      <c r="IX20" s="339"/>
      <c r="IY20" s="339"/>
      <c r="IZ20" s="342"/>
      <c r="JA20" s="339"/>
      <c r="JB20" s="339"/>
      <c r="JC20" s="339"/>
      <c r="JD20" s="339"/>
      <c r="JE20" s="339"/>
      <c r="JF20" s="339"/>
      <c r="JG20" s="339"/>
      <c r="JH20" s="339"/>
      <c r="JI20" s="339"/>
      <c r="JJ20" s="339"/>
      <c r="JK20" s="339"/>
      <c r="JL20" s="339"/>
      <c r="JM20" s="339"/>
      <c r="JN20" s="339"/>
      <c r="JO20" s="339"/>
      <c r="JP20" s="339"/>
      <c r="JQ20" s="339"/>
      <c r="JR20" s="339"/>
      <c r="JS20" s="339"/>
      <c r="JT20" s="342"/>
      <c r="JU20" s="342"/>
      <c r="JV20" s="339"/>
      <c r="JW20" s="339"/>
      <c r="JX20" s="339"/>
      <c r="JY20" s="339"/>
      <c r="JZ20" s="339"/>
      <c r="KA20" s="339"/>
      <c r="KB20" s="339"/>
      <c r="KC20" s="339"/>
      <c r="KD20" s="339"/>
      <c r="KE20" s="339"/>
      <c r="KF20" s="339"/>
      <c r="KG20" s="339"/>
      <c r="KH20" s="339"/>
      <c r="KI20" s="339"/>
      <c r="KJ20" s="339"/>
      <c r="KK20" s="339">
        <v>32.442551999999999</v>
      </c>
      <c r="KL20" s="339">
        <v>29.3125</v>
      </c>
      <c r="KM20" s="339">
        <v>0.22500000000000001</v>
      </c>
      <c r="KN20" s="339">
        <v>32.442551999999999</v>
      </c>
      <c r="KO20" s="339">
        <v>29.125</v>
      </c>
      <c r="KP20" s="339">
        <v>0.22500000000000001</v>
      </c>
      <c r="KQ20" s="339">
        <v>32.442551999999999</v>
      </c>
      <c r="KR20" s="339">
        <v>27.5625</v>
      </c>
      <c r="KS20" s="339">
        <v>0.22500000000000001</v>
      </c>
      <c r="KT20" s="339">
        <v>32.442551999999999</v>
      </c>
      <c r="KU20" s="339">
        <v>26.375</v>
      </c>
      <c r="KV20" s="339">
        <v>0.22500000000000001</v>
      </c>
      <c r="KW20" s="334">
        <v>32.44</v>
      </c>
      <c r="KX20" s="334">
        <v>26.1875</v>
      </c>
      <c r="KY20" s="334">
        <v>0.22500000000000001</v>
      </c>
      <c r="KZ20" s="334">
        <v>32.44</v>
      </c>
      <c r="LA20" s="334">
        <v>18.375</v>
      </c>
      <c r="LB20" s="334">
        <v>0.22500000000000001</v>
      </c>
      <c r="LC20" s="334">
        <v>32.44</v>
      </c>
      <c r="LD20" s="334">
        <v>18.875</v>
      </c>
      <c r="LE20" s="334">
        <v>0.22500000000000001</v>
      </c>
      <c r="LF20" s="334">
        <v>32.44</v>
      </c>
      <c r="LG20" s="334">
        <v>18.562999999999999</v>
      </c>
      <c r="LH20" s="334">
        <v>0.22500000000000001</v>
      </c>
      <c r="LI20" s="334">
        <v>32.44</v>
      </c>
      <c r="LJ20" s="334">
        <v>19.5</v>
      </c>
      <c r="LK20" s="334">
        <v>0.22500000000000001</v>
      </c>
      <c r="LL20" s="334">
        <v>32.44</v>
      </c>
      <c r="LM20" s="334">
        <v>17.625</v>
      </c>
      <c r="LN20" s="334">
        <v>0.22500000000000001</v>
      </c>
      <c r="LO20" s="334">
        <v>32.442</v>
      </c>
      <c r="LP20" s="334">
        <v>15.25</v>
      </c>
      <c r="LQ20" s="334">
        <v>0.22500000000000001</v>
      </c>
      <c r="LR20" s="334">
        <v>32.442999999999998</v>
      </c>
      <c r="LS20" s="334">
        <v>13.0625</v>
      </c>
      <c r="LT20" s="334">
        <v>0.22500000000000001</v>
      </c>
      <c r="LU20" s="334">
        <v>32.442999999999998</v>
      </c>
      <c r="LV20" s="334">
        <v>12.375</v>
      </c>
      <c r="LW20" s="334">
        <v>0.22500000000000001</v>
      </c>
      <c r="LX20" s="334">
        <v>32.442999999999998</v>
      </c>
      <c r="LY20" s="334">
        <v>10.625</v>
      </c>
      <c r="LZ20" s="334">
        <v>0.22500000000000001</v>
      </c>
      <c r="MA20" s="334">
        <v>32.442999999999998</v>
      </c>
      <c r="MB20" s="334">
        <v>11.625</v>
      </c>
      <c r="MC20" s="334">
        <v>0.22500000000000001</v>
      </c>
      <c r="MD20" s="334">
        <v>32.442999999999998</v>
      </c>
      <c r="ME20" s="334">
        <v>12.25</v>
      </c>
      <c r="MF20" s="334">
        <v>0.22500000000000001</v>
      </c>
      <c r="MG20" s="334">
        <v>32.442999999999998</v>
      </c>
      <c r="MH20" s="334">
        <v>14.5</v>
      </c>
      <c r="MI20" s="334">
        <v>0.22500000000000001</v>
      </c>
      <c r="MJ20" s="334">
        <v>32.442999999999998</v>
      </c>
      <c r="MK20" s="334">
        <v>14.5</v>
      </c>
      <c r="ML20" s="334">
        <v>0.22500000000000001</v>
      </c>
      <c r="MM20" s="334">
        <v>32.442999999999998</v>
      </c>
      <c r="MN20" s="334">
        <v>14.375</v>
      </c>
      <c r="MO20" s="334">
        <v>0.22500000000000001</v>
      </c>
      <c r="MP20" s="334">
        <v>32.442999999999998</v>
      </c>
      <c r="MQ20" s="334">
        <v>13.125</v>
      </c>
      <c r="MR20" s="334">
        <v>0.22500000000000001</v>
      </c>
      <c r="MS20" s="334">
        <v>32.442999999999998</v>
      </c>
      <c r="MT20" s="334">
        <v>11.875</v>
      </c>
      <c r="MU20" s="334">
        <v>0.22500000000000001</v>
      </c>
      <c r="MV20" s="334">
        <v>32.442999999999998</v>
      </c>
      <c r="MW20" s="334">
        <v>11</v>
      </c>
      <c r="MX20" s="334">
        <v>0.22500000000000001</v>
      </c>
      <c r="MY20" s="334">
        <v>32.442</v>
      </c>
      <c r="MZ20" s="334">
        <v>13.5625</v>
      </c>
      <c r="NA20" s="334">
        <v>0.22500000000000001</v>
      </c>
      <c r="NB20" s="334">
        <v>32.442</v>
      </c>
      <c r="NC20" s="334">
        <v>11.25</v>
      </c>
      <c r="ND20" s="334">
        <v>0.22500000000000001</v>
      </c>
      <c r="NE20" s="334">
        <v>32.442999999999998</v>
      </c>
      <c r="NF20" s="334">
        <v>11.5</v>
      </c>
      <c r="NG20" s="334">
        <v>0.22500000000000001</v>
      </c>
      <c r="NH20" s="334">
        <v>31.917000000000002</v>
      </c>
      <c r="NI20" s="334">
        <v>12.75</v>
      </c>
      <c r="NJ20" s="334">
        <v>0.22500000000000001</v>
      </c>
      <c r="NK20" s="334">
        <v>31.917000000000002</v>
      </c>
      <c r="NL20" s="334">
        <v>15</v>
      </c>
      <c r="NM20" s="334">
        <v>0.22500000000000001</v>
      </c>
      <c r="NN20" s="334">
        <v>31.917000000000002</v>
      </c>
      <c r="NO20" s="334">
        <v>22.25</v>
      </c>
      <c r="NP20" s="334">
        <v>0.39</v>
      </c>
      <c r="NQ20" s="334">
        <v>31.619</v>
      </c>
      <c r="NR20" s="334">
        <v>23.375</v>
      </c>
      <c r="NS20" s="334">
        <v>0.39</v>
      </c>
      <c r="NT20" s="334">
        <v>31.347999999999999</v>
      </c>
      <c r="NU20" s="334">
        <v>24.375</v>
      </c>
      <c r="NV20" s="334">
        <v>0.39</v>
      </c>
      <c r="NW20" s="334">
        <v>30.486000000000001</v>
      </c>
      <c r="NX20" s="334">
        <v>23.63</v>
      </c>
      <c r="NY20" s="334">
        <v>0.39</v>
      </c>
      <c r="NZ20" s="334">
        <v>30.486000000000001</v>
      </c>
      <c r="OA20" s="334">
        <v>23</v>
      </c>
      <c r="OB20" s="334">
        <v>0.39</v>
      </c>
      <c r="OC20" s="334">
        <v>30.337</v>
      </c>
      <c r="OD20" s="334">
        <v>22.88</v>
      </c>
      <c r="OE20" s="334">
        <v>0.39</v>
      </c>
      <c r="OF20" s="334">
        <v>30.186</v>
      </c>
      <c r="OG20" s="334">
        <v>20.13</v>
      </c>
      <c r="OH20" s="334">
        <v>0.39</v>
      </c>
      <c r="OI20" s="334">
        <v>29.509</v>
      </c>
      <c r="OJ20" s="334">
        <v>23</v>
      </c>
      <c r="OK20" s="334">
        <v>0.39</v>
      </c>
      <c r="OL20" s="334">
        <v>29.372</v>
      </c>
      <c r="OM20" s="334">
        <v>19.63</v>
      </c>
      <c r="ON20" s="334">
        <v>0.39</v>
      </c>
      <c r="OO20" s="334">
        <v>29.236999999999998</v>
      </c>
      <c r="OP20" s="334">
        <v>17.88</v>
      </c>
      <c r="OQ20" s="334">
        <v>0.39</v>
      </c>
      <c r="OR20" s="334">
        <v>29.106999999999999</v>
      </c>
      <c r="OS20" s="334">
        <v>18.88</v>
      </c>
      <c r="OT20" s="334">
        <v>0.39</v>
      </c>
      <c r="OU20" s="334">
        <v>26.873999999999999</v>
      </c>
      <c r="OV20" s="334">
        <v>18.13</v>
      </c>
    </row>
    <row r="21" spans="1:412">
      <c r="A21" s="294" t="s">
        <v>100</v>
      </c>
      <c r="B21" s="333" t="s">
        <v>117</v>
      </c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504"/>
      <c r="AZ21" s="504"/>
      <c r="BA21" s="504"/>
      <c r="BB21" s="503"/>
      <c r="BC21" s="503"/>
      <c r="BD21" s="503"/>
      <c r="BE21" s="503"/>
      <c r="BF21" s="503"/>
      <c r="BG21" s="503"/>
      <c r="BH21" s="503"/>
      <c r="BI21" s="503"/>
      <c r="BJ21" s="503"/>
      <c r="BK21" s="503"/>
      <c r="BL21" s="503"/>
      <c r="BM21" s="503"/>
      <c r="BN21" s="503"/>
      <c r="BO21" s="503"/>
      <c r="BP21" s="503"/>
      <c r="BQ21" s="504"/>
      <c r="BR21" s="504"/>
      <c r="BS21" s="504"/>
      <c r="BT21" s="504"/>
      <c r="BU21" s="504"/>
      <c r="BV21" s="504"/>
      <c r="BW21" s="504"/>
      <c r="BX21" s="504"/>
      <c r="BY21" s="504"/>
      <c r="BZ21" s="503"/>
      <c r="CA21" s="503"/>
      <c r="CB21" s="503"/>
      <c r="CC21" s="503"/>
      <c r="CD21" s="503"/>
      <c r="CE21" s="503"/>
      <c r="CF21" s="503"/>
      <c r="CG21" s="503"/>
      <c r="CH21" s="503"/>
      <c r="CI21" s="503"/>
      <c r="CJ21" s="503"/>
      <c r="CK21" s="503"/>
      <c r="CL21" s="503"/>
      <c r="CM21" s="503"/>
      <c r="CN21" s="503"/>
      <c r="CO21" s="503"/>
      <c r="CP21" s="503"/>
      <c r="CQ21" s="503"/>
      <c r="CR21" s="504"/>
      <c r="CS21" s="504"/>
      <c r="CT21" s="504"/>
      <c r="CU21" s="503"/>
      <c r="CV21" s="503"/>
      <c r="CW21" s="503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39"/>
      <c r="DJ21" s="339"/>
      <c r="DK21" s="339"/>
      <c r="DL21" s="339"/>
      <c r="DM21" s="339"/>
      <c r="DN21" s="339"/>
      <c r="DO21" s="339"/>
      <c r="DP21" s="339"/>
      <c r="DQ21" s="339"/>
      <c r="DR21" s="339"/>
      <c r="DS21" s="339"/>
      <c r="DT21" s="339"/>
      <c r="DU21" s="339"/>
      <c r="DV21" s="339"/>
      <c r="DW21" s="339"/>
      <c r="DX21" s="339"/>
      <c r="DY21" s="339"/>
      <c r="DZ21" s="339"/>
      <c r="EA21" s="339"/>
      <c r="EB21" s="340"/>
      <c r="EC21" s="340"/>
      <c r="ED21" s="340"/>
      <c r="EE21" s="339"/>
      <c r="EF21" s="339"/>
      <c r="EG21" s="339"/>
      <c r="EH21" s="339"/>
      <c r="EI21" s="339"/>
      <c r="EJ21" s="339"/>
      <c r="EK21" s="339"/>
      <c r="EL21" s="339"/>
      <c r="EM21" s="339"/>
      <c r="EN21" s="340"/>
      <c r="EO21" s="340"/>
      <c r="EP21" s="340"/>
      <c r="EQ21" s="339"/>
      <c r="ER21" s="339"/>
      <c r="ES21" s="339"/>
      <c r="ET21" s="339"/>
      <c r="EU21" s="339"/>
      <c r="EV21" s="339"/>
      <c r="EW21" s="339"/>
      <c r="EX21" s="339"/>
      <c r="EY21" s="339"/>
      <c r="EZ21" s="340">
        <v>13.425986</v>
      </c>
      <c r="FA21" s="340">
        <v>35.200000000000003</v>
      </c>
      <c r="FB21" s="340">
        <v>0.23</v>
      </c>
      <c r="FC21" s="339">
        <v>13.425986</v>
      </c>
      <c r="FD21" s="339">
        <v>35.1</v>
      </c>
      <c r="FE21" s="339">
        <v>0.23</v>
      </c>
      <c r="FF21" s="339">
        <v>13.399127999999999</v>
      </c>
      <c r="FG21" s="339">
        <v>35.21</v>
      </c>
      <c r="FH21" s="339">
        <v>0.23</v>
      </c>
      <c r="FI21" s="339">
        <v>13.353973</v>
      </c>
      <c r="FJ21" s="339">
        <v>36.15</v>
      </c>
      <c r="FK21" s="339">
        <v>0.23</v>
      </c>
      <c r="FL21" s="339">
        <v>13.144056000000001</v>
      </c>
      <c r="FM21" s="339">
        <v>23.29</v>
      </c>
      <c r="FN21" s="339">
        <v>0.23</v>
      </c>
      <c r="FO21" s="339">
        <v>12.516488000000001</v>
      </c>
      <c r="FP21" s="339">
        <v>21.86</v>
      </c>
      <c r="FQ21" s="339">
        <v>0.23</v>
      </c>
      <c r="FR21" s="339">
        <v>12.078723999999999</v>
      </c>
      <c r="FS21" s="339">
        <v>20.170000000000002</v>
      </c>
      <c r="FT21" s="339">
        <v>0.23</v>
      </c>
      <c r="FU21" s="339">
        <v>11.725484</v>
      </c>
      <c r="FV21" s="339">
        <v>19.739999999999998</v>
      </c>
      <c r="FW21" s="339">
        <v>0.23</v>
      </c>
      <c r="FX21" s="339">
        <v>11.697392000000001</v>
      </c>
      <c r="FY21" s="339">
        <v>20.170000000000002</v>
      </c>
      <c r="FZ21" s="339">
        <v>0.23</v>
      </c>
      <c r="GA21" s="339">
        <v>11.679133</v>
      </c>
      <c r="GB21" s="339">
        <v>20.8</v>
      </c>
      <c r="GC21" s="339">
        <v>0.23</v>
      </c>
      <c r="GD21" s="339">
        <v>11.660546999999999</v>
      </c>
      <c r="GE21" s="339">
        <v>19.3</v>
      </c>
      <c r="GF21" s="339">
        <v>0.23</v>
      </c>
      <c r="GG21" s="339">
        <v>11.602399999999999</v>
      </c>
      <c r="GH21" s="339">
        <v>18.100000000000001</v>
      </c>
      <c r="GI21" s="339">
        <v>0.23</v>
      </c>
      <c r="GJ21" s="339">
        <v>10.86</v>
      </c>
      <c r="GK21" s="339">
        <v>17.3</v>
      </c>
      <c r="GL21" s="339">
        <v>0.23</v>
      </c>
      <c r="GM21" s="339">
        <v>10.352262</v>
      </c>
      <c r="GN21" s="339">
        <v>23.86</v>
      </c>
      <c r="GO21" s="339">
        <v>0.23</v>
      </c>
      <c r="GP21" s="339">
        <v>10.337892999999999</v>
      </c>
      <c r="GQ21" s="339">
        <v>23.44</v>
      </c>
      <c r="GR21" s="339">
        <v>0.23</v>
      </c>
      <c r="GS21" s="339">
        <v>10.275505000000001</v>
      </c>
      <c r="GT21" s="339">
        <v>19.37</v>
      </c>
      <c r="GU21" s="339">
        <v>0.23</v>
      </c>
      <c r="GV21" s="339">
        <v>10.185930000000001</v>
      </c>
      <c r="GW21" s="339">
        <v>23.9</v>
      </c>
      <c r="GX21" s="339">
        <v>0.23</v>
      </c>
      <c r="GY21" s="339">
        <v>10.197869000000001</v>
      </c>
      <c r="GZ21" s="339">
        <v>30.84</v>
      </c>
      <c r="HA21" s="339">
        <v>0.23</v>
      </c>
      <c r="HB21" s="339">
        <v>10.186907</v>
      </c>
      <c r="HC21" s="339">
        <v>36.54</v>
      </c>
      <c r="HD21" s="339">
        <v>0.23</v>
      </c>
      <c r="HE21" s="339">
        <v>10.135481</v>
      </c>
      <c r="HF21" s="339">
        <v>37.68</v>
      </c>
      <c r="HG21" s="339">
        <v>0.23</v>
      </c>
      <c r="HH21" s="339">
        <v>10.756027</v>
      </c>
      <c r="HI21" s="505">
        <v>28.82</v>
      </c>
      <c r="HJ21" s="339">
        <v>0.23</v>
      </c>
      <c r="HK21" s="339">
        <v>10.328099</v>
      </c>
      <c r="HL21" s="339">
        <v>23.55</v>
      </c>
      <c r="HM21" s="339">
        <v>0.23</v>
      </c>
      <c r="HN21" s="339">
        <v>10.634854000000001</v>
      </c>
      <c r="HO21" s="339">
        <v>22.11</v>
      </c>
      <c r="HP21" s="339">
        <v>0.23</v>
      </c>
      <c r="HQ21" s="339">
        <v>12.297528</v>
      </c>
      <c r="HR21" s="339">
        <v>18.48</v>
      </c>
      <c r="HS21" s="339">
        <v>0.23</v>
      </c>
      <c r="HT21" s="339">
        <v>12.276642000000001</v>
      </c>
      <c r="HU21" s="339">
        <v>21.21</v>
      </c>
      <c r="HV21" s="339">
        <v>0.23</v>
      </c>
      <c r="HW21" s="339">
        <v>12.276642000000001</v>
      </c>
      <c r="HX21" s="506">
        <v>18.010000000000002</v>
      </c>
      <c r="HY21" s="513">
        <f>0.92/4</f>
        <v>0.23</v>
      </c>
      <c r="HZ21" s="339">
        <v>12.259428</v>
      </c>
      <c r="IA21" s="339">
        <v>17.5</v>
      </c>
      <c r="IB21" s="339">
        <v>0.23</v>
      </c>
      <c r="IC21" s="339">
        <v>12.21913</v>
      </c>
      <c r="ID21" s="339">
        <v>18.5</v>
      </c>
      <c r="IE21" s="339">
        <v>0.23</v>
      </c>
      <c r="IF21" s="339">
        <v>12.138847</v>
      </c>
      <c r="IG21" s="339">
        <v>22.48</v>
      </c>
      <c r="IH21" s="339">
        <v>0.23</v>
      </c>
      <c r="II21" s="339">
        <v>12.138847</v>
      </c>
      <c r="IJ21" s="505">
        <v>23.26</v>
      </c>
      <c r="IK21" s="339">
        <v>0.23</v>
      </c>
      <c r="IL21" s="339">
        <v>12.112648999999999</v>
      </c>
      <c r="IM21" s="339">
        <v>20.11</v>
      </c>
      <c r="IN21" s="339">
        <v>0.23</v>
      </c>
      <c r="IO21" s="339">
        <v>12.063879</v>
      </c>
      <c r="IP21" s="339">
        <v>20.49</v>
      </c>
      <c r="IQ21" s="339">
        <v>0.23</v>
      </c>
      <c r="IR21" s="339">
        <v>11.927894</v>
      </c>
      <c r="IS21" s="339">
        <v>22.5</v>
      </c>
      <c r="IT21" s="339">
        <v>0.23</v>
      </c>
      <c r="IU21" s="339">
        <v>11.927894</v>
      </c>
      <c r="IV21" s="339">
        <v>23.5</v>
      </c>
      <c r="IW21" s="339">
        <v>0.22</v>
      </c>
      <c r="IX21" s="339">
        <v>11.864013</v>
      </c>
      <c r="IY21" s="339">
        <v>22.18</v>
      </c>
      <c r="IZ21" s="339">
        <v>0.22</v>
      </c>
      <c r="JA21" s="339">
        <v>11.776657999999999</v>
      </c>
      <c r="JB21" s="339">
        <v>19.55</v>
      </c>
      <c r="JC21" s="339">
        <v>0.22</v>
      </c>
      <c r="JD21" s="339">
        <v>11.73001</v>
      </c>
      <c r="JE21" s="339">
        <v>17.2</v>
      </c>
      <c r="JF21" s="339">
        <v>0.22</v>
      </c>
      <c r="JG21" s="339">
        <v>11.697336</v>
      </c>
      <c r="JH21" s="339">
        <v>18.28</v>
      </c>
      <c r="JI21" s="339">
        <v>0.22</v>
      </c>
      <c r="JJ21" s="339">
        <v>11.662096</v>
      </c>
      <c r="JK21" s="339">
        <v>17.63</v>
      </c>
      <c r="JL21" s="339">
        <v>0.22</v>
      </c>
      <c r="JM21" s="339">
        <v>11.622118</v>
      </c>
      <c r="JN21" s="339">
        <v>18</v>
      </c>
      <c r="JO21" s="339">
        <v>0.22</v>
      </c>
      <c r="JP21" s="339">
        <v>11.571265</v>
      </c>
      <c r="JQ21" s="339">
        <v>17.86</v>
      </c>
      <c r="JR21" s="339">
        <v>0.22</v>
      </c>
      <c r="JS21" s="339">
        <v>11.555</v>
      </c>
      <c r="JT21" s="339">
        <v>16.7</v>
      </c>
      <c r="JU21" s="339">
        <v>0.22</v>
      </c>
      <c r="JV21" s="339">
        <v>11.547000000000001</v>
      </c>
      <c r="JW21" s="339">
        <v>17.489999999999998</v>
      </c>
      <c r="JX21" s="339">
        <v>0.22</v>
      </c>
      <c r="JY21" s="339">
        <v>11.5</v>
      </c>
      <c r="JZ21" s="339">
        <v>18.91</v>
      </c>
      <c r="KA21" s="339">
        <v>0.22</v>
      </c>
      <c r="KB21" s="339">
        <v>11.507999999999999</v>
      </c>
      <c r="KC21" s="339">
        <v>16.489999999999998</v>
      </c>
      <c r="KD21" s="339">
        <v>0.22</v>
      </c>
      <c r="KE21" s="339">
        <v>11.502433</v>
      </c>
      <c r="KF21" s="339">
        <v>12.1875</v>
      </c>
      <c r="KG21" s="339">
        <v>0.22</v>
      </c>
      <c r="KH21" s="339">
        <v>11.476556</v>
      </c>
      <c r="KI21" s="339">
        <v>10.1875</v>
      </c>
      <c r="KJ21" s="339">
        <v>0.22</v>
      </c>
      <c r="KK21" s="339">
        <v>11.8</v>
      </c>
      <c r="KL21" s="339">
        <v>11</v>
      </c>
      <c r="KM21" s="339">
        <v>0.22</v>
      </c>
      <c r="KN21" s="339">
        <v>11.463196999999999</v>
      </c>
      <c r="KO21" s="339">
        <v>10.4375</v>
      </c>
      <c r="KP21" s="339">
        <v>0.22</v>
      </c>
      <c r="KQ21" s="339">
        <v>11.5</v>
      </c>
      <c r="KR21" s="339">
        <v>10.625</v>
      </c>
      <c r="KS21" s="339">
        <v>0.22</v>
      </c>
      <c r="KT21" s="339">
        <v>11.5</v>
      </c>
      <c r="KU21" s="339">
        <v>13.1875</v>
      </c>
      <c r="KV21" s="339">
        <v>0.22</v>
      </c>
      <c r="KW21" s="334">
        <v>11.44</v>
      </c>
      <c r="KX21" s="334">
        <v>12.8125</v>
      </c>
      <c r="KY21" s="334">
        <v>0.22</v>
      </c>
      <c r="KZ21" s="334">
        <v>11.42</v>
      </c>
      <c r="LA21" s="334">
        <v>10.0625</v>
      </c>
      <c r="LB21" s="334">
        <v>0.22</v>
      </c>
      <c r="LC21" s="334">
        <v>11.42</v>
      </c>
      <c r="LD21" s="334">
        <v>10.375</v>
      </c>
      <c r="LE21" s="334">
        <v>0.22</v>
      </c>
      <c r="LF21" s="334">
        <v>11.42</v>
      </c>
      <c r="LG21" s="334">
        <v>10.813000000000001</v>
      </c>
      <c r="LH21" s="334">
        <v>0.22</v>
      </c>
      <c r="LI21" s="334">
        <v>11.42</v>
      </c>
      <c r="LJ21" s="334">
        <v>14.938000000000001</v>
      </c>
      <c r="LK21" s="334">
        <v>0.22</v>
      </c>
      <c r="LL21" s="334">
        <v>11.42</v>
      </c>
      <c r="LM21" s="334">
        <v>14.875</v>
      </c>
      <c r="LN21" s="334">
        <v>0.22</v>
      </c>
      <c r="LO21" s="334">
        <v>11.423</v>
      </c>
      <c r="LP21" s="334">
        <v>15.25</v>
      </c>
      <c r="LQ21" s="334">
        <v>0.22</v>
      </c>
      <c r="LR21" s="334">
        <v>11.52</v>
      </c>
      <c r="LS21" s="334">
        <v>13.25</v>
      </c>
      <c r="LT21" s="334">
        <v>0.22</v>
      </c>
      <c r="LU21" s="334">
        <v>11.52</v>
      </c>
      <c r="LV21" s="334">
        <v>11.063000000000001</v>
      </c>
      <c r="LW21" s="334">
        <v>0.22</v>
      </c>
      <c r="LX21" s="334">
        <v>11.619</v>
      </c>
      <c r="LY21" s="334">
        <v>10.625</v>
      </c>
      <c r="LZ21" s="334">
        <v>0.22</v>
      </c>
      <c r="MA21" s="334">
        <v>11.619</v>
      </c>
      <c r="MB21" s="334">
        <v>12</v>
      </c>
      <c r="MC21" s="334">
        <v>0.22</v>
      </c>
      <c r="MD21" s="334">
        <v>11.619</v>
      </c>
      <c r="ME21" s="334">
        <v>12.5</v>
      </c>
      <c r="MF21" s="334">
        <v>0.22</v>
      </c>
      <c r="MG21" s="334">
        <v>11.619</v>
      </c>
      <c r="MH21" s="334">
        <v>12.75</v>
      </c>
      <c r="MI21" s="334">
        <v>0.22</v>
      </c>
      <c r="MJ21" s="334">
        <v>11.619</v>
      </c>
      <c r="MK21" s="334">
        <v>15</v>
      </c>
      <c r="ML21" s="334">
        <v>0.2</v>
      </c>
      <c r="MM21" s="334">
        <v>11.619</v>
      </c>
      <c r="MN21" s="334">
        <v>13.375</v>
      </c>
      <c r="MO21" s="334">
        <v>0.2</v>
      </c>
      <c r="MP21" s="334">
        <v>11.712</v>
      </c>
      <c r="MQ21" s="334">
        <v>13.5</v>
      </c>
      <c r="MR21" s="334">
        <v>0.2</v>
      </c>
      <c r="MS21" s="334">
        <v>11.712</v>
      </c>
      <c r="MT21" s="334">
        <v>13.875</v>
      </c>
      <c r="MU21" s="334">
        <v>0.2</v>
      </c>
      <c r="MV21" s="334">
        <v>11.712</v>
      </c>
      <c r="MW21" s="334">
        <v>13.375</v>
      </c>
      <c r="MX21" s="334">
        <v>0.2</v>
      </c>
      <c r="MY21" s="334">
        <v>11.7</v>
      </c>
      <c r="MZ21" s="334">
        <v>13.5</v>
      </c>
      <c r="NA21" s="334">
        <v>0.2</v>
      </c>
      <c r="NB21" s="334">
        <v>11.7</v>
      </c>
      <c r="NC21" s="334">
        <v>12.5</v>
      </c>
      <c r="ND21" s="334">
        <v>0.35499999999999998</v>
      </c>
      <c r="NE21" s="334">
        <v>11.659000000000001</v>
      </c>
      <c r="NF21" s="334">
        <v>14.625</v>
      </c>
      <c r="NG21" s="334">
        <v>0.35499999999999998</v>
      </c>
      <c r="NH21" s="334">
        <v>11.429</v>
      </c>
      <c r="NI21" s="334">
        <v>18.875</v>
      </c>
      <c r="NJ21" s="334">
        <v>0.35499999999999998</v>
      </c>
      <c r="NK21" s="334">
        <v>11.429</v>
      </c>
      <c r="NL21" s="334">
        <v>21</v>
      </c>
      <c r="NM21" s="334">
        <v>0.35499999999999998</v>
      </c>
      <c r="NN21" s="334">
        <v>11.429</v>
      </c>
      <c r="NO21" s="334">
        <v>23.5</v>
      </c>
      <c r="NP21" s="334">
        <v>0.35499999999999998</v>
      </c>
      <c r="NQ21" s="334">
        <v>11.340999999999999</v>
      </c>
      <c r="NR21" s="334">
        <v>23.75</v>
      </c>
      <c r="NS21" s="334">
        <v>0.35499999999999998</v>
      </c>
      <c r="NT21" s="334">
        <v>11.242000000000001</v>
      </c>
      <c r="NU21" s="334">
        <v>24.375</v>
      </c>
      <c r="NV21" s="334">
        <v>0.35499999999999998</v>
      </c>
      <c r="NW21" s="334">
        <v>10.946</v>
      </c>
      <c r="NX21" s="334">
        <v>24.75</v>
      </c>
      <c r="NY21" s="334">
        <v>0.35</v>
      </c>
      <c r="NZ21" s="334">
        <v>10.946</v>
      </c>
      <c r="OA21" s="334">
        <v>21.58</v>
      </c>
      <c r="OB21" s="334">
        <v>0.35</v>
      </c>
      <c r="OC21" s="334">
        <v>10.898</v>
      </c>
      <c r="OD21" s="334">
        <v>20.83</v>
      </c>
      <c r="OE21" s="334">
        <v>0.35</v>
      </c>
      <c r="OF21" s="334">
        <v>10.851000000000001</v>
      </c>
      <c r="OG21" s="334">
        <v>20.75</v>
      </c>
      <c r="OH21" s="334">
        <v>0.35</v>
      </c>
      <c r="OI21" s="334">
        <v>10.614000000000001</v>
      </c>
      <c r="OJ21" s="334">
        <v>22.75</v>
      </c>
      <c r="OK21" s="334">
        <v>0.35</v>
      </c>
      <c r="OL21" s="334">
        <v>10.56</v>
      </c>
      <c r="OM21" s="334">
        <v>20.67</v>
      </c>
      <c r="ON21" s="334">
        <v>0.35</v>
      </c>
      <c r="OO21" s="334">
        <v>10.49</v>
      </c>
      <c r="OP21" s="334">
        <v>18.25</v>
      </c>
      <c r="OQ21" s="334">
        <v>0.35</v>
      </c>
      <c r="OR21" s="334">
        <v>10.388</v>
      </c>
      <c r="OS21" s="334">
        <v>17.579999999999998</v>
      </c>
      <c r="OT21" s="334">
        <v>0.35</v>
      </c>
      <c r="OU21" s="334">
        <v>10.205</v>
      </c>
      <c r="OV21" s="334">
        <v>17.920000000000002</v>
      </c>
    </row>
    <row r="22" spans="1:412" ht="13.5" thickBot="1">
      <c r="B22" s="333" t="s">
        <v>231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504"/>
      <c r="AZ22" s="504"/>
      <c r="BA22" s="504"/>
      <c r="BB22" s="503"/>
      <c r="BC22" s="503"/>
      <c r="BD22" s="503"/>
      <c r="BE22" s="503"/>
      <c r="BF22" s="503"/>
      <c r="BG22" s="503"/>
      <c r="BH22" s="503"/>
      <c r="BI22" s="503"/>
      <c r="BJ22" s="503"/>
      <c r="BK22" s="503"/>
      <c r="BL22" s="503"/>
      <c r="BM22" s="503"/>
      <c r="BN22" s="503"/>
      <c r="BO22" s="503"/>
      <c r="BP22" s="503"/>
      <c r="BQ22" s="504"/>
      <c r="BR22" s="504"/>
      <c r="BS22" s="504"/>
      <c r="BT22" s="504"/>
      <c r="BU22" s="504"/>
      <c r="BV22" s="504"/>
      <c r="BW22" s="504"/>
      <c r="BX22" s="504"/>
      <c r="BY22" s="504"/>
      <c r="BZ22" s="503"/>
      <c r="CA22" s="503"/>
      <c r="CB22" s="503"/>
      <c r="CC22" s="503"/>
      <c r="CD22" s="503"/>
      <c r="CE22" s="503"/>
      <c r="CF22" s="503"/>
      <c r="CG22" s="503"/>
      <c r="CH22" s="503"/>
      <c r="CI22" s="503"/>
      <c r="CJ22" s="503"/>
      <c r="CK22" s="503"/>
      <c r="CL22" s="503"/>
      <c r="CM22" s="503"/>
      <c r="CN22" s="503"/>
      <c r="CO22" s="503"/>
      <c r="CP22" s="503"/>
      <c r="CQ22" s="503"/>
      <c r="CR22" s="504"/>
      <c r="CS22" s="504"/>
      <c r="CT22" s="504"/>
      <c r="CU22" s="503"/>
      <c r="CV22" s="503"/>
      <c r="CW22" s="503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339"/>
      <c r="DV22" s="339"/>
      <c r="DW22" s="339"/>
      <c r="DX22" s="339"/>
      <c r="DY22" s="339"/>
      <c r="DZ22" s="339"/>
      <c r="EA22" s="339"/>
      <c r="EB22" s="340"/>
      <c r="EC22" s="340"/>
      <c r="ED22" s="340"/>
      <c r="EE22" s="339"/>
      <c r="EF22" s="339"/>
      <c r="EG22" s="339"/>
      <c r="EH22" s="339"/>
      <c r="EI22" s="339"/>
      <c r="EJ22" s="339"/>
      <c r="EK22" s="339"/>
      <c r="EL22" s="339"/>
      <c r="EM22" s="339"/>
      <c r="EN22" s="339"/>
      <c r="EO22" s="339"/>
      <c r="EP22" s="339"/>
      <c r="EQ22" s="339"/>
      <c r="ER22" s="339"/>
      <c r="ES22" s="339"/>
      <c r="ET22" s="339"/>
      <c r="EU22" s="339"/>
      <c r="EV22" s="339"/>
      <c r="EW22" s="339"/>
      <c r="EX22" s="339"/>
      <c r="EY22" s="339"/>
      <c r="EZ22" s="339"/>
      <c r="FA22" s="339"/>
      <c r="FB22" s="339"/>
      <c r="FC22" s="339"/>
      <c r="FD22" s="339"/>
      <c r="FE22" s="339"/>
      <c r="FF22" s="339"/>
      <c r="FG22" s="339"/>
      <c r="FH22" s="342"/>
      <c r="FI22" s="339"/>
      <c r="FJ22" s="339"/>
      <c r="FK22" s="339"/>
      <c r="FL22" s="339"/>
      <c r="FM22" s="339"/>
      <c r="FN22" s="339"/>
      <c r="FO22" s="339"/>
      <c r="FP22" s="339"/>
      <c r="FQ22" s="339"/>
      <c r="FR22" s="339"/>
      <c r="FS22" s="339"/>
      <c r="FT22" s="339"/>
      <c r="FU22" s="339"/>
      <c r="FV22" s="339"/>
      <c r="FW22" s="339"/>
      <c r="FX22" s="339"/>
      <c r="FY22" s="339"/>
      <c r="FZ22" s="339"/>
      <c r="GA22" s="339"/>
      <c r="GB22" s="339"/>
      <c r="GC22" s="339"/>
      <c r="GD22" s="339"/>
      <c r="GE22" s="339"/>
      <c r="GF22" s="339"/>
      <c r="GG22" s="339"/>
      <c r="GH22" s="339"/>
      <c r="GI22" s="339"/>
      <c r="GJ22" s="339"/>
      <c r="GK22" s="339"/>
      <c r="GL22" s="339"/>
      <c r="GM22" s="339"/>
      <c r="GN22" s="339"/>
      <c r="GO22" s="339"/>
      <c r="GP22" s="339"/>
      <c r="GQ22" s="339"/>
      <c r="GR22" s="339"/>
      <c r="GS22" s="339"/>
      <c r="GT22" s="339"/>
      <c r="GU22" s="339"/>
      <c r="GV22" s="339"/>
      <c r="GW22" s="339"/>
      <c r="GX22" s="339"/>
      <c r="GY22" s="339"/>
      <c r="GZ22" s="339"/>
      <c r="HA22" s="339"/>
      <c r="HB22" s="339"/>
      <c r="HC22" s="339"/>
      <c r="HD22" s="339"/>
      <c r="HE22" s="339"/>
      <c r="HF22" s="339"/>
      <c r="HG22" s="339"/>
      <c r="HH22" s="339"/>
      <c r="HI22" s="505"/>
      <c r="HJ22" s="339"/>
      <c r="HK22" s="339"/>
      <c r="HL22" s="339"/>
      <c r="HM22" s="339"/>
      <c r="HN22" s="339"/>
      <c r="HO22" s="339"/>
      <c r="HP22" s="339"/>
      <c r="HQ22" s="339"/>
      <c r="HR22" s="339"/>
      <c r="HS22" s="339"/>
      <c r="HT22" s="339"/>
      <c r="HU22" s="339"/>
      <c r="HV22" s="339"/>
      <c r="HW22" s="339"/>
      <c r="HX22" s="506"/>
      <c r="HY22" s="513"/>
      <c r="HZ22" s="339"/>
      <c r="IA22" s="339"/>
      <c r="IB22" s="339"/>
      <c r="IC22" s="339"/>
      <c r="ID22" s="339"/>
      <c r="IE22" s="339"/>
      <c r="IF22" s="339"/>
      <c r="IG22" s="339"/>
      <c r="IH22" s="339"/>
      <c r="II22" s="339"/>
      <c r="IJ22" s="505"/>
      <c r="IK22" s="339"/>
      <c r="IL22" s="339"/>
      <c r="IM22" s="339"/>
      <c r="IN22" s="339"/>
      <c r="IO22" s="339"/>
      <c r="IP22" s="339"/>
      <c r="IQ22" s="339"/>
      <c r="IR22" s="339"/>
      <c r="IS22" s="339"/>
      <c r="IT22" s="339"/>
      <c r="IU22" s="339"/>
      <c r="IV22" s="339"/>
      <c r="IW22" s="339"/>
      <c r="IX22" s="339"/>
      <c r="IY22" s="339"/>
      <c r="IZ22" s="342"/>
      <c r="JA22" s="339"/>
      <c r="JB22" s="339"/>
      <c r="JC22" s="339"/>
      <c r="JD22" s="339"/>
      <c r="JE22" s="339"/>
      <c r="JF22" s="339"/>
      <c r="JG22" s="339"/>
      <c r="JH22" s="339"/>
      <c r="JI22" s="339"/>
      <c r="JJ22" s="339"/>
      <c r="JK22" s="339"/>
      <c r="JL22" s="339"/>
      <c r="JM22" s="339"/>
      <c r="JN22" s="339"/>
      <c r="JO22" s="339"/>
      <c r="JP22" s="339"/>
      <c r="JQ22" s="339"/>
      <c r="JR22" s="339"/>
      <c r="JS22" s="339"/>
      <c r="JT22" s="342"/>
      <c r="JU22" s="342"/>
      <c r="JV22" s="339"/>
      <c r="JW22" s="339"/>
      <c r="JX22" s="339"/>
      <c r="JY22" s="339"/>
      <c r="JZ22" s="339"/>
      <c r="KA22" s="339"/>
      <c r="KB22" s="339"/>
      <c r="KC22" s="339"/>
      <c r="KD22" s="339"/>
      <c r="KE22" s="339"/>
      <c r="KF22" s="339"/>
      <c r="KG22" s="339"/>
      <c r="KH22" s="339">
        <v>178</v>
      </c>
      <c r="KI22" s="339">
        <v>56.1875</v>
      </c>
      <c r="KJ22" s="339">
        <v>0.4</v>
      </c>
      <c r="KK22" s="339">
        <v>212</v>
      </c>
      <c r="KL22" s="339">
        <v>38.6875</v>
      </c>
      <c r="KM22" s="339">
        <v>0.4</v>
      </c>
      <c r="KN22" s="339">
        <v>218</v>
      </c>
      <c r="KO22" s="339">
        <v>36.5</v>
      </c>
      <c r="KP22" s="339">
        <v>0.4</v>
      </c>
      <c r="KQ22" s="339">
        <v>218</v>
      </c>
      <c r="KR22" s="339">
        <v>33.5</v>
      </c>
      <c r="KS22" s="339">
        <v>0.4</v>
      </c>
      <c r="KT22" s="339">
        <v>217.23500000000001</v>
      </c>
      <c r="KU22" s="339">
        <v>36.9375</v>
      </c>
      <c r="KV22" s="339">
        <v>0.4</v>
      </c>
      <c r="KW22" s="334">
        <v>216.94</v>
      </c>
      <c r="KX22" s="334">
        <v>38.5625</v>
      </c>
      <c r="KY22" s="334">
        <v>0.4</v>
      </c>
      <c r="KZ22" s="334">
        <v>217.02</v>
      </c>
      <c r="LA22" s="334">
        <v>36.5625</v>
      </c>
      <c r="LB22" s="334">
        <v>0.4</v>
      </c>
      <c r="LC22" s="334">
        <v>217.02</v>
      </c>
      <c r="LD22" s="334">
        <v>38.563000000000002</v>
      </c>
      <c r="LE22" s="334">
        <v>0.4</v>
      </c>
      <c r="LF22" s="334">
        <v>216.71</v>
      </c>
      <c r="LG22" s="334">
        <v>37.375</v>
      </c>
      <c r="LH22" s="334">
        <v>0.4</v>
      </c>
      <c r="LI22" s="334">
        <v>216.71</v>
      </c>
      <c r="LJ22" s="334">
        <v>35.063000000000002</v>
      </c>
      <c r="LK22" s="334">
        <v>0.4</v>
      </c>
      <c r="LL22" s="334">
        <v>216.41</v>
      </c>
      <c r="LM22" s="334">
        <v>35</v>
      </c>
      <c r="LN22" s="334">
        <v>0.4</v>
      </c>
      <c r="LO22" s="334">
        <v>216.40899999999999</v>
      </c>
      <c r="LP22" s="334">
        <v>30.75</v>
      </c>
      <c r="LQ22" s="334">
        <v>0.4</v>
      </c>
      <c r="LR22" s="334">
        <v>216.053</v>
      </c>
      <c r="LS22" s="334">
        <v>23.375</v>
      </c>
      <c r="LT22" s="334">
        <v>0.4</v>
      </c>
      <c r="LU22" s="334">
        <v>216.053</v>
      </c>
      <c r="LV22" s="334">
        <v>22.25</v>
      </c>
      <c r="LW22" s="334">
        <v>0.4</v>
      </c>
      <c r="LX22" s="334">
        <v>215.56800000000001</v>
      </c>
      <c r="LY22" s="334">
        <v>19.5</v>
      </c>
      <c r="LZ22" s="334">
        <v>0.4</v>
      </c>
      <c r="MA22" s="334">
        <v>215.56800000000001</v>
      </c>
      <c r="MB22" s="334">
        <v>27.125</v>
      </c>
      <c r="MC22" s="334">
        <v>0.4</v>
      </c>
      <c r="MD22" s="334">
        <v>214.78899999999999</v>
      </c>
      <c r="ME22" s="334">
        <v>25.125</v>
      </c>
      <c r="MF22" s="334">
        <v>0.4</v>
      </c>
      <c r="MG22" s="334">
        <v>214.78899999999999</v>
      </c>
      <c r="MH22" s="334">
        <v>27.625</v>
      </c>
      <c r="MI22" s="334">
        <v>0.4</v>
      </c>
      <c r="MJ22" s="334">
        <v>214.78899999999999</v>
      </c>
      <c r="MK22" s="334">
        <v>27</v>
      </c>
      <c r="ML22" s="334">
        <v>0.4</v>
      </c>
      <c r="MM22" s="334">
        <v>214.78899999999999</v>
      </c>
      <c r="MN22" s="334">
        <v>32.75</v>
      </c>
      <c r="MO22" s="334">
        <v>0.4</v>
      </c>
      <c r="MP22" s="334">
        <v>214.429</v>
      </c>
      <c r="MQ22" s="334">
        <v>30.25</v>
      </c>
      <c r="MR22" s="334">
        <v>0.4</v>
      </c>
      <c r="MS22" s="334">
        <v>214.429</v>
      </c>
      <c r="MT22" s="334">
        <v>26.625</v>
      </c>
      <c r="MU22" s="334">
        <v>0.4</v>
      </c>
      <c r="MV22" s="334">
        <v>214.429</v>
      </c>
      <c r="MW22" s="334">
        <v>23.75</v>
      </c>
      <c r="MX22" s="334">
        <v>0.4</v>
      </c>
      <c r="MY22" s="334">
        <v>213.88</v>
      </c>
      <c r="MZ22" s="334">
        <v>24</v>
      </c>
      <c r="NA22" s="334">
        <v>0.4</v>
      </c>
      <c r="NB22" s="334">
        <v>213.88</v>
      </c>
      <c r="NC22" s="334">
        <v>22.25</v>
      </c>
      <c r="ND22" s="334">
        <v>0.4</v>
      </c>
      <c r="NE22" s="334">
        <v>213.733</v>
      </c>
      <c r="NF22" s="334">
        <v>22.75</v>
      </c>
      <c r="NG22" s="334">
        <v>0.4</v>
      </c>
      <c r="NH22" s="334">
        <v>213.55</v>
      </c>
      <c r="NI22" s="334">
        <v>25.125</v>
      </c>
      <c r="NJ22" s="334">
        <v>0.4</v>
      </c>
      <c r="NK22" s="334">
        <v>213.55</v>
      </c>
      <c r="NL22" s="334">
        <v>28.125</v>
      </c>
      <c r="NM22" s="334">
        <v>0.4</v>
      </c>
      <c r="NN22" s="334">
        <v>213.55</v>
      </c>
      <c r="NO22" s="334">
        <v>30.375</v>
      </c>
      <c r="NP22" s="334">
        <v>0.4</v>
      </c>
      <c r="NQ22" s="334">
        <v>213.46600000000001</v>
      </c>
      <c r="NR22" s="334">
        <v>28</v>
      </c>
      <c r="NS22" s="334">
        <v>0.4</v>
      </c>
      <c r="NT22" s="334">
        <v>213.33699999999999</v>
      </c>
      <c r="NU22" s="334">
        <v>28</v>
      </c>
      <c r="NV22" s="334">
        <v>0.4</v>
      </c>
      <c r="NW22" s="334">
        <v>212.84899999999999</v>
      </c>
      <c r="NX22" s="334">
        <v>23.25</v>
      </c>
      <c r="NY22" s="334">
        <v>0.4</v>
      </c>
      <c r="NZ22" s="334">
        <v>212.84899999999999</v>
      </c>
      <c r="OA22" s="334">
        <v>22.88</v>
      </c>
      <c r="OB22" s="334">
        <v>0.75</v>
      </c>
      <c r="OC22" s="334">
        <v>212.78700000000001</v>
      </c>
      <c r="OD22" s="334">
        <v>26.63</v>
      </c>
      <c r="OE22" s="334">
        <v>0.75</v>
      </c>
      <c r="OF22" s="334">
        <v>212.71299999999999</v>
      </c>
      <c r="OG22" s="334">
        <v>33.880000000000003</v>
      </c>
      <c r="OH22" s="334">
        <v>0.75</v>
      </c>
      <c r="OI22" s="334">
        <v>212.452</v>
      </c>
      <c r="OJ22" s="334">
        <v>39.880000000000003</v>
      </c>
      <c r="OK22" s="334">
        <v>0.75</v>
      </c>
      <c r="OL22" s="334">
        <v>212.4</v>
      </c>
      <c r="OM22" s="334">
        <v>40.380000000000003</v>
      </c>
      <c r="ON22" s="334">
        <v>0.75</v>
      </c>
      <c r="OO22" s="334">
        <v>212.35400000000001</v>
      </c>
      <c r="OP22" s="334">
        <v>36.130000000000003</v>
      </c>
      <c r="OQ22" s="334">
        <v>0.75</v>
      </c>
      <c r="OR22" s="334">
        <v>212.30099999999999</v>
      </c>
      <c r="OS22" s="334">
        <v>39.380000000000003</v>
      </c>
      <c r="OT22" s="334">
        <v>0.75</v>
      </c>
      <c r="OU22" s="334">
        <v>212.03200000000001</v>
      </c>
      <c r="OV22" s="334">
        <v>34.75</v>
      </c>
    </row>
    <row r="23" spans="1:412" ht="13.5" thickBot="1">
      <c r="B23" s="333" t="s">
        <v>232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504"/>
      <c r="AZ23" s="504"/>
      <c r="BA23" s="504"/>
      <c r="BB23" s="503"/>
      <c r="BC23" s="503"/>
      <c r="BD23" s="503"/>
      <c r="BE23" s="503"/>
      <c r="BF23" s="503"/>
      <c r="BG23" s="503"/>
      <c r="BH23" s="503"/>
      <c r="BI23" s="503"/>
      <c r="BJ23" s="503"/>
      <c r="BK23" s="503"/>
      <c r="BL23" s="503"/>
      <c r="BM23" s="503"/>
      <c r="BN23" s="503"/>
      <c r="BO23" s="503"/>
      <c r="BP23" s="503"/>
      <c r="BQ23" s="504"/>
      <c r="BR23" s="504"/>
      <c r="BS23" s="504"/>
      <c r="BT23" s="504"/>
      <c r="BU23" s="504"/>
      <c r="BV23" s="504"/>
      <c r="BW23" s="504"/>
      <c r="BX23" s="504"/>
      <c r="BY23" s="504"/>
      <c r="BZ23" s="503"/>
      <c r="CA23" s="503"/>
      <c r="CB23" s="503"/>
      <c r="CC23" s="503"/>
      <c r="CD23" s="503"/>
      <c r="CE23" s="503"/>
      <c r="CF23" s="503"/>
      <c r="CG23" s="503"/>
      <c r="CH23" s="503"/>
      <c r="CI23" s="503"/>
      <c r="CJ23" s="503"/>
      <c r="CK23" s="503"/>
      <c r="CL23" s="503"/>
      <c r="CM23" s="503"/>
      <c r="CN23" s="503"/>
      <c r="CO23" s="503"/>
      <c r="CP23" s="503"/>
      <c r="CQ23" s="503"/>
      <c r="CR23" s="504"/>
      <c r="CS23" s="504"/>
      <c r="CT23" s="504"/>
      <c r="CU23" s="503"/>
      <c r="CV23" s="503"/>
      <c r="CW23" s="503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  <c r="DI23" s="339"/>
      <c r="DJ23" s="339"/>
      <c r="DK23" s="339"/>
      <c r="DL23" s="339"/>
      <c r="DM23" s="339"/>
      <c r="DN23" s="339"/>
      <c r="DO23" s="339"/>
      <c r="DP23" s="339"/>
      <c r="DQ23" s="339"/>
      <c r="DR23" s="339"/>
      <c r="DS23" s="339"/>
      <c r="DT23" s="339"/>
      <c r="DU23" s="339"/>
      <c r="DV23" s="339"/>
      <c r="DW23" s="339"/>
      <c r="DX23" s="339"/>
      <c r="DY23" s="339"/>
      <c r="DZ23" s="339"/>
      <c r="EA23" s="339"/>
      <c r="EB23" s="340"/>
      <c r="EC23" s="340"/>
      <c r="ED23" s="340"/>
      <c r="EE23" s="339"/>
      <c r="EF23" s="339"/>
      <c r="EG23" s="339"/>
      <c r="EH23" s="339"/>
      <c r="EI23" s="339"/>
      <c r="EJ23" s="339"/>
      <c r="EK23" s="339"/>
      <c r="EL23" s="339"/>
      <c r="EM23" s="339"/>
      <c r="EN23" s="339"/>
      <c r="EO23" s="339"/>
      <c r="EP23" s="339"/>
      <c r="EQ23" s="339"/>
      <c r="ER23" s="339"/>
      <c r="ES23" s="339"/>
      <c r="ET23" s="339"/>
      <c r="EU23" s="339"/>
      <c r="EV23" s="339"/>
      <c r="EW23" s="339"/>
      <c r="EX23" s="339"/>
      <c r="EY23" s="339"/>
      <c r="EZ23" s="339"/>
      <c r="FA23" s="339"/>
      <c r="FB23" s="339"/>
      <c r="FC23" s="339"/>
      <c r="FD23" s="339"/>
      <c r="FE23" s="339"/>
      <c r="FF23" s="339"/>
      <c r="FG23" s="339"/>
      <c r="FH23" s="342"/>
      <c r="FI23" s="339"/>
      <c r="FJ23" s="339"/>
      <c r="FK23" s="339"/>
      <c r="FL23" s="339"/>
      <c r="FM23" s="339"/>
      <c r="FN23" s="339"/>
      <c r="FO23" s="339"/>
      <c r="FP23" s="339"/>
      <c r="FQ23" s="339"/>
      <c r="FR23" s="339"/>
      <c r="FS23" s="339"/>
      <c r="FT23" s="339"/>
      <c r="FU23" s="339"/>
      <c r="FV23" s="339"/>
      <c r="FW23" s="339"/>
      <c r="FX23" s="339"/>
      <c r="FY23" s="339"/>
      <c r="FZ23" s="339"/>
      <c r="GA23" s="339"/>
      <c r="GB23" s="339"/>
      <c r="GC23" s="339"/>
      <c r="GD23" s="339"/>
      <c r="GE23" s="339"/>
      <c r="GF23" s="339"/>
      <c r="GG23" s="339"/>
      <c r="GH23" s="339"/>
      <c r="GI23" s="339"/>
      <c r="GJ23" s="339"/>
      <c r="GK23" s="339"/>
      <c r="GL23" s="339"/>
      <c r="GM23" s="339"/>
      <c r="GN23" s="339"/>
      <c r="GO23" s="339"/>
      <c r="GP23" s="339"/>
      <c r="GQ23" s="339"/>
      <c r="GR23" s="339"/>
      <c r="GS23" s="339"/>
      <c r="GT23" s="339"/>
      <c r="GU23" s="339"/>
      <c r="GV23" s="339"/>
      <c r="GW23" s="339"/>
      <c r="GX23" s="339"/>
      <c r="GY23" s="339"/>
      <c r="GZ23" s="339"/>
      <c r="HA23" s="339"/>
      <c r="HB23" s="339"/>
      <c r="HC23" s="339"/>
      <c r="HD23" s="339"/>
      <c r="HE23" s="339"/>
      <c r="HF23" s="339"/>
      <c r="HG23" s="339"/>
      <c r="HH23" s="339">
        <v>82</v>
      </c>
      <c r="HI23" s="505">
        <v>19.79</v>
      </c>
      <c r="HJ23" s="339">
        <v>0.25</v>
      </c>
      <c r="HK23" s="339">
        <v>83.5</v>
      </c>
      <c r="HL23" s="339">
        <v>19.850000000000001</v>
      </c>
      <c r="HM23" s="339">
        <v>0.25</v>
      </c>
      <c r="HN23" s="339">
        <v>78.400000000000006</v>
      </c>
      <c r="HO23" s="339">
        <v>19.66</v>
      </c>
      <c r="HP23" s="339">
        <v>0.25</v>
      </c>
      <c r="HQ23" s="339">
        <v>78.2</v>
      </c>
      <c r="HR23" s="339">
        <v>16.440000000000001</v>
      </c>
      <c r="HS23" s="339">
        <v>0.25</v>
      </c>
      <c r="HT23" s="339">
        <v>78</v>
      </c>
      <c r="HU23" s="339">
        <v>16.5</v>
      </c>
      <c r="HV23" s="339">
        <v>0.25</v>
      </c>
      <c r="HW23" s="339">
        <v>77.8</v>
      </c>
      <c r="HX23" s="506">
        <v>16.32</v>
      </c>
      <c r="HY23" s="513">
        <f>1/4</f>
        <v>0.25</v>
      </c>
      <c r="HZ23" s="339">
        <v>77.599999999999994</v>
      </c>
      <c r="IA23" s="339">
        <v>17.21</v>
      </c>
      <c r="IB23" s="339">
        <v>0.25</v>
      </c>
      <c r="IC23" s="339">
        <v>77.3</v>
      </c>
      <c r="ID23" s="339">
        <v>18.68</v>
      </c>
      <c r="IE23" s="339">
        <v>0.25</v>
      </c>
      <c r="IF23" s="339">
        <v>76.599999999999994</v>
      </c>
      <c r="IG23" s="339">
        <v>17.920000000000002</v>
      </c>
      <c r="IH23" s="339">
        <v>0.25</v>
      </c>
      <c r="II23" s="339">
        <v>76.599999999999994</v>
      </c>
      <c r="IJ23" s="505">
        <v>18.850000000000001</v>
      </c>
      <c r="IK23" s="339">
        <v>0.25</v>
      </c>
      <c r="IL23" s="339">
        <v>76.3</v>
      </c>
      <c r="IM23" s="339">
        <v>17.96</v>
      </c>
      <c r="IN23" s="339">
        <v>0.25</v>
      </c>
      <c r="IO23" s="339">
        <v>75.900000000000006</v>
      </c>
      <c r="IP23" s="339">
        <v>19.309999999999999</v>
      </c>
      <c r="IQ23" s="339">
        <v>0.25</v>
      </c>
      <c r="IR23" s="339">
        <v>75.400000000000006</v>
      </c>
      <c r="IS23" s="339">
        <v>19.5</v>
      </c>
      <c r="IT23" s="339">
        <v>0.25</v>
      </c>
      <c r="IU23" s="339">
        <v>75.099999999999994</v>
      </c>
      <c r="IV23" s="339">
        <v>18.34</v>
      </c>
      <c r="IW23" s="339">
        <v>0.25</v>
      </c>
      <c r="IX23" s="339">
        <v>74.8</v>
      </c>
      <c r="IY23" s="339">
        <v>15.44</v>
      </c>
      <c r="IZ23" s="339">
        <v>0.25</v>
      </c>
      <c r="JA23" s="339">
        <v>74.5</v>
      </c>
      <c r="JB23" s="339">
        <v>15.07</v>
      </c>
      <c r="JC23" s="339">
        <v>0.25</v>
      </c>
      <c r="JD23" s="339">
        <v>74.3</v>
      </c>
      <c r="JE23" s="339">
        <v>12.19</v>
      </c>
      <c r="JF23" s="339">
        <v>0.25</v>
      </c>
      <c r="JG23" s="339">
        <v>74.099999999999994</v>
      </c>
      <c r="JH23" s="339">
        <v>15.24</v>
      </c>
      <c r="JI23" s="339">
        <v>0.25</v>
      </c>
      <c r="JJ23" s="339">
        <v>57.4</v>
      </c>
      <c r="JK23" s="339">
        <v>15</v>
      </c>
      <c r="JL23" s="517">
        <v>0.25</v>
      </c>
      <c r="JM23" s="339">
        <v>56.2</v>
      </c>
      <c r="JN23" s="339">
        <v>14</v>
      </c>
      <c r="JO23" s="339">
        <v>0.42</v>
      </c>
      <c r="JP23" s="339">
        <v>55.893999999999998</v>
      </c>
      <c r="JQ23" s="339">
        <v>21.31</v>
      </c>
      <c r="JR23" s="339">
        <v>0.42</v>
      </c>
      <c r="JS23" s="339">
        <v>55.9</v>
      </c>
      <c r="JT23" s="339">
        <v>18.93</v>
      </c>
      <c r="JU23" s="339">
        <v>0.42</v>
      </c>
      <c r="JV23" s="339">
        <v>55.9</v>
      </c>
      <c r="JW23" s="339">
        <v>19.239999999999998</v>
      </c>
      <c r="JX23" s="339">
        <v>0.42</v>
      </c>
      <c r="JY23" s="339">
        <v>55.881999999999998</v>
      </c>
      <c r="JZ23" s="339">
        <v>22.5</v>
      </c>
      <c r="KA23" s="339">
        <v>0.42</v>
      </c>
      <c r="KB23" s="339">
        <v>56.136000000000003</v>
      </c>
      <c r="KC23" s="339">
        <v>29.15</v>
      </c>
      <c r="KD23" s="339">
        <v>0.42</v>
      </c>
      <c r="KE23" s="339">
        <v>59.356999999999999</v>
      </c>
      <c r="KF23" s="339">
        <v>32.75</v>
      </c>
      <c r="KG23" s="339">
        <v>0.42</v>
      </c>
      <c r="KH23" s="339">
        <v>67.087999999999994</v>
      </c>
      <c r="KI23" s="339">
        <v>40.125</v>
      </c>
      <c r="KJ23" s="339">
        <v>0.4</v>
      </c>
      <c r="KK23" s="339">
        <v>70.936000000000007</v>
      </c>
      <c r="KL23" s="339">
        <v>39.5</v>
      </c>
      <c r="KM23" s="339">
        <v>0.4</v>
      </c>
      <c r="KN23" s="339">
        <v>73.543000000000006</v>
      </c>
      <c r="KO23" s="339">
        <v>45.5</v>
      </c>
      <c r="KP23" s="339">
        <v>0.4</v>
      </c>
      <c r="KQ23" s="339">
        <v>75.355999999999995</v>
      </c>
      <c r="KR23" s="339">
        <v>34.625</v>
      </c>
      <c r="KS23" s="339">
        <v>0.4</v>
      </c>
      <c r="KT23" s="339">
        <v>75.775999999999996</v>
      </c>
      <c r="KU23" s="339">
        <v>39.125</v>
      </c>
      <c r="KV23" s="339">
        <v>0.38</v>
      </c>
      <c r="KW23" s="334">
        <v>77.680000000000007</v>
      </c>
      <c r="KX23" s="334">
        <v>40.125</v>
      </c>
      <c r="KY23" s="334">
        <v>0.38</v>
      </c>
      <c r="KZ23" s="334">
        <v>77.739999999999995</v>
      </c>
      <c r="LA23" s="334">
        <v>38.375</v>
      </c>
      <c r="LB23" s="334">
        <v>0.38</v>
      </c>
      <c r="LC23" s="334">
        <v>77.739999999999995</v>
      </c>
      <c r="LD23" s="334">
        <v>43.938000000000002</v>
      </c>
      <c r="LE23" s="334">
        <v>0.38</v>
      </c>
      <c r="LF23" s="334">
        <v>77.680000000000007</v>
      </c>
      <c r="LG23" s="334">
        <v>38.625</v>
      </c>
      <c r="LH23" s="334">
        <v>0.36</v>
      </c>
      <c r="LI23" s="334">
        <v>77.680000000000007</v>
      </c>
      <c r="LJ23" s="334">
        <v>36</v>
      </c>
      <c r="LK23" s="334">
        <v>0.36</v>
      </c>
      <c r="LL23" s="334">
        <v>77.61</v>
      </c>
      <c r="LM23" s="334">
        <v>37.25</v>
      </c>
      <c r="LN23" s="334">
        <v>0.36</v>
      </c>
      <c r="LO23" s="334">
        <v>77.605000000000004</v>
      </c>
      <c r="LP23" s="334">
        <v>35.125</v>
      </c>
      <c r="LQ23" s="334">
        <v>0.36</v>
      </c>
      <c r="LR23" s="334">
        <v>77.287000000000006</v>
      </c>
      <c r="LS23" s="334">
        <v>33.5625</v>
      </c>
      <c r="LT23" s="334">
        <v>0.34</v>
      </c>
      <c r="LU23" s="334">
        <v>77.287000000000006</v>
      </c>
      <c r="LV23" s="334">
        <v>28.25</v>
      </c>
      <c r="LW23" s="334">
        <v>0.34</v>
      </c>
      <c r="LX23" s="334">
        <v>77.194000000000003</v>
      </c>
      <c r="LY23" s="334">
        <v>27.75</v>
      </c>
      <c r="LZ23" s="334">
        <v>0.34</v>
      </c>
      <c r="MA23" s="334">
        <v>77.194000000000003</v>
      </c>
      <c r="MB23" s="334">
        <v>29</v>
      </c>
      <c r="MC23" s="334">
        <v>0.32</v>
      </c>
      <c r="MD23" s="334">
        <v>77.533000000000001</v>
      </c>
      <c r="ME23" s="334">
        <v>27.875</v>
      </c>
      <c r="MF23" s="334">
        <v>0.32</v>
      </c>
      <c r="MG23" s="334">
        <v>77.533000000000001</v>
      </c>
      <c r="MH23" s="334">
        <v>27.5</v>
      </c>
      <c r="MI23" s="334">
        <v>0.32</v>
      </c>
      <c r="MJ23" s="334">
        <v>77.533000000000001</v>
      </c>
      <c r="MK23" s="334">
        <v>28.875</v>
      </c>
      <c r="ML23" s="334">
        <v>0.32</v>
      </c>
      <c r="MM23" s="334">
        <v>77.533000000000001</v>
      </c>
      <c r="MN23" s="334">
        <v>30.75</v>
      </c>
      <c r="MO23" s="334">
        <v>0.32</v>
      </c>
      <c r="MP23" s="334">
        <v>79.438500000000005</v>
      </c>
      <c r="MQ23" s="334">
        <v>26.5</v>
      </c>
      <c r="MR23" s="334">
        <v>0.3</v>
      </c>
      <c r="MS23" s="334">
        <v>79.438500000000005</v>
      </c>
      <c r="MT23" s="334">
        <v>23.5</v>
      </c>
      <c r="MU23" s="334">
        <v>0.3</v>
      </c>
      <c r="MV23" s="334">
        <v>79.438500000000005</v>
      </c>
      <c r="MW23" s="334">
        <v>21.9166666666666</v>
      </c>
      <c r="MX23" s="334">
        <v>0.293333333333333</v>
      </c>
      <c r="MY23" s="334">
        <v>79.438500000000005</v>
      </c>
      <c r="MZ23" s="334">
        <v>19.75</v>
      </c>
      <c r="NA23" s="334">
        <v>0.293333333333333</v>
      </c>
      <c r="NB23" s="334">
        <v>79.438500000000005</v>
      </c>
      <c r="NC23" s="334">
        <v>19.3333333333333</v>
      </c>
      <c r="ND23" s="334">
        <v>0.28000000000000003</v>
      </c>
      <c r="NE23" s="334">
        <v>79.486500000000007</v>
      </c>
      <c r="NF23" s="334">
        <v>19.75</v>
      </c>
      <c r="NG23" s="334">
        <v>0.28000000000000003</v>
      </c>
      <c r="NH23" s="334">
        <v>79.486500000000007</v>
      </c>
      <c r="NI23" s="334">
        <v>20.8333333333333</v>
      </c>
      <c r="NJ23" s="334">
        <v>0.28000000000000003</v>
      </c>
      <c r="NK23" s="334">
        <v>79.486500000000007</v>
      </c>
      <c r="NL23" s="334">
        <v>23</v>
      </c>
      <c r="NM23" s="334">
        <v>0.28000000000000003</v>
      </c>
      <c r="NN23" s="334">
        <v>79.486500000000007</v>
      </c>
      <c r="NO23" s="334">
        <v>24.1666666666666</v>
      </c>
      <c r="NP23" s="334">
        <v>0.266666666666666</v>
      </c>
      <c r="NQ23" s="334">
        <v>79.447500000000005</v>
      </c>
      <c r="NR23" s="334">
        <v>23.0833333333333</v>
      </c>
      <c r="NS23" s="334">
        <v>0.266666666666666</v>
      </c>
      <c r="NT23" s="334">
        <v>79.429500000000004</v>
      </c>
      <c r="NU23" s="334">
        <v>23.5833333333333</v>
      </c>
      <c r="NV23" s="334">
        <v>0.266666666666666</v>
      </c>
      <c r="NW23" s="334">
        <v>79.364000000000004</v>
      </c>
      <c r="NX23" s="334">
        <v>21.5</v>
      </c>
      <c r="NY23" s="334">
        <v>0.25</v>
      </c>
      <c r="NZ23" s="334">
        <v>79.364000000000004</v>
      </c>
      <c r="OA23" s="334">
        <v>21.25</v>
      </c>
      <c r="OB23" s="334">
        <v>0.25</v>
      </c>
      <c r="OC23" s="334">
        <v>79.361999999999995</v>
      </c>
      <c r="OD23" s="334">
        <v>19.920000000000002</v>
      </c>
      <c r="OE23" s="334">
        <v>0.25</v>
      </c>
      <c r="OF23" s="334">
        <v>79.358999999999995</v>
      </c>
      <c r="OG23" s="334">
        <v>19</v>
      </c>
      <c r="OH23" s="334">
        <v>0.25</v>
      </c>
      <c r="OI23" s="334">
        <v>80.087000000000003</v>
      </c>
      <c r="OJ23" s="334">
        <v>20.420000000000002</v>
      </c>
      <c r="OK23" s="334">
        <v>0.24</v>
      </c>
      <c r="OL23" s="334">
        <v>80.316000000000003</v>
      </c>
      <c r="OM23" s="334">
        <v>19.25</v>
      </c>
      <c r="ON23" s="334">
        <v>0.24</v>
      </c>
      <c r="OO23" s="334">
        <v>80.465999999999994</v>
      </c>
      <c r="OP23" s="334">
        <v>17.5</v>
      </c>
      <c r="OQ23" s="334">
        <v>0.24</v>
      </c>
      <c r="OR23" s="334">
        <v>80.644999999999996</v>
      </c>
      <c r="OS23" s="334">
        <v>16.829999999999998</v>
      </c>
      <c r="OT23" s="334">
        <v>0.24</v>
      </c>
      <c r="OU23" s="334">
        <v>81.647999999999996</v>
      </c>
      <c r="OV23" s="334">
        <v>16.579999999999998</v>
      </c>
    </row>
    <row r="24" spans="1:412">
      <c r="A24" s="294" t="s">
        <v>22</v>
      </c>
      <c r="B24" s="335" t="s">
        <v>118</v>
      </c>
      <c r="C24" s="335">
        <v>207</v>
      </c>
      <c r="D24" s="335">
        <v>120.75</v>
      </c>
      <c r="E24" s="335">
        <v>1.0900000000000001</v>
      </c>
      <c r="F24" s="335">
        <v>207</v>
      </c>
      <c r="G24" s="335">
        <v>128.41</v>
      </c>
      <c r="H24" s="335">
        <v>1.02</v>
      </c>
      <c r="I24" s="335">
        <v>206</v>
      </c>
      <c r="J24" s="335">
        <v>111.01</v>
      </c>
      <c r="K24" s="335">
        <v>1.02</v>
      </c>
      <c r="L24" s="335">
        <v>206</v>
      </c>
      <c r="M24" s="335">
        <v>112.14</v>
      </c>
      <c r="N24" s="335">
        <v>1.02</v>
      </c>
      <c r="O24" s="335">
        <v>206</v>
      </c>
      <c r="P24" s="335">
        <v>110.26</v>
      </c>
      <c r="Q24" s="335">
        <v>1.02</v>
      </c>
      <c r="R24" s="340">
        <v>206</v>
      </c>
      <c r="S24" s="340">
        <v>99.28</v>
      </c>
      <c r="T24" s="340">
        <v>0.95250000000000001</v>
      </c>
      <c r="U24" s="340">
        <v>206</v>
      </c>
      <c r="V24" s="340">
        <v>110.02</v>
      </c>
      <c r="W24" s="340">
        <v>0.95250000000000001</v>
      </c>
      <c r="X24" s="340">
        <v>195</v>
      </c>
      <c r="Y24" s="340">
        <v>109.54</v>
      </c>
      <c r="Z24" s="340">
        <v>0.95250000000000001</v>
      </c>
      <c r="AA24" s="340">
        <v>193</v>
      </c>
      <c r="AB24" s="340">
        <v>117.53</v>
      </c>
      <c r="AC24" s="340">
        <v>0.95250000000000001</v>
      </c>
      <c r="AD24" s="340">
        <v>193</v>
      </c>
      <c r="AE24" s="340">
        <v>115.05</v>
      </c>
      <c r="AF24" s="340">
        <v>0.88500000000000001</v>
      </c>
      <c r="AG24" s="340">
        <v>193</v>
      </c>
      <c r="AH24" s="340">
        <v>126.75</v>
      </c>
      <c r="AI24" s="340">
        <v>0.88500000000000001</v>
      </c>
      <c r="AJ24" s="340">
        <v>193</v>
      </c>
      <c r="AK24" s="340">
        <v>132.21</v>
      </c>
      <c r="AL24" s="340">
        <v>0.88500000000000001</v>
      </c>
      <c r="AM24" s="340">
        <v>193</v>
      </c>
      <c r="AN24" s="340">
        <v>119.54</v>
      </c>
      <c r="AO24" s="340">
        <v>0.88500000000000001</v>
      </c>
      <c r="AP24" s="340">
        <v>193</v>
      </c>
      <c r="AQ24" s="340">
        <v>111.71</v>
      </c>
      <c r="AR24" s="340">
        <v>0.82499999999999996</v>
      </c>
      <c r="AS24" s="340">
        <v>194</v>
      </c>
      <c r="AT24" s="340">
        <v>129.6</v>
      </c>
      <c r="AU24" s="340">
        <v>0.82499999999999996</v>
      </c>
      <c r="AV24" s="340">
        <v>193</v>
      </c>
      <c r="AW24" s="340">
        <v>133.13999999999999</v>
      </c>
      <c r="AX24" s="340">
        <v>1.085</v>
      </c>
      <c r="AY24" s="503">
        <v>193</v>
      </c>
      <c r="AZ24" s="503">
        <v>121.41</v>
      </c>
      <c r="BA24" s="503">
        <v>1.085</v>
      </c>
      <c r="BB24" s="504">
        <v>192</v>
      </c>
      <c r="BC24" s="504">
        <v>115.04</v>
      </c>
      <c r="BD24" s="504">
        <v>1.0125</v>
      </c>
      <c r="BE24" s="504">
        <v>192</v>
      </c>
      <c r="BF24" s="504">
        <v>107.5</v>
      </c>
      <c r="BG24" s="504">
        <v>1.0125</v>
      </c>
      <c r="BH24" s="504">
        <v>185</v>
      </c>
      <c r="BI24" s="504">
        <v>94.97</v>
      </c>
      <c r="BJ24" s="504">
        <v>1.0125</v>
      </c>
      <c r="BK24" s="504">
        <v>183</v>
      </c>
      <c r="BL24" s="504">
        <v>129.87</v>
      </c>
      <c r="BM24" s="504">
        <v>1.0125</v>
      </c>
      <c r="BN24" s="504">
        <v>183</v>
      </c>
      <c r="BO24" s="504">
        <v>132.96</v>
      </c>
      <c r="BP24" s="504">
        <v>0.94499999999999995</v>
      </c>
      <c r="BQ24" s="504">
        <v>182</v>
      </c>
      <c r="BR24" s="504">
        <v>127.88</v>
      </c>
      <c r="BS24" s="504">
        <v>0.94499999999999995</v>
      </c>
      <c r="BT24" s="504">
        <v>181</v>
      </c>
      <c r="BU24" s="504">
        <v>124.74</v>
      </c>
      <c r="BV24" s="504">
        <v>0.94499999999999995</v>
      </c>
      <c r="BW24" s="504">
        <v>182</v>
      </c>
      <c r="BX24" s="504">
        <v>110.3</v>
      </c>
      <c r="BY24" s="507">
        <v>0.94499999999999995</v>
      </c>
      <c r="BZ24" s="504">
        <v>181</v>
      </c>
      <c r="CA24" s="504">
        <v>109.13</v>
      </c>
      <c r="CB24" s="504">
        <v>0.88249999999999995</v>
      </c>
      <c r="CC24" s="503">
        <v>180</v>
      </c>
      <c r="CD24" s="503">
        <v>103.63</v>
      </c>
      <c r="CE24" s="503">
        <v>0.88249999999999995</v>
      </c>
      <c r="CF24" s="503">
        <v>179</v>
      </c>
      <c r="CG24" s="503">
        <v>104.4</v>
      </c>
      <c r="CH24" s="503">
        <v>0.88249999999999995</v>
      </c>
      <c r="CI24" s="503">
        <v>179</v>
      </c>
      <c r="CJ24" s="503">
        <v>109.46</v>
      </c>
      <c r="CK24" s="508">
        <v>0.88249999999999995</v>
      </c>
      <c r="CL24" s="503">
        <v>179</v>
      </c>
      <c r="CM24" s="503">
        <v>107.36</v>
      </c>
      <c r="CN24" s="503">
        <v>0.82499999999999996</v>
      </c>
      <c r="CO24" s="503">
        <v>179</v>
      </c>
      <c r="CP24" s="503">
        <v>105.79</v>
      </c>
      <c r="CQ24" s="503">
        <v>0.82499999999999996</v>
      </c>
      <c r="CR24" s="504">
        <v>179</v>
      </c>
      <c r="CS24" s="504">
        <v>102.11</v>
      </c>
      <c r="CT24" s="504">
        <v>0.82499999999999996</v>
      </c>
      <c r="CU24" s="503">
        <v>179</v>
      </c>
      <c r="CV24" s="503">
        <v>98.51</v>
      </c>
      <c r="CW24" s="503">
        <v>0.82499999999999996</v>
      </c>
      <c r="CX24" s="339">
        <v>179</v>
      </c>
      <c r="CY24" s="339">
        <v>93.67</v>
      </c>
      <c r="CZ24" s="339">
        <v>0.77</v>
      </c>
      <c r="DA24" s="339">
        <v>179</v>
      </c>
      <c r="DB24" s="339">
        <v>99.12</v>
      </c>
      <c r="DC24" s="511">
        <v>0.77</v>
      </c>
      <c r="DD24" s="339">
        <v>179</v>
      </c>
      <c r="DE24" s="339">
        <v>90.66</v>
      </c>
      <c r="DF24" s="339">
        <v>0.73</v>
      </c>
      <c r="DG24" s="339">
        <v>179</v>
      </c>
      <c r="DH24" s="339">
        <v>80.19</v>
      </c>
      <c r="DI24" s="339">
        <v>0.73</v>
      </c>
      <c r="DJ24" s="339">
        <v>179</v>
      </c>
      <c r="DK24" s="339">
        <v>80.37</v>
      </c>
      <c r="DL24" s="339">
        <v>0.73</v>
      </c>
      <c r="DM24" s="339">
        <v>178</v>
      </c>
      <c r="DN24" s="339">
        <v>74.64</v>
      </c>
      <c r="DO24" s="510">
        <v>0.73</v>
      </c>
      <c r="DP24" s="340">
        <v>177</v>
      </c>
      <c r="DQ24" s="340">
        <v>80.69</v>
      </c>
      <c r="DR24" s="340">
        <v>0.69</v>
      </c>
      <c r="DS24" s="339">
        <v>177</v>
      </c>
      <c r="DT24" s="339">
        <v>86.37</v>
      </c>
      <c r="DU24" s="339">
        <v>0.69</v>
      </c>
      <c r="DV24" s="339">
        <v>177</v>
      </c>
      <c r="DW24" s="339">
        <v>76.08</v>
      </c>
      <c r="DX24" s="339">
        <v>0.69</v>
      </c>
      <c r="DY24" s="339">
        <v>177</v>
      </c>
      <c r="DZ24" s="339">
        <v>77.87</v>
      </c>
      <c r="EA24" s="510">
        <v>0.69</v>
      </c>
      <c r="EB24" s="340">
        <v>175</v>
      </c>
      <c r="EC24" s="340">
        <v>74.290000000000006</v>
      </c>
      <c r="ED24" s="340">
        <v>0.65500000000000003</v>
      </c>
      <c r="EE24" s="339">
        <v>175</v>
      </c>
      <c r="EF24" s="339">
        <v>66.39</v>
      </c>
      <c r="EG24" s="339">
        <v>0.65500000000000003</v>
      </c>
      <c r="EH24" s="339">
        <v>174</v>
      </c>
      <c r="EI24" s="339">
        <v>65.98</v>
      </c>
      <c r="EJ24" s="339">
        <v>0.65500000000000003</v>
      </c>
      <c r="EK24" s="339">
        <v>173</v>
      </c>
      <c r="EL24" s="339">
        <v>67.010000000000005</v>
      </c>
      <c r="EM24" s="339">
        <v>0.65500000000000003</v>
      </c>
      <c r="EN24" s="340">
        <v>171</v>
      </c>
      <c r="EO24" s="340">
        <v>68.34</v>
      </c>
      <c r="EP24" s="340">
        <v>0.62</v>
      </c>
      <c r="EQ24" s="339">
        <v>172</v>
      </c>
      <c r="ER24" s="339">
        <v>60.05</v>
      </c>
      <c r="ES24" s="339">
        <v>0.62</v>
      </c>
      <c r="ET24" s="339">
        <v>170</v>
      </c>
      <c r="EU24" s="339">
        <v>59.94</v>
      </c>
      <c r="EV24" s="339">
        <v>0.62</v>
      </c>
      <c r="EW24" s="339">
        <v>170</v>
      </c>
      <c r="EX24" s="339">
        <v>59.33</v>
      </c>
      <c r="EY24" s="510">
        <v>0.62</v>
      </c>
      <c r="EZ24" s="340">
        <v>169</v>
      </c>
      <c r="FA24" s="340">
        <v>55.03</v>
      </c>
      <c r="FB24" s="340">
        <v>0.58750000000000002</v>
      </c>
      <c r="FC24" s="339">
        <v>169</v>
      </c>
      <c r="FD24" s="339">
        <v>54.45</v>
      </c>
      <c r="FE24" s="339">
        <v>0.58750000000000002</v>
      </c>
      <c r="FF24" s="339">
        <v>169</v>
      </c>
      <c r="FG24" s="339">
        <v>49.02</v>
      </c>
      <c r="FH24" s="339">
        <v>0.58750000000000002</v>
      </c>
      <c r="FI24" s="339">
        <v>169</v>
      </c>
      <c r="FJ24" s="339">
        <v>50.02</v>
      </c>
      <c r="FK24" s="511">
        <v>0.58750000000000002</v>
      </c>
      <c r="FL24" s="339">
        <v>169</v>
      </c>
      <c r="FM24" s="339">
        <v>48.96</v>
      </c>
      <c r="FN24" s="339">
        <v>0.56000000000000005</v>
      </c>
      <c r="FO24" s="339">
        <v>169</v>
      </c>
      <c r="FP24" s="339">
        <v>45.32</v>
      </c>
      <c r="FQ24" s="339">
        <v>0.56000000000000005</v>
      </c>
      <c r="FR24" s="339">
        <v>169</v>
      </c>
      <c r="FS24" s="339">
        <v>45.93</v>
      </c>
      <c r="FT24" s="339">
        <v>0.56000000000000005</v>
      </c>
      <c r="FU24" s="339">
        <v>166</v>
      </c>
      <c r="FV24" s="339">
        <v>45.61</v>
      </c>
      <c r="FW24" s="339">
        <v>0.53</v>
      </c>
      <c r="FX24" s="339">
        <v>165</v>
      </c>
      <c r="FY24" s="339">
        <v>44.6</v>
      </c>
      <c r="FZ24" s="339">
        <v>0.53</v>
      </c>
      <c r="GA24" s="339">
        <v>165</v>
      </c>
      <c r="GB24" s="339">
        <v>43.59</v>
      </c>
      <c r="GC24" s="339">
        <v>0.53</v>
      </c>
      <c r="GD24" s="339">
        <v>164</v>
      </c>
      <c r="GE24" s="339">
        <v>35.14</v>
      </c>
      <c r="GF24" s="339">
        <v>0.53</v>
      </c>
      <c r="GG24" s="339">
        <v>163</v>
      </c>
      <c r="GH24" s="339">
        <v>32</v>
      </c>
      <c r="GI24" s="339">
        <v>0.53</v>
      </c>
      <c r="GJ24" s="339">
        <v>162</v>
      </c>
      <c r="GK24" s="339">
        <v>27.7</v>
      </c>
      <c r="GL24" s="339">
        <v>0.53</v>
      </c>
      <c r="GM24" s="339">
        <v>162</v>
      </c>
      <c r="GN24" s="339">
        <v>35.67</v>
      </c>
      <c r="GO24" s="339">
        <v>0.53</v>
      </c>
      <c r="GP24" s="339">
        <v>162</v>
      </c>
      <c r="GQ24" s="339">
        <v>40.119999999999997</v>
      </c>
      <c r="GR24" s="339">
        <v>0.53</v>
      </c>
      <c r="GS24" s="339">
        <v>162</v>
      </c>
      <c r="GT24" s="339">
        <v>42.44</v>
      </c>
      <c r="GU24" s="339">
        <v>0.53</v>
      </c>
      <c r="GV24" s="339">
        <v>169</v>
      </c>
      <c r="GW24" s="339">
        <v>38.89</v>
      </c>
      <c r="GX24" s="339">
        <v>0.53</v>
      </c>
      <c r="GY24" s="339">
        <v>165</v>
      </c>
      <c r="GZ24" s="339">
        <v>43.96</v>
      </c>
      <c r="HA24" s="339">
        <v>0.53</v>
      </c>
      <c r="HB24" s="339">
        <v>174</v>
      </c>
      <c r="HC24" s="339">
        <v>48.44</v>
      </c>
      <c r="HD24" s="339">
        <v>0.53</v>
      </c>
      <c r="HE24" s="339">
        <v>176</v>
      </c>
      <c r="HF24" s="339">
        <v>48.22</v>
      </c>
      <c r="HG24" s="339">
        <v>0.53</v>
      </c>
      <c r="HH24" s="339">
        <v>177</v>
      </c>
      <c r="HI24" s="505">
        <v>47.9</v>
      </c>
      <c r="HJ24" s="339">
        <v>0.53</v>
      </c>
      <c r="HK24" s="339">
        <v>177</v>
      </c>
      <c r="HL24" s="339">
        <v>48.41</v>
      </c>
      <c r="HM24" s="512">
        <v>0.53</v>
      </c>
      <c r="HN24" s="339">
        <v>177.1</v>
      </c>
      <c r="HO24" s="339">
        <v>41.51</v>
      </c>
      <c r="HP24" s="339">
        <v>0.51500000000000001</v>
      </c>
      <c r="HQ24" s="339">
        <v>177.2</v>
      </c>
      <c r="HR24" s="339">
        <v>40.74</v>
      </c>
      <c r="HS24" s="339">
        <v>0.51500000000000001</v>
      </c>
      <c r="HT24" s="339">
        <v>175.5</v>
      </c>
      <c r="HU24" s="339">
        <v>40.090000000000003</v>
      </c>
      <c r="HV24" s="339">
        <v>0.51500000000000001</v>
      </c>
      <c r="HW24" s="339">
        <v>175.5</v>
      </c>
      <c r="HX24" s="506">
        <v>43.19</v>
      </c>
      <c r="HY24" s="513">
        <f>2.06/4</f>
        <v>0.51500000000000001</v>
      </c>
      <c r="HZ24" s="339">
        <v>173.6</v>
      </c>
      <c r="IA24" s="339">
        <v>45.86</v>
      </c>
      <c r="IB24" s="339">
        <v>0.51500000000000001</v>
      </c>
      <c r="IC24" s="339">
        <v>173.7</v>
      </c>
      <c r="ID24" s="339">
        <v>46.77</v>
      </c>
      <c r="IE24" s="339">
        <v>0.51500000000000001</v>
      </c>
      <c r="IF24" s="339">
        <v>173.5</v>
      </c>
      <c r="IG24" s="339">
        <v>45.48</v>
      </c>
      <c r="IH24" s="339">
        <v>0.51500000000000001</v>
      </c>
      <c r="II24" s="339">
        <v>173.5</v>
      </c>
      <c r="IJ24" s="505">
        <v>43.13</v>
      </c>
      <c r="IK24" s="339">
        <v>0.51500000000000001</v>
      </c>
      <c r="IL24" s="339">
        <v>173.2</v>
      </c>
      <c r="IM24" s="339">
        <v>42.19</v>
      </c>
      <c r="IN24" s="339">
        <v>0.51500000000000001</v>
      </c>
      <c r="IO24" s="339">
        <v>169.9</v>
      </c>
      <c r="IP24" s="339">
        <v>40.54</v>
      </c>
      <c r="IQ24" s="339">
        <v>0.51500000000000001</v>
      </c>
      <c r="IR24" s="339">
        <v>168</v>
      </c>
      <c r="IS24" s="339">
        <v>41.15</v>
      </c>
      <c r="IT24" s="339">
        <v>0.51500000000000001</v>
      </c>
      <c r="IU24" s="339">
        <v>167.83600000000001</v>
      </c>
      <c r="IV24" s="339">
        <v>39.4</v>
      </c>
      <c r="IW24" s="339">
        <v>0.51500000000000001</v>
      </c>
      <c r="IX24" s="339">
        <v>167.53399999999999</v>
      </c>
      <c r="IY24" s="339">
        <v>36.89</v>
      </c>
      <c r="IZ24" s="339">
        <v>0.51500000000000001</v>
      </c>
      <c r="JA24" s="339">
        <v>167.24199999999999</v>
      </c>
      <c r="JB24" s="339">
        <v>38.64</v>
      </c>
      <c r="JC24" s="339">
        <v>0.51500000000000001</v>
      </c>
      <c r="JD24" s="339">
        <v>167.5</v>
      </c>
      <c r="JE24" s="339">
        <v>38.65</v>
      </c>
      <c r="JF24" s="339">
        <v>0.51500000000000001</v>
      </c>
      <c r="JG24" s="339">
        <v>167.06</v>
      </c>
      <c r="JH24" s="339">
        <v>46.4</v>
      </c>
      <c r="JI24" s="339">
        <v>0.51500000000000001</v>
      </c>
      <c r="JJ24" s="339">
        <v>161.124</v>
      </c>
      <c r="JK24" s="339">
        <v>40.700000000000003</v>
      </c>
      <c r="JL24" s="339">
        <v>0.51500000000000001</v>
      </c>
      <c r="JM24" s="339">
        <v>160.72499999999999</v>
      </c>
      <c r="JN24" s="339">
        <v>44.64</v>
      </c>
      <c r="JO24" s="339">
        <v>0.51500000000000001</v>
      </c>
      <c r="JP24" s="339">
        <v>162.69999999999999</v>
      </c>
      <c r="JQ24" s="339">
        <v>45.5</v>
      </c>
      <c r="JR24" s="339">
        <v>0.51500000000000001</v>
      </c>
      <c r="JS24" s="339">
        <v>164</v>
      </c>
      <c r="JT24" s="339">
        <v>41.94</v>
      </c>
      <c r="JU24" s="339">
        <v>0.51500000000000001</v>
      </c>
      <c r="JV24" s="339">
        <v>145</v>
      </c>
      <c r="JW24" s="339">
        <v>43.05</v>
      </c>
      <c r="JX24" s="339">
        <v>0.51500000000000001</v>
      </c>
      <c r="JY24" s="339">
        <v>142</v>
      </c>
      <c r="JZ24" s="339">
        <v>46.44</v>
      </c>
      <c r="KA24" s="339">
        <v>0.51500000000000001</v>
      </c>
      <c r="KB24" s="339">
        <v>143</v>
      </c>
      <c r="KC24" s="339">
        <v>39.799999999999997</v>
      </c>
      <c r="KD24" s="339">
        <v>0.51500000000000001</v>
      </c>
      <c r="KE24" s="339">
        <v>143</v>
      </c>
      <c r="KF24" s="339">
        <v>38.9375</v>
      </c>
      <c r="KG24" s="339">
        <v>0.51500000000000001</v>
      </c>
      <c r="KH24" s="339">
        <v>143</v>
      </c>
      <c r="KI24" s="339">
        <v>38.25</v>
      </c>
      <c r="KJ24" s="339">
        <v>0.51500000000000001</v>
      </c>
      <c r="KK24" s="339">
        <v>145</v>
      </c>
      <c r="KL24" s="339">
        <v>30.5625</v>
      </c>
      <c r="KM24" s="339">
        <v>0.51500000000000001</v>
      </c>
      <c r="KN24" s="339">
        <v>145</v>
      </c>
      <c r="KO24" s="339">
        <v>29.125</v>
      </c>
      <c r="KP24" s="339">
        <v>0.51500000000000001</v>
      </c>
      <c r="KQ24" s="339">
        <v>145</v>
      </c>
      <c r="KR24" s="339">
        <v>31.375</v>
      </c>
      <c r="KS24" s="339">
        <v>0.51500000000000001</v>
      </c>
      <c r="KT24" s="339">
        <v>145</v>
      </c>
      <c r="KU24" s="339">
        <v>36.375</v>
      </c>
      <c r="KV24" s="339">
        <v>0.51500000000000001</v>
      </c>
      <c r="KW24" s="334">
        <v>145.08000000000001</v>
      </c>
      <c r="KX24" s="334">
        <v>40.75</v>
      </c>
      <c r="KY24" s="334">
        <v>0.51500000000000001</v>
      </c>
      <c r="KZ24" s="334">
        <v>145</v>
      </c>
      <c r="LA24" s="334">
        <v>38.4375</v>
      </c>
      <c r="LB24" s="334">
        <v>0.51500000000000001</v>
      </c>
      <c r="LC24" s="334">
        <v>145</v>
      </c>
      <c r="LD24" s="334">
        <v>43.063000000000002</v>
      </c>
      <c r="LE24" s="334">
        <v>0.51500000000000001</v>
      </c>
      <c r="LF24" s="334">
        <v>145</v>
      </c>
      <c r="LG24" s="334">
        <v>45.188000000000002</v>
      </c>
      <c r="LH24" s="334">
        <v>0.51500000000000001</v>
      </c>
      <c r="LI24" s="334">
        <v>145</v>
      </c>
      <c r="LJ24" s="334">
        <v>40.375</v>
      </c>
      <c r="LK24" s="334">
        <v>0.51500000000000001</v>
      </c>
      <c r="LL24" s="334">
        <v>145.1</v>
      </c>
      <c r="LM24" s="334">
        <v>39.3125</v>
      </c>
      <c r="LN24" s="334">
        <v>0.51500000000000001</v>
      </c>
      <c r="LO24" s="334">
        <v>145.09800000000001</v>
      </c>
      <c r="LP24" s="334">
        <v>34.6875</v>
      </c>
      <c r="LQ24" s="334">
        <v>0.51500000000000001</v>
      </c>
      <c r="LR24" s="334">
        <v>145.12</v>
      </c>
      <c r="LS24" s="334">
        <v>30.4375</v>
      </c>
      <c r="LT24" s="334">
        <v>0.51500000000000001</v>
      </c>
      <c r="LU24" s="334">
        <v>145.12</v>
      </c>
      <c r="LV24" s="334">
        <v>27.625</v>
      </c>
      <c r="LW24" s="334">
        <v>0.51500000000000001</v>
      </c>
      <c r="LX24" s="334">
        <v>145.12</v>
      </c>
      <c r="LY24" s="334">
        <v>26.875</v>
      </c>
      <c r="LZ24" s="334">
        <v>0.51500000000000001</v>
      </c>
      <c r="MA24" s="334">
        <v>145.12</v>
      </c>
      <c r="MB24" s="334">
        <v>32.375</v>
      </c>
      <c r="MC24" s="334">
        <v>0.51500000000000001</v>
      </c>
      <c r="MD24" s="334">
        <v>144.90600000000001</v>
      </c>
      <c r="ME24" s="334">
        <v>28</v>
      </c>
      <c r="MF24" s="334">
        <v>0.51500000000000001</v>
      </c>
      <c r="MG24" s="334">
        <v>144.90600000000001</v>
      </c>
      <c r="MH24" s="334">
        <v>30.875</v>
      </c>
      <c r="MI24" s="334">
        <v>0.51500000000000001</v>
      </c>
      <c r="MJ24" s="334">
        <v>144.90600000000001</v>
      </c>
      <c r="MK24" s="334">
        <v>33.625</v>
      </c>
      <c r="ML24" s="334">
        <v>0.51500000000000001</v>
      </c>
      <c r="MM24" s="334">
        <v>144.90600000000001</v>
      </c>
      <c r="MN24" s="334">
        <v>34.5</v>
      </c>
      <c r="MO24" s="334">
        <v>0.51500000000000001</v>
      </c>
      <c r="MP24" s="334">
        <v>144.864</v>
      </c>
      <c r="MQ24" s="334">
        <v>32.25</v>
      </c>
      <c r="MR24" s="334">
        <v>0.51500000000000001</v>
      </c>
      <c r="MS24" s="334">
        <v>144.864</v>
      </c>
      <c r="MT24" s="334">
        <v>29.5</v>
      </c>
      <c r="MU24" s="334">
        <v>0.51500000000000001</v>
      </c>
      <c r="MV24" s="334">
        <v>144.864</v>
      </c>
      <c r="MW24" s="334">
        <v>27.375</v>
      </c>
      <c r="MX24" s="334">
        <v>0.51500000000000001</v>
      </c>
      <c r="MY24" s="334">
        <v>146.702</v>
      </c>
      <c r="MZ24" s="334">
        <v>26.125</v>
      </c>
      <c r="NA24" s="334">
        <v>0.51500000000000001</v>
      </c>
      <c r="NB24" s="334">
        <v>146.702</v>
      </c>
      <c r="NC24" s="334">
        <v>25.5</v>
      </c>
      <c r="ND24" s="334">
        <v>0.51500000000000001</v>
      </c>
      <c r="NE24" s="334">
        <v>147.04499999999999</v>
      </c>
      <c r="NF24" s="334">
        <v>24.75</v>
      </c>
      <c r="NG24" s="334">
        <v>0.51500000000000001</v>
      </c>
      <c r="NH24" s="334">
        <v>147.03299999999999</v>
      </c>
      <c r="NI24" s="334">
        <v>26.5</v>
      </c>
      <c r="NJ24" s="334">
        <v>0.51500000000000001</v>
      </c>
      <c r="NK24" s="334">
        <v>147.03299999999999</v>
      </c>
      <c r="NL24" s="334">
        <v>30</v>
      </c>
      <c r="NM24" s="334">
        <v>0.51500000000000001</v>
      </c>
      <c r="NN24" s="334">
        <v>147.03299999999999</v>
      </c>
      <c r="NO24" s="334">
        <v>34.375</v>
      </c>
      <c r="NP24" s="334">
        <v>0.51500000000000001</v>
      </c>
      <c r="NQ24" s="334">
        <v>147.02699999999999</v>
      </c>
      <c r="NR24" s="334">
        <v>34.75</v>
      </c>
      <c r="NS24" s="334">
        <v>0.51500000000000001</v>
      </c>
      <c r="NT24" s="334">
        <v>147.02099999999999</v>
      </c>
      <c r="NU24" s="334">
        <v>35.125</v>
      </c>
      <c r="NV24" s="334">
        <v>0.51500000000000001</v>
      </c>
      <c r="NW24" s="334">
        <v>146.995</v>
      </c>
      <c r="NX24" s="334">
        <v>32.75</v>
      </c>
      <c r="NY24" s="334">
        <v>0.5</v>
      </c>
      <c r="NZ24" s="334">
        <v>146.995</v>
      </c>
      <c r="OA24" s="334">
        <v>32.380000000000003</v>
      </c>
      <c r="OB24" s="334">
        <v>0.5</v>
      </c>
      <c r="OC24" s="334">
        <v>146.99100000000001</v>
      </c>
      <c r="OD24" s="334">
        <v>31.25</v>
      </c>
      <c r="OE24" s="334">
        <v>0.5</v>
      </c>
      <c r="OF24" s="334">
        <v>146.98699999999999</v>
      </c>
      <c r="OG24" s="334">
        <v>30.88</v>
      </c>
      <c r="OH24" s="334">
        <v>0.47</v>
      </c>
      <c r="OI24" s="334">
        <v>146.946</v>
      </c>
      <c r="OJ24" s="334">
        <v>34.75</v>
      </c>
      <c r="OK24" s="334">
        <v>0.47</v>
      </c>
      <c r="OL24" s="334">
        <v>146.93799999999999</v>
      </c>
      <c r="OM24" s="334">
        <v>31.88</v>
      </c>
      <c r="ON24" s="334">
        <v>0.47</v>
      </c>
      <c r="OO24" s="334">
        <v>146.93199999999999</v>
      </c>
      <c r="OP24" s="334">
        <v>28.5</v>
      </c>
      <c r="OQ24" s="334">
        <v>0.47</v>
      </c>
      <c r="OR24" s="334">
        <v>146.92500000000001</v>
      </c>
      <c r="OS24" s="334">
        <v>29</v>
      </c>
      <c r="OT24" s="334">
        <v>0.45</v>
      </c>
      <c r="OU24" s="334">
        <v>146.88900000000001</v>
      </c>
      <c r="OV24" s="334">
        <v>28.25</v>
      </c>
    </row>
    <row r="25" spans="1:412">
      <c r="A25" s="294" t="s">
        <v>10</v>
      </c>
      <c r="B25" s="335" t="s">
        <v>119</v>
      </c>
      <c r="C25" s="335">
        <v>839</v>
      </c>
      <c r="D25" s="335">
        <v>53.86</v>
      </c>
      <c r="E25" s="335">
        <v>0.66749999999999998</v>
      </c>
      <c r="F25" s="335">
        <v>838.3</v>
      </c>
      <c r="G25" s="335">
        <v>57.79</v>
      </c>
      <c r="H25" s="335">
        <v>0.66749999999999998</v>
      </c>
      <c r="I25" s="335">
        <v>837.6</v>
      </c>
      <c r="J25" s="335">
        <v>49</v>
      </c>
      <c r="K25" s="335">
        <v>0.66749999999999998</v>
      </c>
      <c r="L25" s="335">
        <v>837.6</v>
      </c>
      <c r="M25" s="335">
        <v>49.19</v>
      </c>
      <c r="N25" s="335">
        <v>0.66749999999999998</v>
      </c>
      <c r="O25" s="335">
        <v>836.8</v>
      </c>
      <c r="P25" s="335">
        <v>47</v>
      </c>
      <c r="Q25" s="335">
        <v>0.66749999999999998</v>
      </c>
      <c r="R25" s="340">
        <v>836</v>
      </c>
      <c r="S25" s="340">
        <v>44.67</v>
      </c>
      <c r="T25" s="340">
        <v>0.66749999999999998</v>
      </c>
      <c r="U25" s="340">
        <v>835.2</v>
      </c>
      <c r="V25" s="340">
        <v>51.79</v>
      </c>
      <c r="W25" s="340">
        <v>0.66749999999999998</v>
      </c>
      <c r="X25" s="340">
        <v>823.9</v>
      </c>
      <c r="Y25" s="340">
        <v>55.91</v>
      </c>
      <c r="Z25" s="340">
        <v>0.66749999999999998</v>
      </c>
      <c r="AA25" s="340">
        <v>832.6</v>
      </c>
      <c r="AB25" s="340">
        <v>61.32</v>
      </c>
      <c r="AC25" s="340">
        <v>0.66749999999999998</v>
      </c>
      <c r="AD25" s="340">
        <v>818.4</v>
      </c>
      <c r="AE25" s="340">
        <v>69.11</v>
      </c>
      <c r="AF25" s="340">
        <v>0.66749999999999998</v>
      </c>
      <c r="AG25" s="340">
        <v>810.6</v>
      </c>
      <c r="AH25" s="340">
        <v>79.81</v>
      </c>
      <c r="AI25" s="340">
        <v>0.66749999999999998</v>
      </c>
      <c r="AJ25" s="340">
        <v>807.8</v>
      </c>
      <c r="AK25" s="340">
        <v>84.97</v>
      </c>
      <c r="AL25" s="340">
        <v>0.66749999999999998</v>
      </c>
      <c r="AM25" s="340">
        <v>808.7</v>
      </c>
      <c r="AN25" s="340">
        <v>78.56</v>
      </c>
      <c r="AO25" s="340">
        <v>0.63</v>
      </c>
      <c r="AP25" s="340">
        <v>806.6</v>
      </c>
      <c r="AQ25" s="340">
        <v>73.02</v>
      </c>
      <c r="AR25" s="340">
        <v>0.63</v>
      </c>
      <c r="AS25" s="340">
        <v>805.9</v>
      </c>
      <c r="AT25" s="340">
        <v>73.569999999999993</v>
      </c>
      <c r="AU25" s="340">
        <v>0.63</v>
      </c>
      <c r="AV25" s="340">
        <v>831</v>
      </c>
      <c r="AW25" s="340">
        <v>75.959999999999994</v>
      </c>
      <c r="AX25" s="340">
        <v>0.63</v>
      </c>
      <c r="AY25" s="503">
        <v>833.8</v>
      </c>
      <c r="AZ25" s="503">
        <v>75.2</v>
      </c>
      <c r="BA25" s="503">
        <v>0.63</v>
      </c>
      <c r="BB25" s="504">
        <v>839.4</v>
      </c>
      <c r="BC25" s="504">
        <v>78.930000000000007</v>
      </c>
      <c r="BD25" s="504">
        <v>0.94</v>
      </c>
      <c r="BE25" s="504">
        <v>838.2</v>
      </c>
      <c r="BF25" s="504">
        <v>81.180000000000007</v>
      </c>
      <c r="BG25" s="504">
        <v>0.94</v>
      </c>
      <c r="BH25" s="504">
        <v>808.8</v>
      </c>
      <c r="BI25" s="504">
        <v>72.19</v>
      </c>
      <c r="BJ25" s="518">
        <v>0.94</v>
      </c>
      <c r="BK25" s="504">
        <v>813</v>
      </c>
      <c r="BL25" s="504">
        <v>82.82</v>
      </c>
      <c r="BM25" s="504">
        <v>0.91749999999999998</v>
      </c>
      <c r="BN25" s="504">
        <v>802.5</v>
      </c>
      <c r="BO25" s="504">
        <v>81.040000000000006</v>
      </c>
      <c r="BP25" s="504">
        <v>0.91749999999999998</v>
      </c>
      <c r="BQ25" s="504">
        <v>793.1</v>
      </c>
      <c r="BR25" s="504">
        <v>77.319999999999993</v>
      </c>
      <c r="BS25" s="504">
        <v>0.91749999999999998</v>
      </c>
      <c r="BT25" s="504">
        <v>654.20000000000005</v>
      </c>
      <c r="BU25" s="504">
        <v>76.66</v>
      </c>
      <c r="BV25" s="504">
        <v>0.91749999999999998</v>
      </c>
      <c r="BW25" s="504">
        <v>653.9</v>
      </c>
      <c r="BX25" s="504">
        <v>71.459999999999994</v>
      </c>
      <c r="BY25" s="507">
        <v>0.91749999999999998</v>
      </c>
      <c r="BZ25" s="504">
        <v>652.79999999999995</v>
      </c>
      <c r="CA25" s="504">
        <v>70.28</v>
      </c>
      <c r="CB25" s="504">
        <v>0.83499999999999996</v>
      </c>
      <c r="CC25" s="503">
        <v>650.5</v>
      </c>
      <c r="CD25" s="503">
        <v>68.180000000000007</v>
      </c>
      <c r="CE25" s="503">
        <v>0.83499999999999996</v>
      </c>
      <c r="CF25" s="503">
        <v>643.9</v>
      </c>
      <c r="CG25" s="503">
        <v>67.430000000000007</v>
      </c>
      <c r="CH25" s="508">
        <v>0.83499999999999996</v>
      </c>
      <c r="CI25" s="503">
        <v>642.5</v>
      </c>
      <c r="CJ25" s="503">
        <v>81.06</v>
      </c>
      <c r="CK25" s="508">
        <v>0.77</v>
      </c>
      <c r="CL25" s="503">
        <v>629.20000000000005</v>
      </c>
      <c r="CM25" s="503">
        <v>76.930000000000007</v>
      </c>
      <c r="CN25" s="503">
        <v>0.755</v>
      </c>
      <c r="CO25" s="503">
        <v>628.1</v>
      </c>
      <c r="CP25" s="503">
        <v>76.63</v>
      </c>
      <c r="CQ25" s="503">
        <v>0.755</v>
      </c>
      <c r="CR25" s="504">
        <v>616.4</v>
      </c>
      <c r="CS25" s="504">
        <v>77.569999999999993</v>
      </c>
      <c r="CT25" s="514">
        <v>0.755</v>
      </c>
      <c r="CU25" s="503">
        <v>625.9</v>
      </c>
      <c r="CV25" s="503">
        <v>76.59</v>
      </c>
      <c r="CW25" s="503">
        <v>0.7</v>
      </c>
      <c r="CX25" s="339">
        <v>615.6</v>
      </c>
      <c r="CY25" s="339">
        <v>74.27</v>
      </c>
      <c r="CZ25" s="339">
        <v>0.7</v>
      </c>
      <c r="DA25" s="339">
        <v>596.6</v>
      </c>
      <c r="DB25" s="339">
        <v>77.930000000000007</v>
      </c>
      <c r="DC25" s="339">
        <v>0.7</v>
      </c>
      <c r="DD25" s="339">
        <v>592.4</v>
      </c>
      <c r="DE25" s="339">
        <v>75.12</v>
      </c>
      <c r="DF25" s="511">
        <v>0.7</v>
      </c>
      <c r="DG25" s="339">
        <v>594.6</v>
      </c>
      <c r="DH25" s="339">
        <v>67.64</v>
      </c>
      <c r="DI25" s="339">
        <v>0.64749999999999996</v>
      </c>
      <c r="DJ25" s="339">
        <v>591.5</v>
      </c>
      <c r="DK25" s="339">
        <v>70.38</v>
      </c>
      <c r="DL25" s="339">
        <v>0.64749999999999996</v>
      </c>
      <c r="DM25" s="339">
        <v>587.9</v>
      </c>
      <c r="DN25" s="339">
        <v>66.87</v>
      </c>
      <c r="DO25" s="339">
        <v>0.64749999999999996</v>
      </c>
      <c r="DP25" s="340">
        <v>584.20000000000005</v>
      </c>
      <c r="DQ25" s="340">
        <v>70.87</v>
      </c>
      <c r="DR25" s="515">
        <v>0.64749999999999996</v>
      </c>
      <c r="DS25" s="339">
        <v>583.1</v>
      </c>
      <c r="DT25" s="339">
        <v>76.900000000000006</v>
      </c>
      <c r="DU25" s="339">
        <v>0.6</v>
      </c>
      <c r="DV25" s="339">
        <v>581.9</v>
      </c>
      <c r="DW25" s="339">
        <v>69.09</v>
      </c>
      <c r="DX25" s="339">
        <v>0.6</v>
      </c>
      <c r="DY25" s="339">
        <v>581.6</v>
      </c>
      <c r="DZ25" s="339">
        <v>71.52</v>
      </c>
      <c r="EA25" s="339">
        <v>0.6</v>
      </c>
      <c r="EB25" s="340">
        <v>578.70000000000005</v>
      </c>
      <c r="EC25" s="340">
        <v>70.989999999999995</v>
      </c>
      <c r="ED25" s="515">
        <v>0.6</v>
      </c>
      <c r="EE25" s="339">
        <v>579.4</v>
      </c>
      <c r="EF25" s="339">
        <v>64.69</v>
      </c>
      <c r="EG25" s="339">
        <v>0.5625</v>
      </c>
      <c r="EH25" s="339">
        <v>578.1</v>
      </c>
      <c r="EI25" s="339">
        <v>62.48</v>
      </c>
      <c r="EJ25" s="339">
        <v>0.5625</v>
      </c>
      <c r="EK25" s="339">
        <v>576.6</v>
      </c>
      <c r="EL25" s="339">
        <v>56.82</v>
      </c>
      <c r="EM25" s="339">
        <v>0.5625</v>
      </c>
      <c r="EN25" s="340">
        <v>572.9</v>
      </c>
      <c r="EO25" s="340">
        <v>58.18</v>
      </c>
      <c r="EP25" s="340">
        <v>0.5625</v>
      </c>
      <c r="EQ25" s="339">
        <v>573.79999999999995</v>
      </c>
      <c r="ER25" s="339">
        <v>51.8</v>
      </c>
      <c r="ES25" s="510">
        <v>0.5625</v>
      </c>
      <c r="ET25" s="339">
        <v>572</v>
      </c>
      <c r="EU25" s="339">
        <v>52.94</v>
      </c>
      <c r="EV25" s="339">
        <v>0.52749999999999997</v>
      </c>
      <c r="EW25" s="339">
        <v>570.5</v>
      </c>
      <c r="EX25" s="339">
        <v>54</v>
      </c>
      <c r="EY25" s="339">
        <v>0.52749999999999997</v>
      </c>
      <c r="EZ25" s="340">
        <v>573.1</v>
      </c>
      <c r="FA25" s="340">
        <v>51.21</v>
      </c>
      <c r="FB25" s="515">
        <v>0.52749999999999997</v>
      </c>
      <c r="FC25" s="339">
        <v>569.4</v>
      </c>
      <c r="FD25" s="339">
        <v>53.07</v>
      </c>
      <c r="FE25" s="339">
        <v>0.49249999999999999</v>
      </c>
      <c r="FF25" s="339">
        <v>573.4</v>
      </c>
      <c r="FG25" s="339">
        <v>50.77</v>
      </c>
      <c r="FH25" s="339">
        <v>0.49249999999999999</v>
      </c>
      <c r="FI25" s="339">
        <v>579.79999999999995</v>
      </c>
      <c r="FJ25" s="339">
        <v>48.27</v>
      </c>
      <c r="FK25" s="339">
        <v>0.49249999999999999</v>
      </c>
      <c r="FL25" s="339">
        <v>580.5</v>
      </c>
      <c r="FM25" s="339">
        <v>44.7</v>
      </c>
      <c r="FN25" s="339">
        <v>0.49249999999999999</v>
      </c>
      <c r="FO25" s="339">
        <v>585</v>
      </c>
      <c r="FP25" s="339">
        <v>42.72</v>
      </c>
      <c r="FQ25" s="511">
        <v>0.49249999999999999</v>
      </c>
      <c r="FR25" s="339">
        <v>590.4</v>
      </c>
      <c r="FS25" s="339">
        <v>43.66</v>
      </c>
      <c r="FT25" s="339">
        <v>0.45750000000000002</v>
      </c>
      <c r="FU25" s="339">
        <v>599.9</v>
      </c>
      <c r="FV25" s="339">
        <v>38.74</v>
      </c>
      <c r="FW25" s="339">
        <v>0.45750000000000002</v>
      </c>
      <c r="FX25" s="339">
        <v>598.1</v>
      </c>
      <c r="FY25" s="339">
        <v>41.11</v>
      </c>
      <c r="FZ25" s="339">
        <v>0.45750000000000002</v>
      </c>
      <c r="GA25" s="339">
        <v>595.9</v>
      </c>
      <c r="GB25" s="339">
        <v>38.92</v>
      </c>
      <c r="GC25" s="339">
        <v>0.45750000000000002</v>
      </c>
      <c r="GD25" s="339">
        <v>593.70000000000005</v>
      </c>
      <c r="GE25" s="339">
        <v>34.5</v>
      </c>
      <c r="GF25" s="339">
        <v>0.4375</v>
      </c>
      <c r="GG25" s="339">
        <v>585.29999999999995</v>
      </c>
      <c r="GH25" s="339">
        <v>33.42</v>
      </c>
      <c r="GI25" s="339">
        <v>0.4375</v>
      </c>
      <c r="GJ25" s="339">
        <v>580.20000000000005</v>
      </c>
      <c r="GK25" s="339">
        <v>30.99</v>
      </c>
      <c r="GL25" s="339">
        <v>0.4375</v>
      </c>
      <c r="GM25" s="339">
        <v>578.6</v>
      </c>
      <c r="GN25" s="339">
        <v>35.840000000000003</v>
      </c>
      <c r="GO25" s="339">
        <v>0.4375</v>
      </c>
      <c r="GP25" s="339">
        <v>577.1</v>
      </c>
      <c r="GQ25" s="339">
        <v>42.78</v>
      </c>
      <c r="GR25" s="339">
        <v>0.39500000000000002</v>
      </c>
      <c r="GS25" s="339">
        <v>575.29999999999995</v>
      </c>
      <c r="GT25" s="339">
        <v>47.49</v>
      </c>
      <c r="GU25" s="339">
        <v>0.39500000000000002</v>
      </c>
      <c r="GV25" s="339">
        <v>650.79999999999995</v>
      </c>
      <c r="GW25" s="339">
        <v>40.840000000000003</v>
      </c>
      <c r="GX25" s="339">
        <v>0.39500000000000002</v>
      </c>
      <c r="GY25" s="339">
        <f>317.8*2</f>
        <v>635.6</v>
      </c>
      <c r="GZ25" s="339">
        <v>47.45</v>
      </c>
      <c r="HA25" s="339">
        <v>0.39500000000000002</v>
      </c>
      <c r="HB25" s="339">
        <f>349.1*2</f>
        <v>698.2</v>
      </c>
      <c r="HC25" s="339">
        <f>84.3/2</f>
        <v>42.15</v>
      </c>
      <c r="HD25" s="339">
        <f>0.71/2</f>
        <v>0.35499999999999998</v>
      </c>
      <c r="HE25" s="339">
        <f>348.4*2</f>
        <v>696.8</v>
      </c>
      <c r="HF25" s="339">
        <f>86.31/2</f>
        <v>43.155000000000001</v>
      </c>
      <c r="HG25" s="339">
        <f>0.71/2</f>
        <v>0.35499999999999998</v>
      </c>
      <c r="HH25" s="339">
        <f>349.7*2</f>
        <v>699.4</v>
      </c>
      <c r="HI25" s="505">
        <f>88.77/2</f>
        <v>44.384999999999998</v>
      </c>
      <c r="HJ25" s="339">
        <f>0.71/2</f>
        <v>0.35499999999999998</v>
      </c>
      <c r="HK25" s="339">
        <f>351.9*2</f>
        <v>703.8</v>
      </c>
      <c r="HL25" s="339">
        <f>83.84/2</f>
        <v>41.92</v>
      </c>
      <c r="HM25" s="339">
        <f>0.69/2</f>
        <v>0.34499999999999997</v>
      </c>
      <c r="HN25" s="339">
        <f>349*2</f>
        <v>698</v>
      </c>
      <c r="HO25" s="339">
        <f>76.49/2</f>
        <v>38.244999999999997</v>
      </c>
      <c r="HP25" s="339">
        <f>0.69/2</f>
        <v>0.34499999999999997</v>
      </c>
      <c r="HQ25" s="339">
        <f>346.5*2</f>
        <v>693</v>
      </c>
      <c r="HR25" s="339">
        <f>74.79/2</f>
        <v>37.395000000000003</v>
      </c>
      <c r="HS25" s="339">
        <f>0.69/2</f>
        <v>0.34499999999999997</v>
      </c>
      <c r="HT25" s="339">
        <f>346.2*2</f>
        <v>692.4</v>
      </c>
      <c r="HU25" s="339">
        <f>69.03/2</f>
        <v>34.515000000000001</v>
      </c>
      <c r="HV25" s="339">
        <f>0.69/2</f>
        <v>0.34499999999999997</v>
      </c>
      <c r="HW25" s="339">
        <f>342.9*2</f>
        <v>685.8</v>
      </c>
      <c r="HX25" s="506">
        <f>77.2/2</f>
        <v>38.6</v>
      </c>
      <c r="HY25" s="513">
        <f>0.67/2</f>
        <v>0.33500000000000002</v>
      </c>
      <c r="HZ25" s="339">
        <f>339.7*2</f>
        <v>679.4</v>
      </c>
      <c r="IA25" s="339">
        <f>86.14/2</f>
        <v>43.07</v>
      </c>
      <c r="IB25" s="339">
        <f>0.67/2</f>
        <v>0.33500000000000002</v>
      </c>
      <c r="IC25" s="339">
        <f>340.3*2</f>
        <v>680.6</v>
      </c>
      <c r="ID25" s="339">
        <f>73.39/2</f>
        <v>36.695</v>
      </c>
      <c r="IE25" s="339">
        <f>0.67/2</f>
        <v>0.33500000000000002</v>
      </c>
      <c r="IF25" s="339">
        <f>329.7*2</f>
        <v>659.4</v>
      </c>
      <c r="IG25" s="339">
        <f>74.43/2</f>
        <v>37.215000000000003</v>
      </c>
      <c r="IH25" s="339">
        <f>0.67/2</f>
        <v>0.33500000000000002</v>
      </c>
      <c r="II25" s="339">
        <f>329.7*2</f>
        <v>659.4</v>
      </c>
      <c r="IJ25" s="505">
        <f>67.74/2</f>
        <v>33.869999999999997</v>
      </c>
      <c r="IK25" s="339">
        <f>0.665/2</f>
        <v>0.33250000000000002</v>
      </c>
      <c r="IL25" s="339">
        <f>327*2</f>
        <v>654</v>
      </c>
      <c r="IM25" s="339">
        <f>65.25/2</f>
        <v>32.625</v>
      </c>
      <c r="IN25" s="339">
        <f>0.665/2</f>
        <v>0.33250000000000002</v>
      </c>
      <c r="IO25" s="339">
        <f>325*2</f>
        <v>650</v>
      </c>
      <c r="IP25" s="339">
        <f>63.08/2</f>
        <v>31.54</v>
      </c>
      <c r="IQ25" s="339">
        <f>0.645/2</f>
        <v>0.32250000000000001</v>
      </c>
      <c r="IR25" s="339">
        <f>325.4*2</f>
        <v>650.79999999999995</v>
      </c>
      <c r="IS25" s="339">
        <f>64.3/2</f>
        <v>32.15</v>
      </c>
      <c r="IT25" s="339">
        <f>0.645/2</f>
        <v>0.32250000000000001</v>
      </c>
      <c r="IU25" s="339">
        <f>322.8*2</f>
        <v>645.6</v>
      </c>
      <c r="IV25" s="339">
        <f>63.83/2</f>
        <v>31.914999999999999</v>
      </c>
      <c r="IW25" s="339">
        <f>0.645/2</f>
        <v>0.32250000000000001</v>
      </c>
      <c r="IX25" s="339">
        <f>314.4*2</f>
        <v>628.79999999999995</v>
      </c>
      <c r="IY25" s="339">
        <f>61.9/2</f>
        <v>30.95</v>
      </c>
      <c r="IZ25" s="339">
        <f>0.645/2</f>
        <v>0.32250000000000001</v>
      </c>
      <c r="JA25" s="339">
        <f>308.5*2</f>
        <v>617</v>
      </c>
      <c r="JB25" s="339">
        <f>64.27/2</f>
        <v>32.134999999999998</v>
      </c>
      <c r="JC25" s="339">
        <f>0.645/2</f>
        <v>0.32250000000000001</v>
      </c>
      <c r="JD25" s="339">
        <f>301.9*2</f>
        <v>603.79999999999995</v>
      </c>
      <c r="JE25" s="339">
        <f>55.37/2</f>
        <v>27.684999999999999</v>
      </c>
      <c r="JF25" s="339">
        <f>0.645/2</f>
        <v>0.32250000000000001</v>
      </c>
      <c r="JG25" s="339">
        <f>278.3*2</f>
        <v>556.6</v>
      </c>
      <c r="JH25" s="339">
        <f>54.9/2</f>
        <v>27.45</v>
      </c>
      <c r="JI25" s="339">
        <f>0.645/2</f>
        <v>0.32250000000000001</v>
      </c>
      <c r="JJ25" s="339">
        <f>277.3*2</f>
        <v>554.6</v>
      </c>
      <c r="JK25" s="339">
        <f>50.73/2</f>
        <v>25.364999999999998</v>
      </c>
      <c r="JL25" s="339">
        <f>0.645/2</f>
        <v>0.32250000000000001</v>
      </c>
      <c r="JM25" s="339">
        <f>266.8*2</f>
        <v>533.6</v>
      </c>
      <c r="JN25" s="339">
        <f>66.2/2</f>
        <v>33.1</v>
      </c>
      <c r="JO25" s="339">
        <f>0.645/2</f>
        <v>0.32250000000000001</v>
      </c>
      <c r="JP25" s="339">
        <f>260.8*2</f>
        <v>521.6</v>
      </c>
      <c r="JQ25" s="339">
        <f>65.16/2</f>
        <v>32.58</v>
      </c>
      <c r="JR25" s="339">
        <f>0.645/2</f>
        <v>0.32250000000000001</v>
      </c>
      <c r="JS25" s="339">
        <f>248.3*2</f>
        <v>496.6</v>
      </c>
      <c r="JT25" s="339">
        <f>60.1/2</f>
        <v>30.05</v>
      </c>
      <c r="JU25" s="339">
        <f>0.645/2</f>
        <v>0.32250000000000001</v>
      </c>
      <c r="JV25" s="339">
        <f>247.4*2</f>
        <v>494.8</v>
      </c>
      <c r="JW25" s="339">
        <f>59.35/2</f>
        <v>29.675000000000001</v>
      </c>
      <c r="JX25" s="339">
        <f>0.645/2</f>
        <v>0.32250000000000001</v>
      </c>
      <c r="JY25" s="339">
        <f>248.8*2</f>
        <v>497.6</v>
      </c>
      <c r="JZ25" s="339">
        <f>60.13/2</f>
        <v>30.065000000000001</v>
      </c>
      <c r="KA25" s="339">
        <f>0.645/2</f>
        <v>0.32250000000000001</v>
      </c>
      <c r="KB25" s="339">
        <f>244.6*2</f>
        <v>489.2</v>
      </c>
      <c r="KC25" s="339">
        <f>64.47/2</f>
        <v>32.234999999999999</v>
      </c>
      <c r="KD25" s="339">
        <f>0.645/2</f>
        <v>0.32250000000000001</v>
      </c>
      <c r="KE25" s="339">
        <f>239.5*2</f>
        <v>479</v>
      </c>
      <c r="KF25" s="339">
        <f>67/2</f>
        <v>33.5</v>
      </c>
      <c r="KG25" s="339">
        <f>0.645/2</f>
        <v>0.32250000000000001</v>
      </c>
      <c r="KH25" s="339">
        <f>237.8*2</f>
        <v>475.6</v>
      </c>
      <c r="KI25" s="339">
        <f>58.0625/2</f>
        <v>29.03125</v>
      </c>
      <c r="KJ25" s="339">
        <f>0.645/2</f>
        <v>0.32250000000000001</v>
      </c>
      <c r="KK25" s="339">
        <f>223.4*2</f>
        <v>446.8</v>
      </c>
      <c r="KL25" s="339">
        <f>42.875/2</f>
        <v>21.4375</v>
      </c>
      <c r="KM25" s="339">
        <f>0.645/2</f>
        <v>0.32250000000000001</v>
      </c>
      <c r="KN25" s="339">
        <f>191.391*2</f>
        <v>382.78199999999998</v>
      </c>
      <c r="KO25" s="339">
        <f>38.4375/2</f>
        <v>19.21875</v>
      </c>
      <c r="KP25" s="339">
        <f>0.645/2</f>
        <v>0.32250000000000001</v>
      </c>
      <c r="KQ25" s="339">
        <f>191.4*2</f>
        <v>382.8</v>
      </c>
      <c r="KR25" s="339">
        <f>39.25/2</f>
        <v>19.625</v>
      </c>
      <c r="KS25" s="339">
        <f>0.645/2</f>
        <v>0.32250000000000001</v>
      </c>
      <c r="KT25" s="339">
        <v>192</v>
      </c>
      <c r="KU25" s="339">
        <v>45.125</v>
      </c>
      <c r="KV25" s="339">
        <v>0.64500000000000002</v>
      </c>
      <c r="KW25" s="334">
        <v>194.9</v>
      </c>
      <c r="KX25" s="334">
        <v>43.3125</v>
      </c>
      <c r="KY25" s="334">
        <v>0.64500000000000002</v>
      </c>
      <c r="KZ25" s="334">
        <v>196.1</v>
      </c>
      <c r="LA25" s="334">
        <v>36.9375</v>
      </c>
      <c r="LB25" s="334">
        <v>0.64500000000000002</v>
      </c>
      <c r="LC25" s="334">
        <v>196.1</v>
      </c>
      <c r="LD25" s="334">
        <v>46.75</v>
      </c>
      <c r="LE25" s="334">
        <v>0.64500000000000002</v>
      </c>
      <c r="LF25" s="334">
        <v>193.2</v>
      </c>
      <c r="LG25" s="334">
        <v>44.625</v>
      </c>
      <c r="LH25" s="334">
        <v>0.64500000000000002</v>
      </c>
      <c r="LI25" s="334">
        <v>193.2</v>
      </c>
      <c r="LJ25" s="334">
        <v>40.75</v>
      </c>
      <c r="LK25" s="334">
        <v>0.64500000000000002</v>
      </c>
      <c r="LL25" s="334">
        <v>186</v>
      </c>
      <c r="LM25" s="334">
        <v>41.8125</v>
      </c>
      <c r="LN25" s="334">
        <v>0.64500000000000002</v>
      </c>
      <c r="LO25" s="334">
        <v>186</v>
      </c>
      <c r="LP25" s="334">
        <v>42.5625</v>
      </c>
      <c r="LQ25" s="334">
        <v>0.64500000000000002</v>
      </c>
      <c r="LR25" s="334">
        <v>183</v>
      </c>
      <c r="LS25" s="334">
        <v>37.875</v>
      </c>
      <c r="LT25" s="334">
        <v>0.64500000000000002</v>
      </c>
      <c r="LU25" s="334">
        <v>183</v>
      </c>
      <c r="LV25" s="334">
        <v>36.625</v>
      </c>
      <c r="LW25" s="334">
        <v>0.64500000000000002</v>
      </c>
      <c r="LX25" s="334">
        <v>178.8</v>
      </c>
      <c r="LY25" s="334">
        <v>36.375</v>
      </c>
      <c r="LZ25" s="334">
        <v>0.64500000000000002</v>
      </c>
      <c r="MA25" s="334">
        <v>178.8</v>
      </c>
      <c r="MB25" s="334">
        <v>38.5</v>
      </c>
      <c r="MC25" s="334">
        <v>0.64500000000000002</v>
      </c>
      <c r="MD25" s="334">
        <v>174.3</v>
      </c>
      <c r="ME25" s="334">
        <v>37.75</v>
      </c>
      <c r="MF25" s="334">
        <v>0.64500000000000002</v>
      </c>
      <c r="MG25" s="334">
        <v>174.3</v>
      </c>
      <c r="MH25" s="334">
        <v>40</v>
      </c>
      <c r="MI25" s="334">
        <v>0.64500000000000002</v>
      </c>
      <c r="MJ25" s="334">
        <v>174.3</v>
      </c>
      <c r="MK25" s="334">
        <v>39.5</v>
      </c>
      <c r="ML25" s="334">
        <v>0.64500000000000002</v>
      </c>
      <c r="MM25" s="334">
        <v>174.3</v>
      </c>
      <c r="MN25" s="334">
        <v>41.25</v>
      </c>
      <c r="MO25" s="334">
        <v>0.64500000000000002</v>
      </c>
      <c r="MP25" s="334">
        <v>172.3</v>
      </c>
      <c r="MQ25" s="334">
        <v>37.625</v>
      </c>
      <c r="MR25" s="334">
        <v>0.64500000000000002</v>
      </c>
      <c r="MS25" s="334">
        <v>172.3</v>
      </c>
      <c r="MT25" s="334">
        <v>36.5</v>
      </c>
      <c r="MU25" s="334">
        <v>0.64500000000000002</v>
      </c>
      <c r="MV25" s="334">
        <v>172.3</v>
      </c>
      <c r="MW25" s="334">
        <v>36</v>
      </c>
      <c r="MX25" s="334">
        <v>0.64500000000000002</v>
      </c>
      <c r="MY25" s="334">
        <v>171.1</v>
      </c>
      <c r="MZ25" s="334">
        <v>36</v>
      </c>
      <c r="NA25" s="334">
        <v>0.64500000000000002</v>
      </c>
      <c r="NB25" s="334">
        <v>171.1</v>
      </c>
      <c r="NC25" s="334">
        <v>37.25</v>
      </c>
      <c r="ND25" s="334">
        <v>0.63500000000000001</v>
      </c>
      <c r="NE25" s="334">
        <v>167.87200000000001</v>
      </c>
      <c r="NF25" s="334">
        <v>36.375</v>
      </c>
      <c r="NG25" s="334">
        <v>0.63500000000000001</v>
      </c>
      <c r="NH25" s="334">
        <v>166.2</v>
      </c>
      <c r="NI25" s="334">
        <v>40</v>
      </c>
      <c r="NJ25" s="334">
        <v>0.63500000000000001</v>
      </c>
      <c r="NK25" s="334">
        <v>166.2</v>
      </c>
      <c r="NL25" s="334">
        <v>45.375</v>
      </c>
      <c r="NM25" s="334">
        <v>0.63500000000000001</v>
      </c>
      <c r="NN25" s="334">
        <v>166.2</v>
      </c>
      <c r="NO25" s="334">
        <v>48.375</v>
      </c>
      <c r="NP25" s="334">
        <v>0.61499999999999999</v>
      </c>
      <c r="NQ25" s="334">
        <v>164.9</v>
      </c>
      <c r="NR25" s="334">
        <v>44.5</v>
      </c>
      <c r="NS25" s="334">
        <v>0.61499999999999999</v>
      </c>
      <c r="NT25" s="334">
        <v>164.1</v>
      </c>
      <c r="NU25" s="334">
        <v>43.875</v>
      </c>
      <c r="NV25" s="334">
        <v>0.61499999999999999</v>
      </c>
      <c r="NW25" s="334">
        <v>160.4</v>
      </c>
      <c r="NX25" s="334">
        <v>39.5</v>
      </c>
      <c r="NY25" s="334">
        <v>0.68</v>
      </c>
      <c r="NZ25" s="334">
        <v>160.4</v>
      </c>
      <c r="OA25" s="334">
        <v>39</v>
      </c>
      <c r="OB25" s="334">
        <v>0.6</v>
      </c>
      <c r="OC25" s="334">
        <v>159.69999999999999</v>
      </c>
      <c r="OD25" s="334">
        <v>38.25</v>
      </c>
      <c r="OE25" s="334">
        <v>0.6</v>
      </c>
      <c r="OF25" s="334">
        <v>159.19999999999999</v>
      </c>
      <c r="OG25" s="334">
        <v>35.380000000000003</v>
      </c>
      <c r="OH25" s="334">
        <v>0.6</v>
      </c>
      <c r="OI25" s="334">
        <v>156.49799999999999</v>
      </c>
      <c r="OJ25" s="334">
        <v>38</v>
      </c>
      <c r="OK25" s="334">
        <v>0.59</v>
      </c>
      <c r="OL25" s="334">
        <v>156</v>
      </c>
      <c r="OM25" s="334">
        <v>35.17</v>
      </c>
      <c r="ON25" s="334">
        <v>0.56999999999999995</v>
      </c>
      <c r="OO25" s="334">
        <v>155.4</v>
      </c>
      <c r="OP25" s="334">
        <v>31.58</v>
      </c>
      <c r="OQ25" s="334">
        <v>0.56999999999999995</v>
      </c>
      <c r="OR25" s="334">
        <v>154.94999999999999</v>
      </c>
      <c r="OS25" s="334">
        <v>32.08</v>
      </c>
      <c r="OT25" s="334">
        <v>0.56999999999999995</v>
      </c>
      <c r="OU25" s="334">
        <v>152.51400000000001</v>
      </c>
      <c r="OV25" s="334">
        <v>31.25</v>
      </c>
    </row>
    <row r="26" spans="1:412">
      <c r="A26" s="294" t="s">
        <v>11</v>
      </c>
      <c r="B26" s="335" t="s">
        <v>120</v>
      </c>
      <c r="C26" s="335">
        <v>772</v>
      </c>
      <c r="D26" s="335">
        <v>107.74</v>
      </c>
      <c r="E26" s="335">
        <v>1.0449999999999999</v>
      </c>
      <c r="F26" s="335">
        <v>772</v>
      </c>
      <c r="G26" s="335">
        <v>115.3</v>
      </c>
      <c r="H26" s="335">
        <v>1.0449999999999999</v>
      </c>
      <c r="I26" s="335">
        <v>771</v>
      </c>
      <c r="J26" s="335">
        <v>100.23</v>
      </c>
      <c r="K26" s="335">
        <v>1.0249999999999999</v>
      </c>
      <c r="L26" s="335">
        <v>771</v>
      </c>
      <c r="M26" s="335">
        <v>96.71</v>
      </c>
      <c r="N26" s="335">
        <v>1.0249999999999999</v>
      </c>
      <c r="O26" s="335">
        <v>771</v>
      </c>
      <c r="P26" s="335">
        <v>97.04</v>
      </c>
      <c r="Q26" s="335">
        <v>1.0249999999999999</v>
      </c>
      <c r="R26" s="340">
        <v>771</v>
      </c>
      <c r="S26" s="340">
        <v>88.26</v>
      </c>
      <c r="T26" s="340">
        <v>1.0249999999999999</v>
      </c>
      <c r="U26" s="340">
        <v>770</v>
      </c>
      <c r="V26" s="340">
        <v>89.74</v>
      </c>
      <c r="W26" s="340">
        <v>1.0049999999999999</v>
      </c>
      <c r="X26" s="340">
        <v>770</v>
      </c>
      <c r="Y26" s="340">
        <v>96.47</v>
      </c>
      <c r="Z26" s="340">
        <v>1.0049999999999999</v>
      </c>
      <c r="AA26" s="340">
        <v>770</v>
      </c>
      <c r="AB26" s="340">
        <v>102.99</v>
      </c>
      <c r="AC26" s="340">
        <v>1.0049999999999999</v>
      </c>
      <c r="AD26" s="340">
        <v>770</v>
      </c>
      <c r="AE26" s="340">
        <v>93.02</v>
      </c>
      <c r="AF26" s="340">
        <v>1.0049999999999999</v>
      </c>
      <c r="AG26" s="340">
        <v>770</v>
      </c>
      <c r="AH26" s="340">
        <v>107.21</v>
      </c>
      <c r="AI26" s="340">
        <v>0.98499999999999999</v>
      </c>
      <c r="AJ26" s="340">
        <v>769</v>
      </c>
      <c r="AK26" s="340">
        <v>111.66</v>
      </c>
      <c r="AL26" s="340">
        <v>0.98499999999999999</v>
      </c>
      <c r="AM26" s="340">
        <v>769</v>
      </c>
      <c r="AN26" s="340">
        <v>104.9</v>
      </c>
      <c r="AO26" s="340">
        <v>0.98499999999999999</v>
      </c>
      <c r="AP26" s="340">
        <v>769</v>
      </c>
      <c r="AQ26" s="340">
        <v>97.59</v>
      </c>
      <c r="AR26" s="340">
        <v>0.96499999999999997</v>
      </c>
      <c r="AS26" s="340">
        <v>769</v>
      </c>
      <c r="AT26" s="340">
        <v>98.72</v>
      </c>
      <c r="AU26" s="340">
        <v>0.96499999999999997</v>
      </c>
      <c r="AV26" s="340">
        <v>737</v>
      </c>
      <c r="AW26" s="340">
        <v>96.53</v>
      </c>
      <c r="AX26" s="340">
        <v>0.96499999999999997</v>
      </c>
      <c r="AY26" s="504">
        <v>735</v>
      </c>
      <c r="AZ26" s="504">
        <v>91.56</v>
      </c>
      <c r="BA26" s="504">
        <v>0.96499999999999997</v>
      </c>
      <c r="BB26" s="504">
        <v>735</v>
      </c>
      <c r="BC26" s="504">
        <v>88.56</v>
      </c>
      <c r="BD26" s="504">
        <v>0.96499999999999997</v>
      </c>
      <c r="BE26" s="504">
        <v>734</v>
      </c>
      <c r="BF26" s="504">
        <v>79.89</v>
      </c>
      <c r="BG26" s="504">
        <v>0.94499999999999995</v>
      </c>
      <c r="BH26" s="504">
        <v>729</v>
      </c>
      <c r="BI26" s="504">
        <v>80.88</v>
      </c>
      <c r="BJ26" s="504">
        <v>0.94499999999999995</v>
      </c>
      <c r="BK26" s="504">
        <v>729</v>
      </c>
      <c r="BL26" s="504">
        <v>91.21</v>
      </c>
      <c r="BM26" s="504">
        <v>0.94499999999999995</v>
      </c>
      <c r="BN26" s="504">
        <v>728</v>
      </c>
      <c r="BO26" s="504">
        <v>95.86</v>
      </c>
      <c r="BP26" s="507">
        <v>0.94499999999999995</v>
      </c>
      <c r="BQ26" s="504">
        <v>727</v>
      </c>
      <c r="BR26" s="504">
        <v>88.24</v>
      </c>
      <c r="BS26" s="504">
        <v>0.92749999999999999</v>
      </c>
      <c r="BT26" s="504">
        <v>708</v>
      </c>
      <c r="BU26" s="504">
        <v>90</v>
      </c>
      <c r="BV26" s="504">
        <v>0.92749999999999999</v>
      </c>
      <c r="BW26" s="504">
        <v>713</v>
      </c>
      <c r="BX26" s="504">
        <v>86.3</v>
      </c>
      <c r="BY26" s="504">
        <v>0.92749999999999999</v>
      </c>
      <c r="BZ26" s="504">
        <v>703</v>
      </c>
      <c r="CA26" s="504">
        <v>80.02</v>
      </c>
      <c r="CB26" s="504">
        <v>0.92749999999999999</v>
      </c>
      <c r="CC26" s="503">
        <v>701</v>
      </c>
      <c r="CD26" s="503">
        <v>79.08</v>
      </c>
      <c r="CE26" s="503">
        <v>0.89</v>
      </c>
      <c r="CF26" s="503">
        <v>700</v>
      </c>
      <c r="CG26" s="503">
        <v>77.47</v>
      </c>
      <c r="CH26" s="503">
        <v>0.89</v>
      </c>
      <c r="CI26" s="503">
        <v>700</v>
      </c>
      <c r="CJ26" s="503">
        <v>84.11</v>
      </c>
      <c r="CK26" s="503">
        <v>0.89</v>
      </c>
      <c r="CL26" s="503">
        <v>700</v>
      </c>
      <c r="CM26" s="503">
        <v>83.92</v>
      </c>
      <c r="CN26" s="508">
        <v>0.89</v>
      </c>
      <c r="CO26" s="503">
        <v>700</v>
      </c>
      <c r="CP26" s="503">
        <v>83.59</v>
      </c>
      <c r="CQ26" s="503">
        <v>0.85499999999999998</v>
      </c>
      <c r="CR26" s="504">
        <v>691</v>
      </c>
      <c r="CS26" s="504">
        <v>82.01</v>
      </c>
      <c r="CT26" s="504">
        <v>0.85499999999999998</v>
      </c>
      <c r="CU26" s="503">
        <v>689</v>
      </c>
      <c r="CV26" s="503">
        <v>77.62</v>
      </c>
      <c r="CW26" s="503">
        <v>0.85499999999999998</v>
      </c>
      <c r="CX26" s="339">
        <v>689</v>
      </c>
      <c r="CY26" s="339">
        <v>80.040000000000006</v>
      </c>
      <c r="CZ26" s="511">
        <v>0.85499999999999998</v>
      </c>
      <c r="DA26" s="339">
        <v>689</v>
      </c>
      <c r="DB26" s="339">
        <v>85.79</v>
      </c>
      <c r="DC26" s="339">
        <v>0.82499999999999996</v>
      </c>
      <c r="DD26" s="339">
        <v>694</v>
      </c>
      <c r="DE26" s="339">
        <v>80.680000000000007</v>
      </c>
      <c r="DF26" s="339">
        <v>0.82499999999999996</v>
      </c>
      <c r="DG26" s="339">
        <v>688</v>
      </c>
      <c r="DH26" s="339">
        <v>71.39</v>
      </c>
      <c r="DI26" s="339">
        <v>0.82499999999999996</v>
      </c>
      <c r="DJ26" s="339">
        <v>692</v>
      </c>
      <c r="DK26" s="339">
        <v>71.94</v>
      </c>
      <c r="DL26" s="510">
        <v>0.82499999999999996</v>
      </c>
      <c r="DM26" s="339">
        <v>708</v>
      </c>
      <c r="DN26" s="339">
        <v>70.62</v>
      </c>
      <c r="DO26" s="339">
        <v>0.79500000000000004</v>
      </c>
      <c r="DP26" s="340">
        <v>707</v>
      </c>
      <c r="DQ26" s="340">
        <v>76.78</v>
      </c>
      <c r="DR26" s="340">
        <v>0.79500000000000004</v>
      </c>
      <c r="DS26" s="339">
        <v>707</v>
      </c>
      <c r="DT26" s="339">
        <v>83.54</v>
      </c>
      <c r="DU26" s="339">
        <v>0.79500000000000004</v>
      </c>
      <c r="DV26" s="339">
        <v>707</v>
      </c>
      <c r="DW26" s="339">
        <v>74.77</v>
      </c>
      <c r="DX26" s="339">
        <v>0.79500000000000004</v>
      </c>
      <c r="DY26" s="339">
        <v>706</v>
      </c>
      <c r="DZ26" s="339">
        <v>74.19</v>
      </c>
      <c r="EA26" s="339">
        <v>0.78</v>
      </c>
      <c r="EB26" s="340">
        <v>706</v>
      </c>
      <c r="EC26" s="340">
        <v>71.22</v>
      </c>
      <c r="ED26" s="340">
        <v>0.78</v>
      </c>
      <c r="EE26" s="339">
        <v>706</v>
      </c>
      <c r="EF26" s="339">
        <v>69.010000000000005</v>
      </c>
      <c r="EG26" s="339">
        <v>0.78</v>
      </c>
      <c r="EH26" s="339">
        <v>706</v>
      </c>
      <c r="EI26" s="339">
        <v>66.78</v>
      </c>
      <c r="EJ26" s="339">
        <v>0.78</v>
      </c>
      <c r="EK26" s="339">
        <v>705</v>
      </c>
      <c r="EL26" s="339">
        <v>67.5</v>
      </c>
      <c r="EM26" s="339">
        <v>0.78</v>
      </c>
      <c r="EN26" s="340">
        <v>574</v>
      </c>
      <c r="EO26" s="340">
        <v>72.59</v>
      </c>
      <c r="EP26" s="340">
        <v>0.76500000000000001</v>
      </c>
      <c r="EQ26" s="339">
        <v>699</v>
      </c>
      <c r="ER26" s="339">
        <v>63.8</v>
      </c>
      <c r="ES26" s="339">
        <v>0.76500000000000001</v>
      </c>
      <c r="ET26" s="519">
        <f>446+(297*0.87083)</f>
        <v>704.63651000000004</v>
      </c>
      <c r="EU26" s="519">
        <v>64.8</v>
      </c>
      <c r="EV26" s="519">
        <v>0.76500000000000001</v>
      </c>
      <c r="EW26" s="339">
        <f>(445.3666666*3)/2.6125</f>
        <v>511.42583724401919</v>
      </c>
      <c r="EX26" s="339">
        <f>23.085*2.6125</f>
        <v>60.309562499999998</v>
      </c>
      <c r="EY26" s="339">
        <f>(0.765/3)*2.6125</f>
        <v>0.66618749999999993</v>
      </c>
      <c r="EZ26" s="340">
        <v>1332</v>
      </c>
      <c r="FA26" s="340">
        <v>21.01</v>
      </c>
      <c r="FB26" s="340">
        <v>0.25</v>
      </c>
      <c r="FC26" s="339">
        <v>1332</v>
      </c>
      <c r="FD26" s="339">
        <v>22</v>
      </c>
      <c r="FE26" s="339">
        <v>0.25</v>
      </c>
      <c r="FF26" s="339">
        <v>1332</v>
      </c>
      <c r="FG26" s="339">
        <v>19.989999999999998</v>
      </c>
      <c r="FH26" s="339">
        <v>0.25</v>
      </c>
      <c r="FI26" s="339">
        <v>1330</v>
      </c>
      <c r="FJ26" s="339">
        <v>18.829999999999998</v>
      </c>
      <c r="FK26" s="511">
        <v>0.25</v>
      </c>
      <c r="FL26" s="339">
        <v>1326</v>
      </c>
      <c r="FM26" s="339">
        <v>18.14</v>
      </c>
      <c r="FN26" s="339">
        <v>0.245</v>
      </c>
      <c r="FO26" s="339">
        <v>1320</v>
      </c>
      <c r="FP26" s="339">
        <v>17.809999999999999</v>
      </c>
      <c r="FQ26" s="339">
        <v>0.245</v>
      </c>
      <c r="FR26" s="339">
        <v>1314</v>
      </c>
      <c r="FS26" s="339">
        <v>17.71</v>
      </c>
      <c r="FT26" s="339">
        <v>0.245</v>
      </c>
      <c r="FU26" s="339">
        <v>1310</v>
      </c>
      <c r="FV26" s="339">
        <v>16</v>
      </c>
      <c r="FW26" s="339">
        <v>0.245</v>
      </c>
      <c r="FX26" s="339">
        <v>1306</v>
      </c>
      <c r="FY26" s="339">
        <v>16.32</v>
      </c>
      <c r="FZ26" s="339">
        <v>0.24</v>
      </c>
      <c r="GA26" s="339">
        <v>1299</v>
      </c>
      <c r="GB26" s="339">
        <v>17.21</v>
      </c>
      <c r="GC26" s="339">
        <v>0.24</v>
      </c>
      <c r="GD26" s="339">
        <v>1288</v>
      </c>
      <c r="GE26" s="339">
        <v>15.74</v>
      </c>
      <c r="GF26" s="339">
        <v>0.24</v>
      </c>
      <c r="GG26" s="339">
        <v>1282</v>
      </c>
      <c r="GH26" s="339">
        <v>14.59</v>
      </c>
      <c r="GI26" s="339">
        <v>0.24</v>
      </c>
      <c r="GJ26" s="339">
        <v>1267</v>
      </c>
      <c r="GK26" s="339">
        <v>14.32</v>
      </c>
      <c r="GL26" s="339">
        <v>0.23</v>
      </c>
      <c r="GM26" s="339">
        <v>1265</v>
      </c>
      <c r="GN26" s="339">
        <v>15.01</v>
      </c>
      <c r="GO26" s="339">
        <v>0.23</v>
      </c>
      <c r="GP26" s="339">
        <v>1264</v>
      </c>
      <c r="GQ26" s="339">
        <v>17.43</v>
      </c>
      <c r="GR26" s="339">
        <v>0.23</v>
      </c>
      <c r="GS26" s="339">
        <v>1263</v>
      </c>
      <c r="GT26" s="339">
        <v>17.38</v>
      </c>
      <c r="GU26" s="510">
        <v>0.23</v>
      </c>
      <c r="GV26" s="339">
        <v>1260</v>
      </c>
      <c r="GW26" s="339">
        <v>17.850000000000001</v>
      </c>
      <c r="GX26" s="339">
        <v>0.22</v>
      </c>
      <c r="GY26" s="339">
        <v>1260</v>
      </c>
      <c r="GZ26" s="339">
        <v>20.170000000000002</v>
      </c>
      <c r="HA26" s="339">
        <v>0.22</v>
      </c>
      <c r="HB26" s="339">
        <v>1260</v>
      </c>
      <c r="HC26" s="339">
        <v>18.690000000000001</v>
      </c>
      <c r="HD26" s="339">
        <v>0.22</v>
      </c>
      <c r="HE26" s="339">
        <v>1257</v>
      </c>
      <c r="HF26" s="339">
        <v>18.3</v>
      </c>
      <c r="HG26" s="339">
        <v>0.22</v>
      </c>
      <c r="HH26" s="339">
        <v>1170</v>
      </c>
      <c r="HI26" s="505">
        <v>20.29</v>
      </c>
      <c r="HJ26" s="339">
        <v>0.21</v>
      </c>
      <c r="HK26" s="339">
        <v>1254</v>
      </c>
      <c r="HL26" s="339">
        <v>20</v>
      </c>
      <c r="HM26" s="339">
        <v>0.32</v>
      </c>
      <c r="HN26" s="513">
        <v>1238</v>
      </c>
      <c r="HO26" s="339">
        <f>30.2/1.66</f>
        <v>18.192771084337348</v>
      </c>
      <c r="HP26" s="339">
        <v>0.32</v>
      </c>
      <c r="HQ26" s="339">
        <f>928*1.334</f>
        <v>1237.952</v>
      </c>
      <c r="HR26" s="339">
        <f>29.37/1.66</f>
        <v>17.692771084337352</v>
      </c>
      <c r="HS26" s="512">
        <v>0.32</v>
      </c>
      <c r="HT26" s="339">
        <v>928</v>
      </c>
      <c r="HU26" s="339">
        <f>29.15/1.66</f>
        <v>17.560240963855421</v>
      </c>
      <c r="HV26" s="339">
        <v>0.31</v>
      </c>
      <c r="HW26" s="339">
        <v>926</v>
      </c>
      <c r="HX26" s="506">
        <f>27.45/1.66</f>
        <v>16.536144578313252</v>
      </c>
      <c r="HY26" s="513">
        <f>1.24/4</f>
        <v>0.31</v>
      </c>
      <c r="HZ26" s="339">
        <v>927</v>
      </c>
      <c r="IA26" s="339">
        <f>29.17/1.66</f>
        <v>17.572289156626507</v>
      </c>
      <c r="IB26" s="339">
        <v>0.31</v>
      </c>
      <c r="IC26" s="339">
        <v>954</v>
      </c>
      <c r="ID26" s="339">
        <f>29.73/1.66</f>
        <v>17.909638554216869</v>
      </c>
      <c r="IE26" s="339">
        <v>0.31</v>
      </c>
      <c r="IF26" s="339">
        <v>938</v>
      </c>
      <c r="IG26" s="339">
        <f>28.01/1.66</f>
        <v>16.873493975903617</v>
      </c>
      <c r="IH26" s="339">
        <v>0.27500000000000002</v>
      </c>
      <c r="II26" s="339">
        <v>938</v>
      </c>
      <c r="IJ26" s="505">
        <f>25.33/1.66</f>
        <v>15.259036144578314</v>
      </c>
      <c r="IK26" s="339">
        <v>0.27500000000000002</v>
      </c>
      <c r="IL26" s="339">
        <v>926</v>
      </c>
      <c r="IM26" s="339">
        <f>22.89/1.66</f>
        <v>13.789156626506026</v>
      </c>
      <c r="IN26" s="339">
        <v>0.27500000000000002</v>
      </c>
      <c r="IO26" s="339">
        <v>912</v>
      </c>
      <c r="IP26" s="339">
        <f>20.29/1.66</f>
        <v>12.22289156626506</v>
      </c>
      <c r="IQ26" s="339">
        <v>0.27500000000000002</v>
      </c>
      <c r="IR26" s="339">
        <v>908</v>
      </c>
      <c r="IS26" s="339">
        <f>22.6/1.66</f>
        <v>13.614457831325304</v>
      </c>
      <c r="IT26" s="339">
        <v>0.27500000000000002</v>
      </c>
      <c r="IU26" s="339">
        <v>905</v>
      </c>
      <c r="IV26" s="339">
        <f>20.45/1.66</f>
        <v>12.319277108433734</v>
      </c>
      <c r="IW26" s="339">
        <v>0.27500000000000002</v>
      </c>
      <c r="IX26" s="339">
        <v>902</v>
      </c>
      <c r="IY26" s="339">
        <f>17.81/1.66</f>
        <v>10.728915662650602</v>
      </c>
      <c r="IZ26" s="339">
        <v>0.27500000000000002</v>
      </c>
      <c r="JA26" s="339">
        <v>896.7</v>
      </c>
      <c r="JB26" s="339">
        <f>19.95/1.66</f>
        <v>12.018072289156626</v>
      </c>
      <c r="JC26" s="339">
        <v>0.27500000000000002</v>
      </c>
      <c r="JD26" s="339">
        <v>836</v>
      </c>
      <c r="JE26" s="339">
        <f>14.54/1.66</f>
        <v>8.7590361445783138</v>
      </c>
      <c r="JF26" s="339">
        <v>0.27500000000000002</v>
      </c>
      <c r="JG26" s="339">
        <v>834</v>
      </c>
      <c r="JH26" s="339">
        <f>19.54/1.66</f>
        <v>11.771084337349398</v>
      </c>
      <c r="JI26" s="339">
        <v>0.27500000000000002</v>
      </c>
      <c r="JJ26" s="339">
        <v>830.6</v>
      </c>
      <c r="JK26" s="339">
        <f>19.55/1.66</f>
        <v>11.777108433734941</v>
      </c>
      <c r="JL26" s="339">
        <v>0.27500000000000002</v>
      </c>
      <c r="JM26" s="339">
        <v>787.7</v>
      </c>
      <c r="JN26" s="339">
        <f>31.1/1.66</f>
        <v>18.734939759036145</v>
      </c>
      <c r="JO26" s="339">
        <v>0.27500000000000002</v>
      </c>
      <c r="JP26" s="339">
        <v>776</v>
      </c>
      <c r="JQ26" s="339">
        <f>37.8/1.66</f>
        <v>22.771084337349397</v>
      </c>
      <c r="JR26" s="339">
        <v>0.27500000000000002</v>
      </c>
      <c r="JS26" s="339">
        <v>775.2</v>
      </c>
      <c r="JT26" s="339">
        <f>39.26/1.66</f>
        <v>23.650602409638555</v>
      </c>
      <c r="JU26" s="339">
        <v>0.27500000000000002</v>
      </c>
      <c r="JV26" s="339">
        <v>773</v>
      </c>
      <c r="JW26" s="339">
        <f>37.85/1.66</f>
        <v>22.80120481927711</v>
      </c>
      <c r="JX26" s="339">
        <v>0.27500000000000002</v>
      </c>
      <c r="JY26" s="339">
        <v>745</v>
      </c>
      <c r="JZ26" s="339">
        <f>39.01/1.66</f>
        <v>23.5</v>
      </c>
      <c r="KA26" s="339">
        <v>0.27500000000000002</v>
      </c>
      <c r="KB26" s="339">
        <v>738</v>
      </c>
      <c r="KC26" s="339">
        <f>42.74/1.66</f>
        <v>25.746987951807231</v>
      </c>
      <c r="KD26" s="339">
        <v>0.27500000000000002</v>
      </c>
      <c r="KE26" s="339">
        <v>736</v>
      </c>
      <c r="KF26" s="339">
        <v>42.625</v>
      </c>
      <c r="KG26" s="339">
        <v>0.27500000000000002</v>
      </c>
      <c r="KH26" s="339">
        <v>736</v>
      </c>
      <c r="KI26" s="339">
        <v>42.875</v>
      </c>
      <c r="KJ26" s="339">
        <v>0.27500000000000002</v>
      </c>
      <c r="KK26" s="339">
        <v>734</v>
      </c>
      <c r="KL26" s="339">
        <v>28.375</v>
      </c>
      <c r="KM26" s="339">
        <v>0.27500000000000002</v>
      </c>
      <c r="KN26" s="339">
        <v>732</v>
      </c>
      <c r="KO26" s="339">
        <v>26.25</v>
      </c>
      <c r="KP26" s="339">
        <v>0.27500000000000002</v>
      </c>
      <c r="KQ26" s="339">
        <v>730</v>
      </c>
      <c r="KR26" s="339">
        <v>25.0625</v>
      </c>
      <c r="KS26" s="339">
        <v>0.27500000000000002</v>
      </c>
      <c r="KT26" s="339">
        <v>728</v>
      </c>
      <c r="KU26" s="339">
        <v>27.5625</v>
      </c>
      <c r="KV26" s="339">
        <v>0.27500000000000002</v>
      </c>
      <c r="KW26" s="334">
        <v>722</v>
      </c>
      <c r="KX26" s="334">
        <v>27.21875</v>
      </c>
      <c r="KY26" s="334">
        <v>0.27500000000000002</v>
      </c>
      <c r="KZ26" s="334">
        <v>722.4</v>
      </c>
      <c r="LA26" s="334">
        <v>27.40625</v>
      </c>
      <c r="LB26" s="334">
        <v>0.27500000000000002</v>
      </c>
      <c r="LC26" s="334">
        <v>722.4</v>
      </c>
      <c r="LD26" s="334">
        <v>32.031500000000001</v>
      </c>
      <c r="LE26" s="334">
        <v>0.27500000000000002</v>
      </c>
      <c r="LF26" s="334">
        <v>720.2</v>
      </c>
      <c r="LG26" s="334">
        <v>33.094000000000001</v>
      </c>
      <c r="LH26" s="334">
        <v>0.27500000000000002</v>
      </c>
      <c r="LI26" s="334">
        <v>720.2</v>
      </c>
      <c r="LJ26" s="334">
        <v>29.625</v>
      </c>
      <c r="LK26" s="334">
        <v>0.27500000000000002</v>
      </c>
      <c r="LL26" s="334">
        <v>719.8</v>
      </c>
      <c r="LM26" s="334">
        <v>29.78125</v>
      </c>
      <c r="LN26" s="334">
        <v>0.27500000000000002</v>
      </c>
      <c r="LO26" s="334">
        <v>719.8</v>
      </c>
      <c r="LP26" s="334">
        <v>27.6875</v>
      </c>
      <c r="LQ26" s="334">
        <v>0.27500000000000002</v>
      </c>
      <c r="LR26" s="334">
        <v>403.18</v>
      </c>
      <c r="LS26" s="334">
        <v>24.71875</v>
      </c>
      <c r="LT26" s="334">
        <v>0.27500000000000002</v>
      </c>
      <c r="LU26" s="334">
        <v>403.18</v>
      </c>
      <c r="LV26" s="334">
        <v>23.969000000000001</v>
      </c>
      <c r="LW26" s="334">
        <v>0.26500000000000001</v>
      </c>
      <c r="LX26" s="334">
        <v>405.82600000000002</v>
      </c>
      <c r="LY26" s="334">
        <v>22.0625</v>
      </c>
      <c r="LZ26" s="334">
        <v>0.26500000000000001</v>
      </c>
      <c r="MA26" s="334">
        <v>405.82600000000002</v>
      </c>
      <c r="MB26" s="334">
        <v>23.125</v>
      </c>
      <c r="MC26" s="334">
        <v>0.26500000000000001</v>
      </c>
      <c r="MD26" s="334">
        <v>409.71800000000002</v>
      </c>
      <c r="ME26" s="334">
        <v>23.3125</v>
      </c>
      <c r="MF26" s="334">
        <v>0.26500000000000001</v>
      </c>
      <c r="MG26" s="334">
        <v>409.71800000000002</v>
      </c>
      <c r="MH26" s="334">
        <v>25.625</v>
      </c>
      <c r="MI26" s="334">
        <v>0.255</v>
      </c>
      <c r="MJ26" s="334">
        <v>409.71800000000002</v>
      </c>
      <c r="MK26" s="334">
        <v>25.25</v>
      </c>
      <c r="ML26" s="334">
        <v>0.255</v>
      </c>
      <c r="MM26" s="334">
        <v>409.71800000000002</v>
      </c>
      <c r="MN26" s="334">
        <v>23.6875</v>
      </c>
      <c r="MO26" s="334">
        <v>0.255</v>
      </c>
      <c r="MP26" s="334">
        <v>409.71800000000002</v>
      </c>
      <c r="MQ26" s="334">
        <v>21.6875</v>
      </c>
      <c r="MR26" s="334">
        <v>0.255</v>
      </c>
      <c r="MS26" s="334">
        <v>409.71800000000002</v>
      </c>
      <c r="MT26" s="334">
        <v>20.75</v>
      </c>
      <c r="MU26" s="334">
        <v>0.245</v>
      </c>
      <c r="MV26" s="334">
        <v>409.71800000000002</v>
      </c>
      <c r="MW26" s="334">
        <v>19.125</v>
      </c>
      <c r="MX26" s="334">
        <v>0.245</v>
      </c>
      <c r="MY26" s="334">
        <v>409.71800000000002</v>
      </c>
      <c r="MZ26" s="334">
        <v>19.0625</v>
      </c>
      <c r="NA26" s="334">
        <v>0.245</v>
      </c>
      <c r="NB26" s="334">
        <v>409.71800000000002</v>
      </c>
      <c r="NC26" s="334">
        <v>19.5</v>
      </c>
      <c r="ND26" s="334">
        <v>0.245</v>
      </c>
      <c r="NE26" s="334">
        <v>409.71800000000002</v>
      </c>
      <c r="NF26" s="334">
        <v>17.875</v>
      </c>
      <c r="NG26" s="334">
        <v>0.23499999999999999</v>
      </c>
      <c r="NH26" s="334">
        <v>409.71800000000002</v>
      </c>
      <c r="NI26" s="334">
        <v>18.0625</v>
      </c>
      <c r="NJ26" s="334">
        <v>0.23499999999999999</v>
      </c>
      <c r="NK26" s="334">
        <v>409.71800000000002</v>
      </c>
      <c r="NL26" s="334">
        <v>21.1875</v>
      </c>
      <c r="NM26" s="334">
        <v>0.23499999999999999</v>
      </c>
      <c r="NN26" s="334">
        <v>409.71800000000002</v>
      </c>
      <c r="NO26" s="334">
        <v>21.6875</v>
      </c>
      <c r="NP26" s="334">
        <v>0.23499999999999999</v>
      </c>
      <c r="NQ26" s="334">
        <v>409.71800000000002</v>
      </c>
      <c r="NR26" s="334">
        <v>19.9375</v>
      </c>
      <c r="NS26" s="334">
        <v>0.22500000000000001</v>
      </c>
      <c r="NT26" s="334">
        <v>409.71800000000002</v>
      </c>
      <c r="NU26" s="334">
        <v>19.625</v>
      </c>
      <c r="NV26" s="334">
        <v>0.22500000000000001</v>
      </c>
      <c r="NW26" s="334">
        <v>409.71800000000002</v>
      </c>
      <c r="NX26" s="334">
        <v>18.065000000000001</v>
      </c>
      <c r="NY26" s="334">
        <v>0.22500000000000001</v>
      </c>
      <c r="NZ26" s="334">
        <v>409.61200000000002</v>
      </c>
      <c r="OA26" s="334">
        <v>18</v>
      </c>
      <c r="OB26" s="334">
        <v>0.22500000000000001</v>
      </c>
      <c r="OC26" s="334">
        <v>409.55799999999999</v>
      </c>
      <c r="OD26" s="334">
        <v>17.125</v>
      </c>
      <c r="OE26" s="334">
        <v>0.215</v>
      </c>
      <c r="OF26" s="334">
        <v>409.404</v>
      </c>
      <c r="OG26" s="334">
        <v>16</v>
      </c>
      <c r="OH26" s="334">
        <v>0.215</v>
      </c>
      <c r="OI26" s="334">
        <v>406.86200000000002</v>
      </c>
      <c r="OJ26" s="334">
        <v>17.5</v>
      </c>
      <c r="OK26" s="334">
        <v>0.215</v>
      </c>
      <c r="OL26" s="334">
        <v>406.08</v>
      </c>
      <c r="OM26" s="334">
        <v>16.190000000000001</v>
      </c>
      <c r="ON26" s="334">
        <v>0.215</v>
      </c>
      <c r="OO26" s="334">
        <v>405.392</v>
      </c>
      <c r="OP26" s="334">
        <v>13.815</v>
      </c>
      <c r="OQ26" s="334">
        <v>0.20499999999999999</v>
      </c>
      <c r="OR26" s="334">
        <v>405.17200000000003</v>
      </c>
      <c r="OS26" s="334">
        <v>14.375</v>
      </c>
      <c r="OT26" s="334">
        <v>0.20499999999999999</v>
      </c>
      <c r="OU26" s="334">
        <v>405.14</v>
      </c>
      <c r="OV26" s="334">
        <v>15.315</v>
      </c>
    </row>
    <row r="27" spans="1:412">
      <c r="B27" s="333" t="s">
        <v>233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503"/>
      <c r="AZ27" s="503"/>
      <c r="BA27" s="503"/>
      <c r="BB27" s="503"/>
      <c r="BC27" s="503"/>
      <c r="BD27" s="503"/>
      <c r="BE27" s="503"/>
      <c r="BF27" s="503"/>
      <c r="BG27" s="503"/>
      <c r="BH27" s="503"/>
      <c r="BI27" s="503"/>
      <c r="BJ27" s="503"/>
      <c r="BK27" s="503"/>
      <c r="BL27" s="503"/>
      <c r="BM27" s="503"/>
      <c r="BN27" s="503"/>
      <c r="BO27" s="503"/>
      <c r="BP27" s="503"/>
      <c r="BQ27" s="504"/>
      <c r="BR27" s="504"/>
      <c r="BS27" s="504"/>
      <c r="BT27" s="504"/>
      <c r="BU27" s="504"/>
      <c r="BV27" s="504"/>
      <c r="BW27" s="504"/>
      <c r="BX27" s="504"/>
      <c r="BY27" s="504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503"/>
      <c r="CL27" s="503"/>
      <c r="CM27" s="503"/>
      <c r="CN27" s="503"/>
      <c r="CO27" s="503"/>
      <c r="CP27" s="503"/>
      <c r="CQ27" s="503"/>
      <c r="CR27" s="504"/>
      <c r="CS27" s="504"/>
      <c r="CT27" s="504"/>
      <c r="CU27" s="503"/>
      <c r="CV27" s="503"/>
      <c r="CW27" s="503"/>
      <c r="CX27" s="339"/>
      <c r="CY27" s="339"/>
      <c r="CZ27" s="339"/>
      <c r="DA27" s="339"/>
      <c r="DB27" s="339"/>
      <c r="DC27" s="339"/>
      <c r="DD27" s="339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40"/>
      <c r="EC27" s="340"/>
      <c r="ED27" s="340"/>
      <c r="EE27" s="339"/>
      <c r="EF27" s="339"/>
      <c r="EG27" s="339"/>
      <c r="EH27" s="339"/>
      <c r="EI27" s="339"/>
      <c r="EJ27" s="339"/>
      <c r="EK27" s="339"/>
      <c r="EL27" s="339"/>
      <c r="EM27" s="339"/>
      <c r="EN27" s="339"/>
      <c r="EO27" s="339"/>
      <c r="EP27" s="339"/>
      <c r="EQ27" s="339"/>
      <c r="ER27" s="339"/>
      <c r="ES27" s="339"/>
      <c r="ET27" s="339"/>
      <c r="EU27" s="339"/>
      <c r="EV27" s="339"/>
      <c r="EW27" s="339"/>
      <c r="EX27" s="339"/>
      <c r="EY27" s="339"/>
      <c r="EZ27" s="339"/>
      <c r="FA27" s="339"/>
      <c r="FB27" s="339"/>
      <c r="FC27" s="339"/>
      <c r="FD27" s="339"/>
      <c r="FE27" s="339"/>
      <c r="FF27" s="339"/>
      <c r="FG27" s="339"/>
      <c r="FH27" s="342"/>
      <c r="FI27" s="339"/>
      <c r="FJ27" s="339"/>
      <c r="FK27" s="339"/>
      <c r="FL27" s="339"/>
      <c r="FM27" s="339"/>
      <c r="FN27" s="339"/>
      <c r="FO27" s="339"/>
      <c r="FP27" s="339"/>
      <c r="FQ27" s="339"/>
      <c r="FR27" s="339"/>
      <c r="FS27" s="339"/>
      <c r="FT27" s="339"/>
      <c r="FU27" s="339"/>
      <c r="FV27" s="339"/>
      <c r="FW27" s="339"/>
      <c r="FX27" s="339"/>
      <c r="FY27" s="339"/>
      <c r="FZ27" s="339"/>
      <c r="GA27" s="339"/>
      <c r="GB27" s="339"/>
      <c r="GC27" s="339"/>
      <c r="GD27" s="339"/>
      <c r="GE27" s="339"/>
      <c r="GF27" s="339"/>
      <c r="GG27" s="339"/>
      <c r="GH27" s="339"/>
      <c r="GI27" s="339"/>
      <c r="GJ27" s="339"/>
      <c r="GK27" s="339"/>
      <c r="GL27" s="339"/>
      <c r="GM27" s="339"/>
      <c r="GN27" s="339"/>
      <c r="GO27" s="339"/>
      <c r="GP27" s="339"/>
      <c r="GQ27" s="339"/>
      <c r="GR27" s="339"/>
      <c r="GS27" s="339"/>
      <c r="GT27" s="339"/>
      <c r="GU27" s="339"/>
      <c r="GV27" s="339"/>
      <c r="GW27" s="339"/>
      <c r="GX27" s="339"/>
      <c r="GY27" s="339"/>
      <c r="GZ27" s="339"/>
      <c r="HA27" s="339"/>
      <c r="HB27" s="339"/>
      <c r="HC27" s="339"/>
      <c r="HD27" s="339"/>
      <c r="HE27" s="339"/>
      <c r="HF27" s="339"/>
      <c r="HG27" s="339"/>
      <c r="HH27" s="339"/>
      <c r="HI27" s="505"/>
      <c r="HJ27" s="339"/>
      <c r="HK27" s="339"/>
      <c r="HL27" s="339"/>
      <c r="HM27" s="339"/>
      <c r="HN27" s="339"/>
      <c r="HO27" s="339"/>
      <c r="HP27" s="339"/>
      <c r="HQ27" s="339"/>
      <c r="HR27" s="339"/>
      <c r="HS27" s="339"/>
      <c r="HT27" s="339"/>
      <c r="HU27" s="339"/>
      <c r="HV27" s="339"/>
      <c r="HW27" s="339"/>
      <c r="HX27" s="506"/>
      <c r="HY27" s="513"/>
      <c r="HZ27" s="339"/>
      <c r="IA27" s="339"/>
      <c r="IB27" s="339"/>
      <c r="IC27" s="339"/>
      <c r="ID27" s="339"/>
      <c r="IE27" s="339"/>
      <c r="IF27" s="339"/>
      <c r="IG27" s="339"/>
      <c r="IH27" s="339"/>
      <c r="II27" s="339"/>
      <c r="IJ27" s="505"/>
      <c r="IK27" s="339"/>
      <c r="IL27" s="339"/>
      <c r="IM27" s="339"/>
      <c r="IN27" s="339"/>
      <c r="IO27" s="339"/>
      <c r="IP27" s="339"/>
      <c r="IQ27" s="339"/>
      <c r="IR27" s="339"/>
      <c r="IS27" s="339"/>
      <c r="IT27" s="339"/>
      <c r="IU27" s="339"/>
      <c r="IV27" s="339"/>
      <c r="IW27" s="339"/>
      <c r="IX27" s="339"/>
      <c r="IY27" s="339"/>
      <c r="IZ27" s="342"/>
      <c r="JA27" s="339"/>
      <c r="JB27" s="339"/>
      <c r="JC27" s="339"/>
      <c r="JD27" s="339"/>
      <c r="JE27" s="339"/>
      <c r="JF27" s="339"/>
      <c r="JG27" s="339"/>
      <c r="JH27" s="339"/>
      <c r="JI27" s="339"/>
      <c r="JJ27" s="339"/>
      <c r="JK27" s="339"/>
      <c r="JL27" s="339"/>
      <c r="JM27" s="339"/>
      <c r="JN27" s="339"/>
      <c r="JO27" s="339"/>
      <c r="JP27" s="339"/>
      <c r="JQ27" s="339"/>
      <c r="JR27" s="339"/>
      <c r="JS27" s="339"/>
      <c r="JT27" s="342"/>
      <c r="JU27" s="342"/>
      <c r="JV27" s="339"/>
      <c r="JW27" s="339"/>
      <c r="JX27" s="339"/>
      <c r="JY27" s="339"/>
      <c r="JZ27" s="339"/>
      <c r="KA27" s="339"/>
      <c r="KB27" s="339"/>
      <c r="KC27" s="339"/>
      <c r="KD27" s="339"/>
      <c r="KE27" s="339"/>
      <c r="KF27" s="339"/>
      <c r="KG27" s="339"/>
      <c r="KH27" s="339"/>
      <c r="KI27" s="339"/>
      <c r="KJ27" s="339"/>
      <c r="KK27" s="339"/>
      <c r="KL27" s="339"/>
      <c r="KM27" s="339"/>
      <c r="KN27" s="339"/>
      <c r="KO27" s="339"/>
      <c r="KP27" s="339"/>
      <c r="KQ27" s="339"/>
      <c r="KR27" s="339"/>
      <c r="KS27" s="339"/>
      <c r="KT27" s="339"/>
      <c r="KU27" s="339"/>
      <c r="KV27" s="339"/>
      <c r="KW27" s="334"/>
      <c r="KX27" s="334"/>
      <c r="KY27" s="334"/>
      <c r="KZ27" s="334"/>
      <c r="LA27" s="334"/>
      <c r="LB27" s="334"/>
      <c r="LC27" s="334"/>
      <c r="LD27" s="334"/>
      <c r="LE27" s="334"/>
      <c r="LF27" s="334"/>
      <c r="LG27" s="334"/>
      <c r="LH27" s="334"/>
      <c r="LI27" s="334"/>
      <c r="LJ27" s="334"/>
      <c r="LK27" s="334"/>
      <c r="LL27" s="334">
        <v>1.59</v>
      </c>
      <c r="LM27" s="334">
        <v>40.375</v>
      </c>
      <c r="LN27" s="334">
        <v>0.28000000000000003</v>
      </c>
      <c r="LO27" s="334">
        <v>1.593</v>
      </c>
      <c r="LP27" s="334">
        <v>40.5</v>
      </c>
      <c r="LQ27" s="334">
        <v>0.28000000000000003</v>
      </c>
      <c r="LR27" s="334">
        <v>1.3</v>
      </c>
      <c r="LS27" s="334">
        <v>39.5</v>
      </c>
      <c r="LT27" s="334">
        <v>0.28000000000000003</v>
      </c>
      <c r="LU27" s="334">
        <v>1.3</v>
      </c>
      <c r="LV27" s="334">
        <v>38.5</v>
      </c>
      <c r="LW27" s="334">
        <v>0.28000000000000003</v>
      </c>
      <c r="LX27" s="334">
        <v>1.3</v>
      </c>
      <c r="LY27" s="334">
        <v>39.5</v>
      </c>
      <c r="LZ27" s="334">
        <v>0.28000000000000003</v>
      </c>
      <c r="MA27" s="334">
        <v>1.3</v>
      </c>
      <c r="MB27" s="334">
        <v>25.75</v>
      </c>
      <c r="MC27" s="334">
        <v>0.27</v>
      </c>
      <c r="MD27" s="334">
        <v>1.3</v>
      </c>
      <c r="ME27" s="334">
        <v>24</v>
      </c>
      <c r="MF27" s="334">
        <v>0.27</v>
      </c>
      <c r="MG27" s="334">
        <v>1.3</v>
      </c>
      <c r="MH27" s="334">
        <v>25.5</v>
      </c>
      <c r="MI27" s="334">
        <v>0.27</v>
      </c>
      <c r="MJ27" s="334">
        <v>1.3</v>
      </c>
      <c r="MK27" s="334">
        <v>26.25</v>
      </c>
      <c r="ML27" s="334">
        <v>0.26</v>
      </c>
      <c r="MM27" s="334">
        <v>1.3</v>
      </c>
      <c r="MN27" s="334">
        <v>23</v>
      </c>
      <c r="MO27" s="334">
        <v>0.26</v>
      </c>
      <c r="MP27" s="334">
        <v>1.3</v>
      </c>
      <c r="MQ27" s="334">
        <v>21.5</v>
      </c>
      <c r="MR27" s="334">
        <v>0.26</v>
      </c>
      <c r="MS27" s="334">
        <v>1.3</v>
      </c>
      <c r="MT27" s="334">
        <v>22.5</v>
      </c>
      <c r="MU27" s="334">
        <v>0.26</v>
      </c>
      <c r="MV27" s="334">
        <v>1.3</v>
      </c>
      <c r="MW27" s="334">
        <v>22.5</v>
      </c>
      <c r="MX27" s="334">
        <v>0.25</v>
      </c>
      <c r="MY27" s="334">
        <v>1.3</v>
      </c>
      <c r="MZ27" s="334">
        <v>24</v>
      </c>
      <c r="NA27" s="334">
        <v>0.25</v>
      </c>
      <c r="NB27" s="334">
        <v>1.3</v>
      </c>
      <c r="NC27" s="334">
        <v>22.25</v>
      </c>
      <c r="ND27" s="334">
        <v>0.25</v>
      </c>
      <c r="NE27" s="334">
        <v>1.3</v>
      </c>
      <c r="NF27" s="334">
        <v>24.25</v>
      </c>
      <c r="NG27" s="334">
        <v>0.25</v>
      </c>
      <c r="NH27" s="334">
        <v>1.3</v>
      </c>
      <c r="NI27" s="334">
        <v>23.5</v>
      </c>
      <c r="NJ27" s="334">
        <v>0.25</v>
      </c>
      <c r="NK27" s="334">
        <v>1.3</v>
      </c>
      <c r="NL27" s="334">
        <v>22.5</v>
      </c>
      <c r="NM27" s="334">
        <v>0.25</v>
      </c>
      <c r="NN27" s="334">
        <v>1.3</v>
      </c>
      <c r="NO27" s="334">
        <v>22</v>
      </c>
      <c r="NP27" s="334">
        <v>0.25</v>
      </c>
      <c r="NQ27" s="334">
        <v>1.29</v>
      </c>
      <c r="NR27" s="334">
        <v>20.5</v>
      </c>
      <c r="NS27" s="334">
        <v>0.25</v>
      </c>
      <c r="NT27" s="334">
        <v>1.2825</v>
      </c>
      <c r="NU27" s="334">
        <v>21.3333333333333</v>
      </c>
      <c r="NV27" s="334">
        <v>0.24</v>
      </c>
      <c r="NW27" s="334">
        <v>1.26</v>
      </c>
      <c r="NX27" s="334">
        <v>20.67</v>
      </c>
      <c r="NY27" s="334">
        <v>0.24</v>
      </c>
      <c r="NZ27" s="334">
        <v>1.26</v>
      </c>
      <c r="OA27" s="334">
        <v>20</v>
      </c>
      <c r="OB27" s="334">
        <v>0.24</v>
      </c>
      <c r="OC27" s="334">
        <v>1.26</v>
      </c>
      <c r="OD27" s="334">
        <v>20.58</v>
      </c>
      <c r="OE27" s="334">
        <v>0.23</v>
      </c>
      <c r="OF27" s="334">
        <v>1.26</v>
      </c>
      <c r="OG27" s="334">
        <v>19.329999999999998</v>
      </c>
      <c r="OH27" s="334">
        <v>0.24</v>
      </c>
      <c r="OI27" s="334">
        <v>1.212</v>
      </c>
      <c r="OJ27" s="334">
        <v>17</v>
      </c>
      <c r="OK27" s="334">
        <v>0.24</v>
      </c>
      <c r="OL27" s="334">
        <v>1.2110000000000001</v>
      </c>
      <c r="OM27" s="334">
        <v>16.829999999999998</v>
      </c>
      <c r="ON27" s="334">
        <v>0.24</v>
      </c>
      <c r="OO27" s="334">
        <v>1.2050000000000001</v>
      </c>
      <c r="OP27" s="334">
        <v>16.5</v>
      </c>
      <c r="OQ27" s="334">
        <v>0.23</v>
      </c>
      <c r="OR27" s="334">
        <v>1.167</v>
      </c>
      <c r="OS27" s="334">
        <v>16</v>
      </c>
      <c r="OT27" s="334">
        <v>0.24</v>
      </c>
      <c r="OU27" s="334">
        <v>1.1479999999999999</v>
      </c>
      <c r="OV27" s="334">
        <v>15.5</v>
      </c>
    </row>
    <row r="28" spans="1:412">
      <c r="B28" s="333" t="s">
        <v>234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504"/>
      <c r="AZ28" s="504"/>
      <c r="BA28" s="504"/>
      <c r="BB28" s="503"/>
      <c r="BC28" s="503"/>
      <c r="BD28" s="503"/>
      <c r="BE28" s="503"/>
      <c r="BF28" s="503"/>
      <c r="BG28" s="503"/>
      <c r="BH28" s="503"/>
      <c r="BI28" s="503"/>
      <c r="BJ28" s="503"/>
      <c r="BK28" s="503"/>
      <c r="BL28" s="503"/>
      <c r="BM28" s="503"/>
      <c r="BN28" s="503"/>
      <c r="BO28" s="503"/>
      <c r="BP28" s="503"/>
      <c r="BQ28" s="504"/>
      <c r="BR28" s="504"/>
      <c r="BS28" s="504"/>
      <c r="BT28" s="504"/>
      <c r="BU28" s="504"/>
      <c r="BV28" s="504"/>
      <c r="BW28" s="504"/>
      <c r="BX28" s="504"/>
      <c r="BY28" s="504"/>
      <c r="BZ28" s="503"/>
      <c r="CA28" s="503"/>
      <c r="CB28" s="503"/>
      <c r="CC28" s="503"/>
      <c r="CD28" s="503"/>
      <c r="CE28" s="503"/>
      <c r="CF28" s="503"/>
      <c r="CG28" s="503"/>
      <c r="CH28" s="503"/>
      <c r="CI28" s="503"/>
      <c r="CJ28" s="503"/>
      <c r="CK28" s="503"/>
      <c r="CL28" s="503"/>
      <c r="CM28" s="503"/>
      <c r="CN28" s="503"/>
      <c r="CO28" s="503"/>
      <c r="CP28" s="503"/>
      <c r="CQ28" s="503"/>
      <c r="CR28" s="504"/>
      <c r="CS28" s="504"/>
      <c r="CT28" s="504"/>
      <c r="CU28" s="503"/>
      <c r="CV28" s="503"/>
      <c r="CW28" s="503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  <c r="DI28" s="339"/>
      <c r="DJ28" s="339"/>
      <c r="DK28" s="339"/>
      <c r="DL28" s="339"/>
      <c r="DM28" s="339"/>
      <c r="DN28" s="339"/>
      <c r="DO28" s="339"/>
      <c r="DP28" s="339"/>
      <c r="DQ28" s="339"/>
      <c r="DR28" s="339"/>
      <c r="DS28" s="339"/>
      <c r="DT28" s="339"/>
      <c r="DU28" s="339"/>
      <c r="DV28" s="339"/>
      <c r="DW28" s="339"/>
      <c r="DX28" s="339"/>
      <c r="DY28" s="339"/>
      <c r="DZ28" s="339"/>
      <c r="EA28" s="339"/>
      <c r="EB28" s="340"/>
      <c r="EC28" s="340"/>
      <c r="ED28" s="340"/>
      <c r="EE28" s="339"/>
      <c r="EF28" s="339"/>
      <c r="EG28" s="339"/>
      <c r="EH28" s="339"/>
      <c r="EI28" s="339"/>
      <c r="EJ28" s="339"/>
      <c r="EK28" s="339"/>
      <c r="EL28" s="339"/>
      <c r="EM28" s="339"/>
      <c r="EN28" s="339"/>
      <c r="EO28" s="339"/>
      <c r="EP28" s="339"/>
      <c r="EQ28" s="339"/>
      <c r="ER28" s="339"/>
      <c r="ES28" s="339"/>
      <c r="ET28" s="339"/>
      <c r="EU28" s="339"/>
      <c r="EV28" s="339"/>
      <c r="EW28" s="339"/>
      <c r="EX28" s="339"/>
      <c r="EY28" s="339"/>
      <c r="EZ28" s="339"/>
      <c r="FA28" s="339"/>
      <c r="FB28" s="339"/>
      <c r="FC28" s="339"/>
      <c r="FD28" s="339"/>
      <c r="FE28" s="339"/>
      <c r="FF28" s="339"/>
      <c r="FG28" s="339"/>
      <c r="FH28" s="342"/>
      <c r="FI28" s="339"/>
      <c r="FJ28" s="339"/>
      <c r="FK28" s="339"/>
      <c r="FL28" s="339"/>
      <c r="FM28" s="339"/>
      <c r="FN28" s="339"/>
      <c r="FO28" s="339"/>
      <c r="FP28" s="339"/>
      <c r="FQ28" s="339"/>
      <c r="FR28" s="339"/>
      <c r="FS28" s="339"/>
      <c r="FT28" s="339"/>
      <c r="FU28" s="339"/>
      <c r="FV28" s="339"/>
      <c r="FW28" s="339"/>
      <c r="FX28" s="339"/>
      <c r="FY28" s="339"/>
      <c r="FZ28" s="339"/>
      <c r="GA28" s="339"/>
      <c r="GB28" s="339"/>
      <c r="GC28" s="339"/>
      <c r="GD28" s="339"/>
      <c r="GE28" s="339"/>
      <c r="GF28" s="339"/>
      <c r="GG28" s="339"/>
      <c r="GH28" s="339"/>
      <c r="GI28" s="339"/>
      <c r="GJ28" s="339"/>
      <c r="GK28" s="339"/>
      <c r="GL28" s="339"/>
      <c r="GM28" s="339"/>
      <c r="GN28" s="339"/>
      <c r="GO28" s="339"/>
      <c r="GP28" s="339"/>
      <c r="GQ28" s="339"/>
      <c r="GR28" s="339"/>
      <c r="GS28" s="339"/>
      <c r="GT28" s="339"/>
      <c r="GU28" s="339"/>
      <c r="GV28" s="339"/>
      <c r="GW28" s="339"/>
      <c r="GX28" s="339"/>
      <c r="GY28" s="339"/>
      <c r="GZ28" s="339"/>
      <c r="HA28" s="339"/>
      <c r="HB28" s="339"/>
      <c r="HC28" s="339"/>
      <c r="HD28" s="339"/>
      <c r="HE28" s="339"/>
      <c r="HF28" s="339"/>
      <c r="HG28" s="339"/>
      <c r="HH28" s="339"/>
      <c r="HI28" s="505"/>
      <c r="HJ28" s="339"/>
      <c r="HK28" s="339"/>
      <c r="HL28" s="339"/>
      <c r="HM28" s="339"/>
      <c r="HN28" s="339"/>
      <c r="HO28" s="339"/>
      <c r="HP28" s="339"/>
      <c r="HQ28" s="339"/>
      <c r="HR28" s="339"/>
      <c r="HS28" s="339"/>
      <c r="HT28" s="339"/>
      <c r="HU28" s="339"/>
      <c r="HV28" s="339"/>
      <c r="HW28" s="339"/>
      <c r="HX28" s="506"/>
      <c r="HY28" s="513"/>
      <c r="HZ28" s="339"/>
      <c r="IA28" s="339"/>
      <c r="IB28" s="339"/>
      <c r="IC28" s="339"/>
      <c r="ID28" s="339"/>
      <c r="IE28" s="339"/>
      <c r="IF28" s="339"/>
      <c r="IG28" s="339"/>
      <c r="IH28" s="339"/>
      <c r="II28" s="339"/>
      <c r="IJ28" s="505"/>
      <c r="IK28" s="339"/>
      <c r="IL28" s="339"/>
      <c r="IM28" s="339"/>
      <c r="IN28" s="339"/>
      <c r="IO28" s="339"/>
      <c r="IP28" s="339"/>
      <c r="IQ28" s="339"/>
      <c r="IR28" s="339"/>
      <c r="IS28" s="339"/>
      <c r="IT28" s="339"/>
      <c r="IU28" s="339"/>
      <c r="IV28" s="339"/>
      <c r="IW28" s="339"/>
      <c r="IX28" s="339"/>
      <c r="IY28" s="339"/>
      <c r="IZ28" s="342"/>
      <c r="JA28" s="339"/>
      <c r="JB28" s="339"/>
      <c r="JC28" s="339"/>
      <c r="JD28" s="339"/>
      <c r="JE28" s="339"/>
      <c r="JF28" s="339"/>
      <c r="JG28" s="339"/>
      <c r="JH28" s="339"/>
      <c r="JI28" s="339"/>
      <c r="JJ28" s="339"/>
      <c r="JK28" s="339"/>
      <c r="JL28" s="339"/>
      <c r="JM28" s="339"/>
      <c r="JN28" s="339"/>
      <c r="JO28" s="339"/>
      <c r="JP28" s="339"/>
      <c r="JQ28" s="339"/>
      <c r="JR28" s="339"/>
      <c r="JS28" s="339"/>
      <c r="JT28" s="342"/>
      <c r="JU28" s="342"/>
      <c r="JV28" s="339"/>
      <c r="JW28" s="339"/>
      <c r="JX28" s="339"/>
      <c r="JY28" s="339"/>
      <c r="JZ28" s="339"/>
      <c r="KA28" s="339"/>
      <c r="KB28" s="339"/>
      <c r="KC28" s="339"/>
      <c r="KD28" s="339"/>
      <c r="KE28" s="339"/>
      <c r="KF28" s="339"/>
      <c r="KG28" s="339"/>
      <c r="KH28" s="339"/>
      <c r="KI28" s="339"/>
      <c r="KJ28" s="339"/>
      <c r="KK28" s="339"/>
      <c r="KL28" s="339"/>
      <c r="KM28" s="339"/>
      <c r="KN28" s="339">
        <v>20.435997</v>
      </c>
      <c r="KO28" s="339">
        <v>31.375</v>
      </c>
      <c r="KP28" s="339">
        <v>0.41499999999999998</v>
      </c>
      <c r="KQ28" s="339">
        <v>20.435997</v>
      </c>
      <c r="KR28" s="339">
        <v>30.3125</v>
      </c>
      <c r="KS28" s="339">
        <v>0.41499999999999998</v>
      </c>
      <c r="KT28" s="339">
        <v>20.435997</v>
      </c>
      <c r="KU28" s="339">
        <v>29.875</v>
      </c>
      <c r="KV28" s="339">
        <v>0.41499999999999998</v>
      </c>
      <c r="KW28" s="334">
        <v>20.440000000000001</v>
      </c>
      <c r="KX28" s="334">
        <v>29.125</v>
      </c>
      <c r="KY28" s="334">
        <v>0.41499999999999998</v>
      </c>
      <c r="KZ28" s="334">
        <v>20.440000000000001</v>
      </c>
      <c r="LA28" s="334">
        <v>28.3125</v>
      </c>
      <c r="LB28" s="334">
        <v>0.41499999999999998</v>
      </c>
      <c r="LC28" s="334">
        <v>20.440000000000001</v>
      </c>
      <c r="LD28" s="334">
        <v>28.25</v>
      </c>
      <c r="LE28" s="334">
        <v>0.41499999999999998</v>
      </c>
      <c r="LF28" s="334">
        <v>20.440000000000001</v>
      </c>
      <c r="LG28" s="334">
        <v>26.125</v>
      </c>
      <c r="LH28" s="334">
        <v>0.41499999999999998</v>
      </c>
      <c r="LI28" s="334">
        <v>20.440000000000001</v>
      </c>
      <c r="LJ28" s="334">
        <v>26.25</v>
      </c>
      <c r="LK28" s="334">
        <v>0.41499999999999998</v>
      </c>
      <c r="LL28" s="334">
        <v>20.440000000000001</v>
      </c>
      <c r="LM28" s="334">
        <v>27.25</v>
      </c>
      <c r="LN28" s="334">
        <v>0.41499999999999998</v>
      </c>
      <c r="LO28" s="334">
        <v>20.436</v>
      </c>
      <c r="LP28" s="334">
        <v>26.25</v>
      </c>
      <c r="LQ28" s="334">
        <v>0.41499999999999998</v>
      </c>
      <c r="LR28" s="334">
        <v>20.436</v>
      </c>
      <c r="LS28" s="334">
        <v>19.9375</v>
      </c>
      <c r="LT28" s="334">
        <v>0.41499999999999998</v>
      </c>
      <c r="LU28" s="334">
        <v>20.436</v>
      </c>
      <c r="LV28" s="334">
        <v>18.25</v>
      </c>
      <c r="LW28" s="334">
        <v>0.41499999999999998</v>
      </c>
      <c r="LX28" s="334">
        <v>20.337</v>
      </c>
      <c r="LY28" s="334">
        <v>18</v>
      </c>
      <c r="LZ28" s="334">
        <v>0.41499999999999998</v>
      </c>
      <c r="MA28" s="334">
        <v>20.337</v>
      </c>
      <c r="MB28" s="334">
        <v>17.375</v>
      </c>
      <c r="MC28" s="334">
        <v>0.41499999999999998</v>
      </c>
      <c r="MD28" s="334">
        <v>20.337</v>
      </c>
      <c r="ME28" s="334">
        <v>16.75</v>
      </c>
      <c r="MF28" s="334">
        <v>0.41499999999999998</v>
      </c>
      <c r="MG28" s="334">
        <v>20.337</v>
      </c>
      <c r="MH28" s="334">
        <v>19.5</v>
      </c>
      <c r="MI28" s="334">
        <v>0.41499999999999998</v>
      </c>
      <c r="MJ28" s="334">
        <v>20.337</v>
      </c>
      <c r="MK28" s="334">
        <v>21.5</v>
      </c>
      <c r="ML28" s="334">
        <v>0.4</v>
      </c>
      <c r="MM28" s="334">
        <v>20.337</v>
      </c>
      <c r="MN28" s="334">
        <v>23.625</v>
      </c>
      <c r="MO28" s="334">
        <v>0.4</v>
      </c>
      <c r="MP28" s="334">
        <v>19.603000000000002</v>
      </c>
      <c r="MQ28" s="334">
        <v>24.125</v>
      </c>
      <c r="MR28" s="334">
        <v>0.4</v>
      </c>
      <c r="MS28" s="334">
        <v>19.603000000000002</v>
      </c>
      <c r="MT28" s="334">
        <v>22.625</v>
      </c>
      <c r="MU28" s="334">
        <v>0.38500000000000001</v>
      </c>
      <c r="MV28" s="334">
        <v>19.603000000000002</v>
      </c>
      <c r="MW28" s="334">
        <v>23.875</v>
      </c>
      <c r="MX28" s="334">
        <v>0.38500000000000001</v>
      </c>
      <c r="MY28" s="334">
        <v>19.603000000000002</v>
      </c>
      <c r="MZ28" s="334">
        <v>22</v>
      </c>
      <c r="NA28" s="334">
        <v>0.38500000000000001</v>
      </c>
      <c r="NB28" s="334">
        <v>19.603000000000002</v>
      </c>
      <c r="NC28" s="334">
        <v>22.375</v>
      </c>
      <c r="ND28" s="334">
        <v>0.38500000000000001</v>
      </c>
      <c r="NE28" s="334">
        <v>19.521000000000001</v>
      </c>
      <c r="NF28" s="334">
        <v>23.125</v>
      </c>
      <c r="NG28" s="334">
        <v>0.36</v>
      </c>
      <c r="NH28" s="334">
        <v>18.783999999999999</v>
      </c>
      <c r="NI28" s="334">
        <v>24.625</v>
      </c>
      <c r="NJ28" s="334">
        <v>0.36</v>
      </c>
      <c r="NK28" s="334">
        <v>18.783999999999999</v>
      </c>
      <c r="NL28" s="334">
        <v>28</v>
      </c>
      <c r="NM28" s="334">
        <v>0.36</v>
      </c>
      <c r="NN28" s="334">
        <v>18.783999999999999</v>
      </c>
      <c r="NO28" s="334">
        <v>29.875</v>
      </c>
      <c r="NP28" s="334">
        <v>0.36</v>
      </c>
      <c r="NQ28" s="334">
        <v>18.584</v>
      </c>
      <c r="NR28" s="334">
        <v>28.25</v>
      </c>
      <c r="NS28" s="334">
        <v>0.36</v>
      </c>
      <c r="NT28" s="334">
        <v>17.283999999999999</v>
      </c>
      <c r="NU28" s="334">
        <v>27.875</v>
      </c>
      <c r="NV28" s="334">
        <v>0.34</v>
      </c>
      <c r="NW28" s="334">
        <v>16.989000000000001</v>
      </c>
      <c r="NX28" s="334">
        <v>24.75</v>
      </c>
      <c r="NY28" s="334">
        <v>0.34</v>
      </c>
      <c r="NZ28" s="334">
        <v>16.989000000000001</v>
      </c>
      <c r="OA28" s="334">
        <v>22.88</v>
      </c>
      <c r="OB28" s="334">
        <v>0.34</v>
      </c>
      <c r="OC28" s="334">
        <v>16.937999999999999</v>
      </c>
      <c r="OD28" s="334">
        <v>23.13</v>
      </c>
      <c r="OE28" s="334">
        <v>0.34</v>
      </c>
      <c r="OF28" s="334">
        <v>16.882000000000001</v>
      </c>
      <c r="OG28" s="334">
        <v>21.38</v>
      </c>
      <c r="OH28" s="334">
        <v>0.34</v>
      </c>
      <c r="OI28" s="334">
        <v>16.608000000000001</v>
      </c>
      <c r="OJ28" s="334">
        <v>20.63</v>
      </c>
      <c r="OK28" s="334">
        <v>0.34</v>
      </c>
      <c r="OL28" s="334">
        <v>16.552</v>
      </c>
      <c r="OM28" s="334">
        <v>21</v>
      </c>
      <c r="ON28" s="334">
        <v>0.34</v>
      </c>
      <c r="OO28" s="334">
        <v>16.498999999999999</v>
      </c>
      <c r="OP28" s="334">
        <v>19.5</v>
      </c>
      <c r="OQ28" s="334">
        <v>0.12</v>
      </c>
      <c r="OR28" s="334">
        <v>16.442</v>
      </c>
      <c r="OS28" s="334">
        <v>19.38</v>
      </c>
      <c r="OT28" s="334">
        <v>0.65</v>
      </c>
      <c r="OU28" s="334">
        <v>15.917</v>
      </c>
      <c r="OV28" s="334">
        <v>23.88</v>
      </c>
    </row>
    <row r="29" spans="1:412">
      <c r="A29" s="294" t="s">
        <v>43</v>
      </c>
      <c r="B29" s="335" t="s">
        <v>121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0"/>
      <c r="AH29" s="340"/>
      <c r="AI29" s="340"/>
      <c r="AJ29" s="340"/>
      <c r="AK29" s="340"/>
      <c r="AL29" s="340"/>
      <c r="AM29" s="340"/>
      <c r="AN29" s="340"/>
      <c r="AO29" s="340"/>
      <c r="AP29" s="340"/>
      <c r="AQ29" s="340"/>
      <c r="AR29" s="340"/>
      <c r="AS29" s="340"/>
      <c r="AT29" s="340"/>
      <c r="AU29" s="340"/>
      <c r="AV29" s="340"/>
      <c r="AW29" s="340"/>
      <c r="AX29" s="340"/>
      <c r="AY29" s="504"/>
      <c r="AZ29" s="504"/>
      <c r="BA29" s="504"/>
      <c r="BB29" s="504"/>
      <c r="BC29" s="504"/>
      <c r="BD29" s="504"/>
      <c r="BE29" s="504">
        <v>40.653326</v>
      </c>
      <c r="BF29" s="504">
        <v>67</v>
      </c>
      <c r="BG29" s="518">
        <v>0.41</v>
      </c>
      <c r="BH29" s="504">
        <v>40.605597000000003</v>
      </c>
      <c r="BI29" s="504">
        <v>67.959999999999994</v>
      </c>
      <c r="BJ29" s="504">
        <v>0.38500000000000001</v>
      </c>
      <c r="BK29" s="504">
        <v>40.616531999999999</v>
      </c>
      <c r="BL29" s="504">
        <v>67.89</v>
      </c>
      <c r="BM29" s="504">
        <v>0.38500000000000001</v>
      </c>
      <c r="BN29" s="504">
        <v>40.602342999999998</v>
      </c>
      <c r="BO29" s="504">
        <v>67.08</v>
      </c>
      <c r="BP29" s="504">
        <v>0.38500000000000001</v>
      </c>
      <c r="BQ29" s="504">
        <v>40.582935999999997</v>
      </c>
      <c r="BR29" s="504">
        <v>65.400000000000006</v>
      </c>
      <c r="BS29" s="507">
        <v>0.38500000000000001</v>
      </c>
      <c r="BT29" s="504">
        <v>40.521363999999998</v>
      </c>
      <c r="BU29" s="504">
        <v>58.82</v>
      </c>
      <c r="BV29" s="504">
        <v>0.36</v>
      </c>
      <c r="BW29" s="504">
        <v>40.535488999999998</v>
      </c>
      <c r="BX29" s="504">
        <v>50.13</v>
      </c>
      <c r="BY29" s="504">
        <v>0.36</v>
      </c>
      <c r="BZ29" s="504">
        <v>40.517713000000001</v>
      </c>
      <c r="CA29" s="504">
        <v>57.2</v>
      </c>
      <c r="CB29" s="504">
        <v>0.36</v>
      </c>
      <c r="CC29" s="503">
        <v>40.491194</v>
      </c>
      <c r="CD29" s="503">
        <v>59.1</v>
      </c>
      <c r="CE29" s="508">
        <v>0.36</v>
      </c>
      <c r="CF29" s="503">
        <v>40.433999999999997</v>
      </c>
      <c r="CG29" s="503">
        <v>51</v>
      </c>
      <c r="CH29" s="503">
        <v>0.33500000000000002</v>
      </c>
      <c r="CI29" s="503">
        <v>40.427588999999998</v>
      </c>
      <c r="CJ29" s="503">
        <v>55.35</v>
      </c>
      <c r="CK29" s="503">
        <v>0.33500000000000002</v>
      </c>
      <c r="CL29" s="503">
        <v>40.409030000000001</v>
      </c>
      <c r="CM29" s="503">
        <v>55.25</v>
      </c>
      <c r="CN29" s="503">
        <v>0.33500000000000002</v>
      </c>
      <c r="CO29" s="503">
        <v>40.387234999999997</v>
      </c>
      <c r="CP29" s="503">
        <v>51.7</v>
      </c>
      <c r="CQ29" s="508">
        <v>0.33500000000000002</v>
      </c>
      <c r="CR29" s="504">
        <v>40.350687999999998</v>
      </c>
      <c r="CS29" s="504">
        <v>50.5</v>
      </c>
      <c r="CT29" s="504">
        <v>0.31</v>
      </c>
      <c r="CU29" s="503">
        <v>40.363818999999999</v>
      </c>
      <c r="CV29" s="503">
        <v>46.5</v>
      </c>
      <c r="CW29" s="503">
        <v>0.31</v>
      </c>
      <c r="CX29" s="339">
        <v>40.345149999999997</v>
      </c>
      <c r="CY29" s="339">
        <v>46.77</v>
      </c>
      <c r="CZ29" s="339">
        <v>0.31</v>
      </c>
      <c r="DA29" s="339">
        <v>40.325324000000002</v>
      </c>
      <c r="DB29" s="339">
        <v>47.27</v>
      </c>
      <c r="DC29" s="511">
        <v>0.31</v>
      </c>
      <c r="DD29" s="339">
        <v>40.274985999999998</v>
      </c>
      <c r="DE29" s="339">
        <v>45.88</v>
      </c>
      <c r="DF29" s="339">
        <v>0.29499999999999998</v>
      </c>
      <c r="DG29" s="339">
        <v>40.289009999999998</v>
      </c>
      <c r="DH29" s="339">
        <v>38.5</v>
      </c>
      <c r="DI29" s="339">
        <v>0.29499999999999998</v>
      </c>
      <c r="DJ29" s="339">
        <v>40.269885000000002</v>
      </c>
      <c r="DK29" s="339">
        <v>36.82</v>
      </c>
      <c r="DL29" s="339">
        <v>0.29499999999999998</v>
      </c>
      <c r="DM29" s="339">
        <v>40.243198999999997</v>
      </c>
      <c r="DN29" s="339">
        <v>34.659999999999997</v>
      </c>
      <c r="DO29" s="510">
        <v>0.29499999999999998</v>
      </c>
      <c r="DP29" s="340">
        <v>40.22</v>
      </c>
      <c r="DQ29" s="340">
        <v>38.64</v>
      </c>
      <c r="DR29" s="340">
        <v>0.28000000000000003</v>
      </c>
      <c r="DS29" s="339">
        <v>40.213740999999999</v>
      </c>
      <c r="DT29" s="339">
        <v>40.06</v>
      </c>
      <c r="DU29" s="339">
        <v>0.28000000000000003</v>
      </c>
      <c r="DV29" s="339">
        <v>40.180568999999998</v>
      </c>
      <c r="DW29" s="339">
        <v>36.549999999999997</v>
      </c>
      <c r="DX29" s="339">
        <v>0.28000000000000003</v>
      </c>
      <c r="DY29" s="339">
        <v>40.149082999999997</v>
      </c>
      <c r="DZ29" s="339">
        <v>40.21</v>
      </c>
      <c r="EA29" s="510">
        <v>0.28000000000000003</v>
      </c>
      <c r="EB29" s="340">
        <v>40.114593999999997</v>
      </c>
      <c r="EC29" s="340">
        <v>35.729999999999997</v>
      </c>
      <c r="ED29" s="340">
        <v>0.26500000000000001</v>
      </c>
      <c r="EE29" s="339">
        <v>40.132249999999999</v>
      </c>
      <c r="EF29" s="339">
        <v>35.11</v>
      </c>
      <c r="EG29" s="339">
        <v>0.26500000000000001</v>
      </c>
      <c r="EH29" s="339">
        <v>40.111756999999997</v>
      </c>
      <c r="EI29" s="339">
        <v>33.4</v>
      </c>
      <c r="EJ29" s="339">
        <v>0.26500000000000001</v>
      </c>
      <c r="EK29" s="339">
        <v>40.078060999999998</v>
      </c>
      <c r="EL29" s="339">
        <v>35.31</v>
      </c>
      <c r="EM29" s="339">
        <v>0.26500000000000001</v>
      </c>
      <c r="EN29" s="340">
        <v>39.974021999999998</v>
      </c>
      <c r="EO29" s="340">
        <v>33.65</v>
      </c>
      <c r="EP29" s="340">
        <v>0.25</v>
      </c>
      <c r="EQ29" s="339">
        <v>40.009866000000002</v>
      </c>
      <c r="ER29" s="339">
        <v>31.91</v>
      </c>
      <c r="ES29" s="339">
        <v>0.25</v>
      </c>
      <c r="ET29" s="339">
        <v>39.958148999999999</v>
      </c>
      <c r="EU29" s="339">
        <v>34.25</v>
      </c>
      <c r="EV29" s="339">
        <v>0.25</v>
      </c>
      <c r="EW29" s="339">
        <v>39.911031999999999</v>
      </c>
      <c r="EX29" s="339">
        <v>33.159999999999997</v>
      </c>
      <c r="EY29" s="510">
        <v>0.25</v>
      </c>
      <c r="EZ29" s="340">
        <v>41.349882999999998</v>
      </c>
      <c r="FA29" s="340">
        <v>32.49</v>
      </c>
      <c r="FB29" s="340">
        <v>0.22</v>
      </c>
      <c r="FC29" s="339">
        <v>41.307631999999998</v>
      </c>
      <c r="FD29" s="339">
        <v>34.64</v>
      </c>
      <c r="FE29" s="339">
        <v>0.22</v>
      </c>
      <c r="FF29" s="339">
        <v>41.853552000000001</v>
      </c>
      <c r="FG29" s="339">
        <v>32.090000000000003</v>
      </c>
      <c r="FH29" s="339">
        <v>0.22</v>
      </c>
      <c r="FI29" s="339">
        <v>42.308096999999997</v>
      </c>
      <c r="FJ29" s="339">
        <v>32.299999999999997</v>
      </c>
      <c r="FK29" s="339">
        <v>0.22</v>
      </c>
      <c r="FL29" s="339">
        <v>42.414999999999999</v>
      </c>
      <c r="FM29" s="339">
        <v>30.41</v>
      </c>
      <c r="FN29" s="511">
        <v>0.22</v>
      </c>
      <c r="FO29" s="339">
        <v>42.921044000000002</v>
      </c>
      <c r="FP29" s="339">
        <v>27.53</v>
      </c>
      <c r="FQ29" s="339">
        <v>0</v>
      </c>
      <c r="FR29" s="339">
        <v>43.460458000000003</v>
      </c>
      <c r="FS29" s="339">
        <v>23.78</v>
      </c>
      <c r="FT29" s="339">
        <v>0</v>
      </c>
      <c r="FU29" s="339">
        <v>43.738947000000003</v>
      </c>
      <c r="FV29" s="339">
        <v>19.350000000000001</v>
      </c>
      <c r="FW29" s="339">
        <v>0</v>
      </c>
      <c r="FX29" s="339">
        <v>43.976999999999997</v>
      </c>
      <c r="FY29" s="339">
        <v>20.6</v>
      </c>
      <c r="FZ29" s="339">
        <v>0</v>
      </c>
      <c r="GA29" s="339">
        <v>44.588256999999999</v>
      </c>
      <c r="GB29" s="339">
        <v>20.28</v>
      </c>
      <c r="GC29" s="339">
        <v>0</v>
      </c>
      <c r="GD29" s="339">
        <v>44.782749000000003</v>
      </c>
      <c r="GE29" s="339">
        <v>17.670000000000002</v>
      </c>
      <c r="GF29" s="339">
        <v>0</v>
      </c>
      <c r="GG29" s="339">
        <v>44.904299999999999</v>
      </c>
      <c r="GH29" s="339">
        <v>13.96</v>
      </c>
      <c r="GI29" s="339">
        <v>0</v>
      </c>
      <c r="GJ29" s="339">
        <v>44.74</v>
      </c>
      <c r="GK29" s="339">
        <v>14.09</v>
      </c>
      <c r="GL29" s="339">
        <v>0</v>
      </c>
      <c r="GM29" s="339">
        <v>44.726098999999998</v>
      </c>
      <c r="GN29" s="339">
        <v>18.09</v>
      </c>
      <c r="GO29" s="339">
        <v>0</v>
      </c>
      <c r="GP29" s="339">
        <v>44.686103000000003</v>
      </c>
      <c r="GQ29" s="339">
        <v>21</v>
      </c>
      <c r="GR29" s="339">
        <v>0</v>
      </c>
      <c r="GS29" s="339">
        <v>44.960948999999999</v>
      </c>
      <c r="GT29" s="339">
        <v>19.8</v>
      </c>
      <c r="GU29" s="339">
        <v>0</v>
      </c>
      <c r="GV29" s="339">
        <v>45.563858000000003</v>
      </c>
      <c r="GW29" s="339">
        <v>21.37</v>
      </c>
      <c r="GX29" s="339">
        <v>0</v>
      </c>
      <c r="GY29" s="339">
        <v>45.618130000000001</v>
      </c>
      <c r="GZ29" s="339">
        <v>25.57</v>
      </c>
      <c r="HA29" s="339">
        <v>0</v>
      </c>
      <c r="HB29" s="339">
        <v>45.698</v>
      </c>
      <c r="HC29" s="339">
        <v>23.13</v>
      </c>
      <c r="HD29" s="339">
        <v>0</v>
      </c>
      <c r="HE29" s="339">
        <v>45.936574</v>
      </c>
      <c r="HF29" s="339">
        <v>24.56</v>
      </c>
      <c r="HG29" s="339">
        <v>0</v>
      </c>
      <c r="HH29" s="339">
        <v>47.663890000000002</v>
      </c>
      <c r="HI29" s="505">
        <v>26.35</v>
      </c>
      <c r="HJ29" s="339">
        <v>0</v>
      </c>
      <c r="HK29" s="339">
        <v>47.843730000000001</v>
      </c>
      <c r="HL29" s="339">
        <v>24.37</v>
      </c>
      <c r="HM29" s="339">
        <v>0</v>
      </c>
      <c r="HN29" s="339">
        <v>48.283607000000003</v>
      </c>
      <c r="HO29" s="339">
        <v>22.34</v>
      </c>
      <c r="HP29" s="339">
        <v>0</v>
      </c>
      <c r="HQ29" s="339">
        <v>48.131542000000003</v>
      </c>
      <c r="HR29" s="339">
        <v>20.16</v>
      </c>
      <c r="HS29" s="339">
        <v>0</v>
      </c>
      <c r="HT29" s="339">
        <v>47.905000000000001</v>
      </c>
      <c r="HU29" s="339">
        <v>19.04</v>
      </c>
      <c r="HV29" s="339">
        <v>0</v>
      </c>
      <c r="HW29" s="339">
        <v>47.826500000000003</v>
      </c>
      <c r="HX29" s="506">
        <v>21.04</v>
      </c>
      <c r="HY29" s="513">
        <v>0</v>
      </c>
      <c r="HZ29" s="339">
        <v>47.703969000000001</v>
      </c>
      <c r="IA29" s="339">
        <v>20.85</v>
      </c>
      <c r="IB29" s="339">
        <v>0</v>
      </c>
      <c r="IC29" s="339">
        <v>47.405270000000002</v>
      </c>
      <c r="ID29" s="339">
        <v>20.45</v>
      </c>
      <c r="IE29" s="339">
        <v>0</v>
      </c>
      <c r="IF29" s="339">
        <v>47.456758999999998</v>
      </c>
      <c r="IG29" s="339">
        <v>19</v>
      </c>
      <c r="IH29" s="339">
        <v>0</v>
      </c>
      <c r="II29" s="339">
        <v>47.456758999999998</v>
      </c>
      <c r="IJ29" s="505">
        <v>18.940000000000001</v>
      </c>
      <c r="IK29" s="339">
        <v>0</v>
      </c>
      <c r="IL29" s="339">
        <v>47.500256999999998</v>
      </c>
      <c r="IM29" s="339">
        <v>16.07</v>
      </c>
      <c r="IN29" s="339">
        <v>0</v>
      </c>
      <c r="IO29" s="339">
        <v>47.451300000000003</v>
      </c>
      <c r="IP29" s="339">
        <v>15.44</v>
      </c>
      <c r="IQ29" s="339">
        <v>0</v>
      </c>
      <c r="IR29" s="339">
        <v>48.034945</v>
      </c>
      <c r="IS29" s="339">
        <v>13.84</v>
      </c>
      <c r="IT29" s="339">
        <v>0</v>
      </c>
      <c r="IU29" s="339">
        <v>48.034945</v>
      </c>
      <c r="IV29" s="339">
        <v>13.35</v>
      </c>
      <c r="IW29" s="339">
        <v>0</v>
      </c>
      <c r="IX29" s="339">
        <v>48.659154999999998</v>
      </c>
      <c r="IY29" s="339">
        <v>11.55</v>
      </c>
      <c r="IZ29" s="339">
        <v>0</v>
      </c>
      <c r="JA29" s="339">
        <v>49.620275999999997</v>
      </c>
      <c r="JB29" s="339">
        <v>12.33</v>
      </c>
      <c r="JC29" s="339">
        <v>0</v>
      </c>
      <c r="JD29" s="339">
        <v>49.607796999999998</v>
      </c>
      <c r="JE29" s="339">
        <v>10.8</v>
      </c>
      <c r="JF29" s="339">
        <v>0</v>
      </c>
      <c r="JG29" s="339">
        <v>49.758859000000001</v>
      </c>
      <c r="JH29" s="339">
        <v>11</v>
      </c>
      <c r="JI29" s="339">
        <v>0</v>
      </c>
      <c r="JJ29" s="339">
        <v>50.092213000000001</v>
      </c>
      <c r="JK29" s="339">
        <v>11.88</v>
      </c>
      <c r="JL29" s="339">
        <v>0</v>
      </c>
      <c r="JM29" s="339">
        <v>49.996059000000002</v>
      </c>
      <c r="JN29" s="339">
        <v>13.85</v>
      </c>
      <c r="JO29" s="339">
        <v>0</v>
      </c>
      <c r="JP29" s="339">
        <v>50.004241</v>
      </c>
      <c r="JQ29" s="339">
        <v>15.65</v>
      </c>
      <c r="JR29" s="339">
        <v>0</v>
      </c>
      <c r="JS29" s="339">
        <v>50.94</v>
      </c>
      <c r="JT29" s="339">
        <v>14.5</v>
      </c>
      <c r="JU29" s="339">
        <v>0</v>
      </c>
      <c r="JV29" s="339">
        <v>51.334000000000003</v>
      </c>
      <c r="JW29" s="339">
        <v>13.15</v>
      </c>
      <c r="JX29" s="339">
        <v>0</v>
      </c>
      <c r="JY29" s="339">
        <v>51.015982000000001</v>
      </c>
      <c r="JZ29" s="339">
        <v>15.99</v>
      </c>
      <c r="KA29" s="339">
        <v>0</v>
      </c>
      <c r="KB29" s="339">
        <v>52.673672000000003</v>
      </c>
      <c r="KC29" s="339">
        <v>14.6</v>
      </c>
      <c r="KD29" s="339">
        <v>0</v>
      </c>
      <c r="KE29" s="339">
        <v>55.345543999999997</v>
      </c>
      <c r="KF29" s="339">
        <v>13.2</v>
      </c>
      <c r="KG29" s="339">
        <v>0</v>
      </c>
      <c r="KH29" s="339">
        <v>55.172803999999999</v>
      </c>
      <c r="KI29" s="339">
        <v>13.77</v>
      </c>
      <c r="KJ29" s="339">
        <v>0</v>
      </c>
      <c r="KK29" s="339">
        <v>55.812309999999997</v>
      </c>
      <c r="KL29" s="339">
        <v>11.1875</v>
      </c>
      <c r="KM29" s="339">
        <v>0</v>
      </c>
      <c r="KN29" s="339">
        <v>59.349468000000002</v>
      </c>
      <c r="KO29" s="339">
        <v>10.375</v>
      </c>
      <c r="KP29" s="339">
        <v>0</v>
      </c>
      <c r="KQ29" s="339">
        <v>59.232142000000003</v>
      </c>
      <c r="KR29" s="339">
        <v>9.8125</v>
      </c>
      <c r="KS29" s="339">
        <v>0</v>
      </c>
      <c r="KT29" s="339">
        <v>60.206105000000001</v>
      </c>
      <c r="KU29" s="339">
        <v>9</v>
      </c>
      <c r="KV29" s="339">
        <v>0</v>
      </c>
      <c r="KW29" s="334">
        <v>60.17</v>
      </c>
      <c r="KX29" s="334">
        <v>8.9375</v>
      </c>
      <c r="KY29" s="334">
        <v>0</v>
      </c>
      <c r="KZ29" s="334">
        <v>60.65</v>
      </c>
      <c r="LA29" s="334">
        <v>7.625</v>
      </c>
      <c r="LB29" s="334">
        <v>0</v>
      </c>
      <c r="LC29" s="334">
        <v>60.65</v>
      </c>
      <c r="LD29" s="334">
        <v>8.75</v>
      </c>
      <c r="LE29" s="334">
        <v>0</v>
      </c>
      <c r="LF29" s="334">
        <v>60.44</v>
      </c>
      <c r="LG29" s="334">
        <v>9.6880000000000006</v>
      </c>
      <c r="LH29" s="334">
        <v>0</v>
      </c>
      <c r="LI29" s="334">
        <v>60.44</v>
      </c>
      <c r="LJ29" s="334">
        <v>9.1880000000000006</v>
      </c>
      <c r="LK29" s="334">
        <v>0</v>
      </c>
      <c r="LL29" s="334">
        <v>60.46</v>
      </c>
      <c r="LM29" s="334">
        <v>8.5625</v>
      </c>
      <c r="LN29" s="334">
        <v>0</v>
      </c>
      <c r="LO29" s="334">
        <v>60.459000000000003</v>
      </c>
      <c r="LP29" s="334">
        <v>7.3125</v>
      </c>
      <c r="LQ29" s="334">
        <v>0</v>
      </c>
      <c r="LR29" s="334">
        <v>60.561</v>
      </c>
      <c r="LS29" s="334">
        <v>6</v>
      </c>
      <c r="LT29" s="334">
        <v>0</v>
      </c>
      <c r="LU29" s="334">
        <v>60.561</v>
      </c>
      <c r="LV29" s="334">
        <v>7.0629999999999997</v>
      </c>
      <c r="LW29" s="334">
        <v>0</v>
      </c>
      <c r="LX29" s="334">
        <v>60</v>
      </c>
      <c r="LY29" s="334">
        <v>6</v>
      </c>
      <c r="LZ29" s="334">
        <v>0</v>
      </c>
      <c r="MA29" s="334">
        <v>60</v>
      </c>
      <c r="MB29" s="334">
        <v>6.5</v>
      </c>
      <c r="MC29" s="334">
        <v>0</v>
      </c>
      <c r="MD29" s="334">
        <v>60</v>
      </c>
      <c r="ME29" s="334">
        <v>5.4249999999999998</v>
      </c>
      <c r="MF29" s="334">
        <v>0</v>
      </c>
      <c r="MG29" s="334">
        <v>60</v>
      </c>
      <c r="MH29" s="334">
        <v>6</v>
      </c>
      <c r="MI29" s="334">
        <v>0</v>
      </c>
      <c r="MJ29" s="334">
        <v>60</v>
      </c>
      <c r="MK29" s="334">
        <v>5.625</v>
      </c>
      <c r="ML29" s="334">
        <v>0</v>
      </c>
      <c r="MM29" s="334">
        <v>1.7771999999999999</v>
      </c>
      <c r="MN29" s="334">
        <v>10</v>
      </c>
      <c r="MO29" s="334">
        <v>0</v>
      </c>
      <c r="MP29" s="334">
        <v>1.7771999999999999</v>
      </c>
      <c r="MQ29" s="334">
        <v>20</v>
      </c>
      <c r="MR29" s="334">
        <v>0</v>
      </c>
      <c r="MS29" s="334">
        <v>1.7771999999999999</v>
      </c>
      <c r="MT29" s="334">
        <v>20</v>
      </c>
      <c r="MU29" s="334">
        <v>0</v>
      </c>
      <c r="MV29" s="334">
        <v>1.7771999999999999</v>
      </c>
      <c r="MW29" s="334">
        <v>20</v>
      </c>
      <c r="MX29" s="334">
        <v>0</v>
      </c>
      <c r="MY29" s="334">
        <v>1.7771999999999999</v>
      </c>
      <c r="MZ29" s="334">
        <v>16.25</v>
      </c>
      <c r="NA29" s="334">
        <v>0</v>
      </c>
      <c r="NB29" s="334">
        <v>1.7771999999999999</v>
      </c>
      <c r="NC29" s="334">
        <v>24.25</v>
      </c>
      <c r="ND29" s="334">
        <v>0</v>
      </c>
      <c r="NE29" s="334">
        <v>1.7771999999999999</v>
      </c>
      <c r="NF29" s="334">
        <v>40</v>
      </c>
      <c r="NG29" s="334">
        <v>0</v>
      </c>
      <c r="NH29" s="334">
        <v>1.7771999999999999</v>
      </c>
      <c r="NI29" s="334">
        <v>52.5</v>
      </c>
      <c r="NJ29" s="334">
        <v>0</v>
      </c>
      <c r="NK29" s="334">
        <v>1.7771999999999999</v>
      </c>
      <c r="NL29" s="334">
        <v>52.5</v>
      </c>
      <c r="NM29" s="334">
        <v>0</v>
      </c>
      <c r="NN29" s="334">
        <v>1.7771999999999999</v>
      </c>
      <c r="NO29" s="334">
        <v>53.74</v>
      </c>
      <c r="NP29" s="334">
        <v>0</v>
      </c>
      <c r="NQ29" s="334">
        <v>1.7767500000000001</v>
      </c>
      <c r="NR29" s="334">
        <v>62.5</v>
      </c>
      <c r="NS29" s="334">
        <v>0</v>
      </c>
      <c r="NT29" s="334">
        <v>1.7767500000000001</v>
      </c>
      <c r="NU29" s="334">
        <v>48.74</v>
      </c>
      <c r="NV29" s="334">
        <v>0</v>
      </c>
      <c r="NW29" s="334">
        <v>1.776</v>
      </c>
      <c r="NX29" s="334">
        <v>47.5</v>
      </c>
      <c r="NY29" s="334">
        <v>0</v>
      </c>
      <c r="NZ29" s="334">
        <v>1.776</v>
      </c>
      <c r="OA29" s="334">
        <v>60</v>
      </c>
      <c r="OB29" s="334">
        <v>0</v>
      </c>
      <c r="OC29" s="334">
        <v>1.776</v>
      </c>
      <c r="OD29" s="334">
        <v>67.5</v>
      </c>
      <c r="OE29" s="334">
        <v>0</v>
      </c>
      <c r="OF29" s="334">
        <v>1.776</v>
      </c>
      <c r="OG29" s="334">
        <v>77.5</v>
      </c>
      <c r="OH29" s="334">
        <v>0</v>
      </c>
      <c r="OI29" s="334">
        <v>1.776</v>
      </c>
      <c r="OJ29" s="334">
        <v>70</v>
      </c>
      <c r="OK29" s="334">
        <v>0</v>
      </c>
      <c r="OL29" s="334">
        <v>1.776</v>
      </c>
      <c r="OM29" s="334">
        <v>100</v>
      </c>
      <c r="ON29" s="334">
        <v>0</v>
      </c>
      <c r="OO29" s="334">
        <v>1.7749999999999999</v>
      </c>
      <c r="OP29" s="334">
        <v>122.5</v>
      </c>
      <c r="OQ29" s="334">
        <v>0</v>
      </c>
      <c r="OR29" s="334">
        <v>1.7749999999999999</v>
      </c>
      <c r="OS29" s="334">
        <v>157.5</v>
      </c>
      <c r="OT29" s="334">
        <v>0</v>
      </c>
      <c r="OU29" s="334">
        <v>1.766</v>
      </c>
      <c r="OV29" s="334">
        <v>77.5</v>
      </c>
    </row>
    <row r="30" spans="1:412">
      <c r="A30" s="294" t="s">
        <v>48</v>
      </c>
      <c r="B30" s="335" t="s">
        <v>122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503"/>
      <c r="AZ30" s="503"/>
      <c r="BA30" s="503"/>
      <c r="BB30" s="503"/>
      <c r="BC30" s="503"/>
      <c r="BD30" s="503"/>
      <c r="BE30" s="503"/>
      <c r="BF30" s="503"/>
      <c r="BG30" s="503"/>
      <c r="BH30" s="503"/>
      <c r="BI30" s="503"/>
      <c r="BJ30" s="503"/>
      <c r="BK30" s="503"/>
      <c r="BL30" s="503"/>
      <c r="BM30" s="503"/>
      <c r="BN30" s="503"/>
      <c r="BO30" s="503"/>
      <c r="BP30" s="503"/>
      <c r="BQ30" s="504"/>
      <c r="BR30" s="504"/>
      <c r="BS30" s="504"/>
      <c r="BT30" s="504"/>
      <c r="BU30" s="504"/>
      <c r="BV30" s="504"/>
      <c r="BW30" s="504"/>
      <c r="BX30" s="504"/>
      <c r="BY30" s="504"/>
      <c r="BZ30" s="503"/>
      <c r="CA30" s="503"/>
      <c r="CB30" s="503"/>
      <c r="CC30" s="503"/>
      <c r="CD30" s="503"/>
      <c r="CE30" s="503"/>
      <c r="CF30" s="503"/>
      <c r="CG30" s="503"/>
      <c r="CH30" s="503"/>
      <c r="CI30" s="503"/>
      <c r="CJ30" s="503"/>
      <c r="CK30" s="503"/>
      <c r="CL30" s="503"/>
      <c r="CM30" s="503"/>
      <c r="CN30" s="503"/>
      <c r="CO30" s="503"/>
      <c r="CP30" s="503"/>
      <c r="CQ30" s="503"/>
      <c r="CR30" s="504"/>
      <c r="CS30" s="504"/>
      <c r="CT30" s="504"/>
      <c r="CU30" s="503">
        <v>44.048999999999999</v>
      </c>
      <c r="CV30" s="520">
        <v>34.090000000000003</v>
      </c>
      <c r="CW30" s="520">
        <v>0.26</v>
      </c>
      <c r="CX30" s="339">
        <v>43.953000000000003</v>
      </c>
      <c r="CY30" s="339">
        <v>34.14</v>
      </c>
      <c r="CZ30" s="339">
        <v>0.26</v>
      </c>
      <c r="DA30" s="339">
        <v>43.881999999999998</v>
      </c>
      <c r="DB30" s="339">
        <v>33.97</v>
      </c>
      <c r="DC30" s="339">
        <v>0.26</v>
      </c>
      <c r="DD30" s="339">
        <v>43.670907999999997</v>
      </c>
      <c r="DE30" s="339">
        <v>33.049999999999997</v>
      </c>
      <c r="DF30" s="339">
        <v>0.26</v>
      </c>
      <c r="DG30" s="339">
        <v>43.728000000000002</v>
      </c>
      <c r="DH30" s="339">
        <v>28.07</v>
      </c>
      <c r="DI30" s="339">
        <v>0.26</v>
      </c>
      <c r="DJ30" s="339">
        <v>43.627000000000002</v>
      </c>
      <c r="DK30" s="339">
        <v>22.03</v>
      </c>
      <c r="DL30" s="339">
        <v>0.26</v>
      </c>
      <c r="DM30" s="339">
        <v>43.530999999999999</v>
      </c>
      <c r="DN30" s="339">
        <v>21.8</v>
      </c>
      <c r="DO30" s="339">
        <v>0.26</v>
      </c>
      <c r="DP30" s="340">
        <v>43.447124000000002</v>
      </c>
      <c r="DQ30" s="340">
        <v>24.82</v>
      </c>
      <c r="DR30" s="340">
        <v>0.26</v>
      </c>
      <c r="DS30" s="339">
        <v>43.366999999999997</v>
      </c>
      <c r="DT30" s="339">
        <v>29.74</v>
      </c>
      <c r="DU30" s="510">
        <v>0.26</v>
      </c>
      <c r="DV30" s="339">
        <v>43.235999999999997</v>
      </c>
      <c r="DW30" s="339">
        <v>24.15</v>
      </c>
      <c r="DX30" s="339">
        <v>0.255</v>
      </c>
      <c r="DY30" s="339">
        <v>43.110999999999997</v>
      </c>
      <c r="DZ30" s="339">
        <v>25.68</v>
      </c>
      <c r="EA30" s="339">
        <v>0.255</v>
      </c>
      <c r="EB30" s="340">
        <v>42.781382000000001</v>
      </c>
      <c r="EC30" s="340">
        <v>24.32</v>
      </c>
      <c r="ED30" s="340">
        <v>0.255</v>
      </c>
      <c r="EE30" s="339">
        <v>42.869</v>
      </c>
      <c r="EF30" s="339">
        <v>22.69</v>
      </c>
      <c r="EG30" s="510">
        <v>0.255</v>
      </c>
      <c r="EH30" s="339">
        <v>42.707000000000001</v>
      </c>
      <c r="EI30" s="339">
        <v>21.66</v>
      </c>
      <c r="EJ30" s="339">
        <v>0.25</v>
      </c>
      <c r="EK30" s="339">
        <v>42.564</v>
      </c>
      <c r="EL30" s="339">
        <v>22.31</v>
      </c>
      <c r="EM30" s="339">
        <v>0.25</v>
      </c>
      <c r="EN30" s="340">
        <v>42.256641000000002</v>
      </c>
      <c r="EO30" s="340">
        <v>22.4</v>
      </c>
      <c r="EP30" s="340">
        <v>0.25</v>
      </c>
      <c r="EQ30" s="339">
        <v>42.344999999999999</v>
      </c>
      <c r="ER30" s="339">
        <v>20.38</v>
      </c>
      <c r="ES30" s="339">
        <v>0.25</v>
      </c>
      <c r="ET30" s="339">
        <v>42.197000000000003</v>
      </c>
      <c r="EU30" s="339">
        <v>21.55</v>
      </c>
      <c r="EV30" s="339">
        <v>0.25</v>
      </c>
      <c r="EW30" s="339">
        <v>42.046999999999997</v>
      </c>
      <c r="EX30" s="339">
        <v>21.1</v>
      </c>
      <c r="EY30" s="339">
        <v>0.25</v>
      </c>
      <c r="EZ30" s="340">
        <v>41.851759000000001</v>
      </c>
      <c r="FA30" s="340">
        <v>20.350000000000001</v>
      </c>
      <c r="FB30" s="521">
        <v>0.25</v>
      </c>
      <c r="FC30" s="339">
        <v>41.951000000000001</v>
      </c>
      <c r="FD30" s="339">
        <v>21.1</v>
      </c>
      <c r="FE30" s="339">
        <v>0</v>
      </c>
      <c r="FF30" s="339">
        <v>41.811</v>
      </c>
      <c r="FG30" s="339">
        <v>19.38</v>
      </c>
      <c r="FH30" s="339">
        <v>0</v>
      </c>
      <c r="FI30" s="339">
        <v>41.664999999999999</v>
      </c>
      <c r="FJ30" s="339">
        <v>19.260000000000002</v>
      </c>
      <c r="FK30" s="339">
        <v>0</v>
      </c>
      <c r="FL30" s="339">
        <v>41.519207999999999</v>
      </c>
      <c r="FM30" s="339">
        <v>21.79</v>
      </c>
      <c r="FN30" s="339">
        <v>0.32</v>
      </c>
      <c r="FO30" s="339">
        <v>41.404000000000003</v>
      </c>
      <c r="FP30" s="339">
        <v>22.2</v>
      </c>
      <c r="FQ30" s="339">
        <v>0.32</v>
      </c>
      <c r="FR30" s="339">
        <v>40.622999999999998</v>
      </c>
      <c r="FS30" s="339">
        <v>20.149999999999999</v>
      </c>
      <c r="FT30" s="339">
        <v>0.32</v>
      </c>
      <c r="FU30" s="339">
        <v>38.601391</v>
      </c>
      <c r="FV30" s="339">
        <v>18.77</v>
      </c>
      <c r="FW30" s="339">
        <v>0.32</v>
      </c>
      <c r="FX30" s="339">
        <v>36.569330999999998</v>
      </c>
      <c r="FY30" s="339">
        <v>18.02</v>
      </c>
      <c r="FZ30" s="339">
        <v>0.32</v>
      </c>
      <c r="GA30" s="339">
        <v>34.840000000000003</v>
      </c>
      <c r="GB30" s="339">
        <v>18.73</v>
      </c>
      <c r="GC30" s="339">
        <v>0.32</v>
      </c>
      <c r="GD30" s="339">
        <v>34.194000000000003</v>
      </c>
      <c r="GE30" s="339">
        <v>18.09</v>
      </c>
      <c r="GF30" s="339">
        <v>0.32</v>
      </c>
      <c r="GG30" s="339">
        <v>34.064</v>
      </c>
      <c r="GH30" s="339">
        <v>16.52</v>
      </c>
      <c r="GI30" s="339">
        <v>0.32</v>
      </c>
      <c r="GJ30" s="339">
        <v>33.950000000000003</v>
      </c>
      <c r="GK30" s="339">
        <v>14.44</v>
      </c>
      <c r="GL30" s="339">
        <v>0.32</v>
      </c>
      <c r="GM30" s="339">
        <v>33.895000000000003</v>
      </c>
      <c r="GN30" s="339">
        <v>17.600000000000001</v>
      </c>
      <c r="GO30" s="339">
        <v>0.32</v>
      </c>
      <c r="GP30" s="339">
        <v>33.774999999999999</v>
      </c>
      <c r="GQ30" s="339">
        <v>21.35</v>
      </c>
      <c r="GR30" s="339">
        <v>0.32</v>
      </c>
      <c r="GS30" s="339">
        <v>33.658999999999999</v>
      </c>
      <c r="GT30" s="339">
        <v>18.54</v>
      </c>
      <c r="GU30" s="339">
        <v>0.32</v>
      </c>
      <c r="GV30" s="339">
        <v>30.586780000000001</v>
      </c>
      <c r="GW30" s="339">
        <v>20.25</v>
      </c>
      <c r="GX30" s="339">
        <v>0.32</v>
      </c>
      <c r="GY30" s="339">
        <v>30.481000000000002</v>
      </c>
      <c r="GZ30" s="339">
        <v>22.78</v>
      </c>
      <c r="HA30" s="339">
        <v>0.32</v>
      </c>
      <c r="HB30" s="339">
        <v>30.384</v>
      </c>
      <c r="HC30" s="339">
        <v>22.59</v>
      </c>
      <c r="HD30" s="339">
        <v>0.32</v>
      </c>
      <c r="HE30" s="339">
        <v>30.928000000000001</v>
      </c>
      <c r="HF30" s="339">
        <v>22.37</v>
      </c>
      <c r="HG30" s="339">
        <v>0.32</v>
      </c>
      <c r="HH30" s="339">
        <v>28.277000000000001</v>
      </c>
      <c r="HI30" s="505">
        <v>24.8</v>
      </c>
      <c r="HJ30" s="339">
        <v>0.32</v>
      </c>
      <c r="HK30" s="339">
        <v>30.12</v>
      </c>
      <c r="HL30" s="339">
        <v>24.69</v>
      </c>
      <c r="HM30" s="339">
        <v>0.32</v>
      </c>
      <c r="HN30" s="339">
        <v>26.587</v>
      </c>
      <c r="HO30" s="339">
        <v>22.38</v>
      </c>
      <c r="HP30" s="339">
        <v>0.32</v>
      </c>
      <c r="HQ30" s="339">
        <v>26.132999999999999</v>
      </c>
      <c r="HR30" s="339">
        <v>20.55</v>
      </c>
      <c r="HS30" s="339">
        <v>0.32</v>
      </c>
      <c r="HT30" s="339">
        <v>26.04</v>
      </c>
      <c r="HU30" s="339">
        <v>22.22</v>
      </c>
      <c r="HV30" s="339">
        <v>0.32</v>
      </c>
      <c r="HW30" s="339">
        <v>25.962147999999999</v>
      </c>
      <c r="HX30" s="506">
        <v>20.329999999999998</v>
      </c>
      <c r="HY30" s="513">
        <f>1.28/4</f>
        <v>0.32</v>
      </c>
      <c r="HZ30" s="339">
        <v>25.845970000000001</v>
      </c>
      <c r="IA30" s="339">
        <v>22.87</v>
      </c>
      <c r="IB30" s="339">
        <v>0.32</v>
      </c>
      <c r="IC30" s="339">
        <v>25.741886999999998</v>
      </c>
      <c r="ID30" s="339">
        <v>23.96</v>
      </c>
      <c r="IE30" s="339">
        <v>0.32</v>
      </c>
      <c r="IF30" s="339">
        <v>25.539225999999999</v>
      </c>
      <c r="IG30" s="339">
        <v>23.26</v>
      </c>
      <c r="IH30" s="339">
        <v>0.32</v>
      </c>
      <c r="II30" s="339">
        <v>25.539225999999999</v>
      </c>
      <c r="IJ30" s="505">
        <v>22.68</v>
      </c>
      <c r="IK30" s="339">
        <v>0.32</v>
      </c>
      <c r="IL30" s="339">
        <v>25.408591999999999</v>
      </c>
      <c r="IM30" s="339">
        <v>20.55</v>
      </c>
      <c r="IN30" s="339">
        <v>0.32</v>
      </c>
      <c r="IO30" s="339">
        <v>25.283414</v>
      </c>
      <c r="IP30" s="339">
        <v>20.11</v>
      </c>
      <c r="IQ30" s="339">
        <v>0.32</v>
      </c>
      <c r="IR30" s="339">
        <v>22.826643000000001</v>
      </c>
      <c r="IS30" s="339">
        <v>22.65</v>
      </c>
      <c r="IT30" s="339">
        <v>0.32</v>
      </c>
      <c r="IU30" s="339">
        <v>22.826643000000001</v>
      </c>
      <c r="IV30" s="339">
        <v>21.93</v>
      </c>
      <c r="IW30" s="339">
        <v>0.32</v>
      </c>
      <c r="IX30" s="339">
        <v>22.728088</v>
      </c>
      <c r="IY30" s="339">
        <v>22</v>
      </c>
      <c r="IZ30" s="339">
        <v>0.32</v>
      </c>
      <c r="JA30" s="339">
        <v>22.607642999999999</v>
      </c>
      <c r="JB30" s="339">
        <v>21.75</v>
      </c>
      <c r="JC30" s="339">
        <v>0.32</v>
      </c>
      <c r="JD30" s="339">
        <v>22.534690000000001</v>
      </c>
      <c r="JE30" s="339">
        <v>17.600000000000001</v>
      </c>
      <c r="JF30" s="339">
        <v>0.32</v>
      </c>
      <c r="JG30" s="339">
        <v>22.455446999999999</v>
      </c>
      <c r="JH30" s="339">
        <v>18.2</v>
      </c>
      <c r="JI30" s="339">
        <v>0.32</v>
      </c>
      <c r="JJ30" s="339">
        <v>20.919087000000001</v>
      </c>
      <c r="JK30" s="339">
        <v>16.899999999999999</v>
      </c>
      <c r="JL30" s="339">
        <v>0.32</v>
      </c>
      <c r="JM30" s="339">
        <v>19.784887000000001</v>
      </c>
      <c r="JN30" s="339">
        <v>20.5</v>
      </c>
      <c r="JO30" s="339">
        <v>0.32</v>
      </c>
      <c r="JP30" s="339">
        <v>18.181536999999999</v>
      </c>
      <c r="JQ30" s="339">
        <v>21.39</v>
      </c>
      <c r="JR30" s="339">
        <v>0.32</v>
      </c>
      <c r="JS30" s="339">
        <v>17.681000000000001</v>
      </c>
      <c r="JT30" s="339">
        <v>21</v>
      </c>
      <c r="JU30" s="339">
        <v>0.32</v>
      </c>
      <c r="JV30" s="339">
        <v>17.635000000000002</v>
      </c>
      <c r="JW30" s="339">
        <v>20.55</v>
      </c>
      <c r="JX30" s="339">
        <v>0.32</v>
      </c>
      <c r="JY30" s="339">
        <v>17.607704999999999</v>
      </c>
      <c r="JZ30" s="339">
        <v>20.69</v>
      </c>
      <c r="KA30" s="339">
        <v>0.32</v>
      </c>
      <c r="KB30" s="339">
        <v>17.595915999999999</v>
      </c>
      <c r="KC30" s="339">
        <v>18.690000000000001</v>
      </c>
      <c r="KD30" s="339">
        <v>0.32</v>
      </c>
      <c r="KE30" s="339">
        <v>17.555022999999998</v>
      </c>
      <c r="KF30" s="339">
        <v>26.3125</v>
      </c>
      <c r="KG30" s="339">
        <v>0.32</v>
      </c>
      <c r="KH30" s="339">
        <v>17.470289999999999</v>
      </c>
      <c r="KI30" s="339">
        <v>26.25</v>
      </c>
      <c r="KJ30" s="339">
        <v>0.32</v>
      </c>
      <c r="KK30" s="339">
        <v>17.237805000000002</v>
      </c>
      <c r="KL30" s="339">
        <v>22.0625</v>
      </c>
      <c r="KM30" s="339">
        <v>0.32</v>
      </c>
      <c r="KN30" s="339">
        <v>17.332906999999999</v>
      </c>
      <c r="KO30" s="339">
        <v>19.625</v>
      </c>
      <c r="KP30" s="339">
        <v>0.32</v>
      </c>
      <c r="KQ30" s="339">
        <v>17.282935999999999</v>
      </c>
      <c r="KR30" s="339">
        <v>22.625</v>
      </c>
      <c r="KS30" s="339">
        <v>0.32</v>
      </c>
      <c r="KT30" s="339">
        <v>17.203177</v>
      </c>
      <c r="KU30" s="339">
        <v>25.5625</v>
      </c>
      <c r="KV30" s="339">
        <v>0.32</v>
      </c>
      <c r="KW30" s="334">
        <v>16.93</v>
      </c>
      <c r="KX30" s="334">
        <v>26.0625</v>
      </c>
      <c r="KY30" s="334">
        <v>0.32</v>
      </c>
      <c r="KZ30" s="334">
        <v>16.97</v>
      </c>
      <c r="LA30" s="334">
        <v>22.8125</v>
      </c>
      <c r="LB30" s="334">
        <v>0.32</v>
      </c>
      <c r="LC30" s="334">
        <v>16.97</v>
      </c>
      <c r="LD30" s="334">
        <v>24.75</v>
      </c>
      <c r="LE30" s="334">
        <v>0.32</v>
      </c>
      <c r="LF30" s="334">
        <v>16.79</v>
      </c>
      <c r="LG30" s="334">
        <v>22.75</v>
      </c>
      <c r="LH30" s="334">
        <v>0.32</v>
      </c>
      <c r="LI30" s="334">
        <v>16.79</v>
      </c>
      <c r="LJ30" s="334">
        <v>20.875</v>
      </c>
      <c r="LK30" s="334">
        <v>0.32</v>
      </c>
      <c r="LL30" s="334">
        <v>16.66</v>
      </c>
      <c r="LM30" s="334">
        <v>21.625</v>
      </c>
      <c r="LN30" s="334">
        <v>0.32</v>
      </c>
      <c r="LO30" s="334">
        <v>16.658999999999999</v>
      </c>
      <c r="LP30" s="334">
        <v>19.625</v>
      </c>
      <c r="LQ30" s="334">
        <v>0.32</v>
      </c>
      <c r="LR30" s="334">
        <v>16.457000000000001</v>
      </c>
      <c r="LS30" s="334">
        <v>17.625</v>
      </c>
      <c r="LT30" s="334">
        <v>0.32</v>
      </c>
      <c r="LU30" s="334">
        <v>16.457000000000001</v>
      </c>
      <c r="LV30" s="334">
        <v>17.312999999999999</v>
      </c>
      <c r="LW30" s="334">
        <v>0.32</v>
      </c>
      <c r="LX30" s="334">
        <v>16.312999999999999</v>
      </c>
      <c r="LY30" s="334">
        <v>17.75</v>
      </c>
      <c r="LZ30" s="334">
        <v>0.32</v>
      </c>
      <c r="MA30" s="334">
        <v>16.312999999999999</v>
      </c>
      <c r="MB30" s="334">
        <v>18.75</v>
      </c>
      <c r="MC30" s="334">
        <v>0.32</v>
      </c>
      <c r="MD30" s="334">
        <v>15.082000000000001</v>
      </c>
      <c r="ME30" s="334">
        <v>18.75</v>
      </c>
      <c r="MF30" s="334">
        <v>0.32</v>
      </c>
      <c r="MG30" s="334">
        <v>15.082000000000001</v>
      </c>
      <c r="MH30" s="334">
        <v>17.25</v>
      </c>
      <c r="MI30" s="334">
        <v>0.32</v>
      </c>
      <c r="MJ30" s="334">
        <v>15.082000000000001</v>
      </c>
      <c r="MK30" s="334">
        <v>18.25</v>
      </c>
      <c r="ML30" s="334">
        <v>0.32</v>
      </c>
      <c r="MM30" s="334">
        <v>15.082000000000001</v>
      </c>
      <c r="MN30" s="334">
        <v>17.875</v>
      </c>
      <c r="MO30" s="334">
        <v>0.32</v>
      </c>
      <c r="MP30" s="334">
        <v>13.646000000000001</v>
      </c>
      <c r="MQ30" s="334">
        <v>18.375</v>
      </c>
      <c r="MR30" s="334">
        <v>0.32</v>
      </c>
      <c r="MS30" s="334">
        <v>13.646000000000001</v>
      </c>
      <c r="MT30" s="334">
        <v>17.375</v>
      </c>
      <c r="MU30" s="334">
        <v>0.32</v>
      </c>
      <c r="MV30" s="334">
        <v>13.646000000000001</v>
      </c>
      <c r="MW30" s="334">
        <v>17.375</v>
      </c>
      <c r="MX30" s="334">
        <v>0.32</v>
      </c>
      <c r="MY30" s="334">
        <v>13.646000000000001</v>
      </c>
      <c r="MZ30" s="334">
        <v>16</v>
      </c>
      <c r="NA30" s="334">
        <v>0.32</v>
      </c>
      <c r="NB30" s="334">
        <v>13.646000000000001</v>
      </c>
      <c r="NC30" s="334">
        <v>16.75</v>
      </c>
      <c r="ND30" s="334">
        <v>0.32</v>
      </c>
      <c r="NE30" s="334">
        <v>13.563000000000001</v>
      </c>
      <c r="NF30" s="334">
        <v>16.375</v>
      </c>
      <c r="NG30" s="334">
        <v>0.32</v>
      </c>
      <c r="NH30" s="334">
        <v>13.461</v>
      </c>
      <c r="NI30" s="334">
        <v>19.5</v>
      </c>
      <c r="NJ30" s="334">
        <v>0.32</v>
      </c>
      <c r="NK30" s="334">
        <v>13.461</v>
      </c>
      <c r="NL30" s="334">
        <v>20.75</v>
      </c>
      <c r="NM30" s="334">
        <v>0.32</v>
      </c>
      <c r="NN30" s="334">
        <v>13.461</v>
      </c>
      <c r="NO30" s="334">
        <v>24</v>
      </c>
      <c r="NP30" s="334">
        <v>0.32</v>
      </c>
      <c r="NQ30" s="334">
        <v>13.374000000000001</v>
      </c>
      <c r="NR30" s="334">
        <v>22.875</v>
      </c>
      <c r="NS30" s="334">
        <v>0.32</v>
      </c>
      <c r="NT30" s="334">
        <v>13.302</v>
      </c>
      <c r="NU30" s="334">
        <v>23</v>
      </c>
      <c r="NV30" s="334">
        <v>0.32</v>
      </c>
      <c r="NW30" s="334">
        <v>13.081</v>
      </c>
      <c r="NX30" s="334">
        <v>21.25</v>
      </c>
      <c r="NY30" s="334">
        <v>0.34</v>
      </c>
      <c r="NZ30" s="334">
        <v>13.081</v>
      </c>
      <c r="OA30" s="334">
        <v>23.13</v>
      </c>
      <c r="OB30" s="334">
        <v>0.31</v>
      </c>
      <c r="OC30" s="334">
        <v>13.039</v>
      </c>
      <c r="OD30" s="334">
        <v>23</v>
      </c>
      <c r="OE30" s="334">
        <v>0.31</v>
      </c>
      <c r="OF30" s="334">
        <v>13.002000000000001</v>
      </c>
      <c r="OG30" s="334">
        <v>20.88</v>
      </c>
      <c r="OH30" s="334">
        <v>0.31</v>
      </c>
      <c r="OI30" s="334">
        <v>12.811999999999999</v>
      </c>
      <c r="OJ30" s="334">
        <v>23.88</v>
      </c>
      <c r="OK30" s="334">
        <v>0.31</v>
      </c>
      <c r="OL30" s="334">
        <v>12.772</v>
      </c>
      <c r="OM30" s="334">
        <v>19.059999999999999</v>
      </c>
      <c r="ON30" s="334">
        <v>0.3</v>
      </c>
      <c r="OO30" s="334">
        <v>12.728</v>
      </c>
      <c r="OP30" s="334">
        <v>17.440000000000001</v>
      </c>
      <c r="OQ30" s="334">
        <v>0.3</v>
      </c>
      <c r="OR30" s="334">
        <v>12.688000000000001</v>
      </c>
      <c r="OS30" s="334">
        <v>16.75</v>
      </c>
      <c r="OT30" s="334">
        <v>0.3</v>
      </c>
      <c r="OU30" s="334">
        <v>11.74</v>
      </c>
      <c r="OV30" s="334">
        <v>15.75</v>
      </c>
    </row>
    <row r="31" spans="1:412">
      <c r="A31" s="294" t="s">
        <v>14</v>
      </c>
      <c r="B31" s="335" t="s">
        <v>123</v>
      </c>
      <c r="C31" s="335">
        <v>428.02493399999997</v>
      </c>
      <c r="D31" s="335">
        <v>75.819999999999993</v>
      </c>
      <c r="E31" s="335">
        <v>0.6</v>
      </c>
      <c r="F31" s="335">
        <v>213.61711</v>
      </c>
      <c r="G31" s="335">
        <v>131.61000000000001</v>
      </c>
      <c r="H31" s="335">
        <v>1.1299999999999999</v>
      </c>
      <c r="I31" s="335">
        <v>213.143719</v>
      </c>
      <c r="J31" s="335">
        <v>107</v>
      </c>
      <c r="K31" s="335">
        <v>1.1299999999999999</v>
      </c>
      <c r="L31" s="335">
        <v>212.01400000000001</v>
      </c>
      <c r="M31" s="335">
        <v>105.68</v>
      </c>
      <c r="N31" s="335">
        <v>1.1299999999999999</v>
      </c>
      <c r="O31" s="335">
        <v>211.45924400000001</v>
      </c>
      <c r="P31" s="335">
        <v>101.19</v>
      </c>
      <c r="Q31" s="335">
        <v>1.1299999999999999</v>
      </c>
      <c r="R31" s="340">
        <v>211.44900000000001</v>
      </c>
      <c r="S31" s="340">
        <v>92.5</v>
      </c>
      <c r="T31" s="340">
        <v>1.07</v>
      </c>
      <c r="U31" s="340">
        <v>211.350705</v>
      </c>
      <c r="V31" s="340">
        <v>97.37</v>
      </c>
      <c r="W31" s="340">
        <v>1.07</v>
      </c>
      <c r="X31" s="340">
        <v>204.450354</v>
      </c>
      <c r="Y31" s="340">
        <v>107.74</v>
      </c>
      <c r="Z31" s="340">
        <v>1.07</v>
      </c>
      <c r="AA31" s="340">
        <v>203.445773</v>
      </c>
      <c r="AB31" s="340">
        <v>112.5</v>
      </c>
      <c r="AC31" s="340">
        <v>1.07</v>
      </c>
      <c r="AD31" s="340">
        <v>203.38319899999999</v>
      </c>
      <c r="AE31" s="340">
        <v>100.63</v>
      </c>
      <c r="AF31" s="340">
        <v>1.01</v>
      </c>
      <c r="AG31" s="340">
        <v>202.94362799999999</v>
      </c>
      <c r="AH31" s="340">
        <v>112.64</v>
      </c>
      <c r="AI31" s="340">
        <v>1.01</v>
      </c>
      <c r="AJ31" s="340">
        <v>200.94151099999999</v>
      </c>
      <c r="AK31" s="340">
        <v>116.75</v>
      </c>
      <c r="AL31" s="340">
        <v>1.01</v>
      </c>
      <c r="AM31" s="340">
        <v>200.96304900000001</v>
      </c>
      <c r="AN31" s="340">
        <v>112.65</v>
      </c>
      <c r="AO31" s="340">
        <v>1.01</v>
      </c>
      <c r="AP31" s="340">
        <v>200.775395</v>
      </c>
      <c r="AQ31" s="340">
        <v>99.31</v>
      </c>
      <c r="AR31" s="340">
        <v>0.95</v>
      </c>
      <c r="AS31" s="340">
        <v>200.52554900000001</v>
      </c>
      <c r="AT31" s="340">
        <v>99.7</v>
      </c>
      <c r="AU31" s="340">
        <v>0.95</v>
      </c>
      <c r="AV31" s="340">
        <v>200.106945</v>
      </c>
      <c r="AW31" s="340">
        <v>99.47</v>
      </c>
      <c r="AX31" s="340">
        <v>0.95</v>
      </c>
      <c r="AY31" s="503">
        <v>200.22001800000001</v>
      </c>
      <c r="AZ31" s="503">
        <v>99.84</v>
      </c>
      <c r="BA31" s="503">
        <v>0.95</v>
      </c>
      <c r="BB31" s="504">
        <v>200.17801</v>
      </c>
      <c r="BC31" s="504">
        <v>98.53</v>
      </c>
      <c r="BD31" s="504">
        <v>0.93</v>
      </c>
      <c r="BE31" s="504">
        <v>199.79001600000001</v>
      </c>
      <c r="BF31" s="504">
        <v>93.81</v>
      </c>
      <c r="BG31" s="504">
        <v>0.93</v>
      </c>
      <c r="BH31" s="504">
        <v>195.19585799999999</v>
      </c>
      <c r="BI31" s="504">
        <v>93.97</v>
      </c>
      <c r="BJ31" s="504">
        <v>0.93</v>
      </c>
      <c r="BK31" s="504">
        <v>198.93238700000001</v>
      </c>
      <c r="BL31" s="504">
        <v>119.8</v>
      </c>
      <c r="BM31" s="504">
        <v>0.93</v>
      </c>
      <c r="BN31" s="504">
        <v>193.01926900000001</v>
      </c>
      <c r="BO31" s="504">
        <v>117.36</v>
      </c>
      <c r="BP31" s="504">
        <v>0.91</v>
      </c>
      <c r="BQ31" s="504">
        <v>189.575187</v>
      </c>
      <c r="BR31" s="504">
        <v>102.93</v>
      </c>
      <c r="BS31" s="504">
        <v>0.91</v>
      </c>
      <c r="BT31" s="504">
        <v>181.40959699999999</v>
      </c>
      <c r="BU31" s="504">
        <v>95.63</v>
      </c>
      <c r="BV31" s="504">
        <v>0.91</v>
      </c>
      <c r="BW31" s="504">
        <v>181.00230300000001</v>
      </c>
      <c r="BX31" s="504">
        <v>86.07</v>
      </c>
      <c r="BY31" s="507">
        <v>0.91</v>
      </c>
      <c r="BZ31" s="504">
        <v>180.82320300000001</v>
      </c>
      <c r="CA31" s="504">
        <v>81.13</v>
      </c>
      <c r="CB31" s="504">
        <v>0.89</v>
      </c>
      <c r="CC31" s="503">
        <v>180.70757499999999</v>
      </c>
      <c r="CD31" s="503">
        <v>80.790000000000006</v>
      </c>
      <c r="CE31" s="503">
        <v>0.89</v>
      </c>
      <c r="CF31" s="503">
        <v>180.303505</v>
      </c>
      <c r="CG31" s="503">
        <v>78.78</v>
      </c>
      <c r="CH31" s="503">
        <v>0.89</v>
      </c>
      <c r="CI31" s="503">
        <v>179.563819</v>
      </c>
      <c r="CJ31" s="503">
        <v>81.39</v>
      </c>
      <c r="CK31" s="508">
        <v>0.89</v>
      </c>
      <c r="CL31" s="503">
        <v>179.14534599999999</v>
      </c>
      <c r="CM31" s="503">
        <v>76.36</v>
      </c>
      <c r="CN31" s="503">
        <v>0.87</v>
      </c>
      <c r="CO31" s="503">
        <v>179.33506299999999</v>
      </c>
      <c r="CP31" s="503">
        <v>76.77</v>
      </c>
      <c r="CQ31" s="503">
        <v>0.87</v>
      </c>
      <c r="CR31" s="504">
        <v>178.88566</v>
      </c>
      <c r="CS31" s="504">
        <v>75.959999999999994</v>
      </c>
      <c r="CT31" s="504">
        <v>0.87</v>
      </c>
      <c r="CU31" s="503">
        <v>179.02335099999999</v>
      </c>
      <c r="CV31" s="503">
        <v>73.47</v>
      </c>
      <c r="CW31" s="509">
        <v>0.87</v>
      </c>
      <c r="CX31" s="339">
        <v>178.08081490000001</v>
      </c>
      <c r="CY31" s="339">
        <v>76.73</v>
      </c>
      <c r="CZ31" s="339">
        <v>0.85</v>
      </c>
      <c r="DA31" s="339">
        <v>178.57853600000001</v>
      </c>
      <c r="DB31" s="339">
        <v>81.349999999999994</v>
      </c>
      <c r="DC31" s="339">
        <v>0.85</v>
      </c>
      <c r="DD31" s="339">
        <v>179.176356</v>
      </c>
      <c r="DE31" s="339">
        <v>79.28</v>
      </c>
      <c r="DF31" s="339">
        <v>0.85</v>
      </c>
      <c r="DG31" s="339">
        <v>179.15183200000001</v>
      </c>
      <c r="DH31" s="339">
        <v>68.36</v>
      </c>
      <c r="DI31" s="339">
        <v>0.85</v>
      </c>
      <c r="DJ31" s="339">
        <v>179.521276</v>
      </c>
      <c r="DK31" s="339">
        <v>65.099999999999994</v>
      </c>
      <c r="DL31" s="339">
        <v>0.83</v>
      </c>
      <c r="DM31" s="339">
        <v>179.65898100000001</v>
      </c>
      <c r="DN31" s="339">
        <v>70.5</v>
      </c>
      <c r="DO31" s="339">
        <v>0.83</v>
      </c>
      <c r="DP31" s="340">
        <v>180.245555</v>
      </c>
      <c r="DQ31" s="340">
        <v>77.489999999999995</v>
      </c>
      <c r="DR31" s="340">
        <v>0.83</v>
      </c>
      <c r="DS31" s="339">
        <v>179.61006699999999</v>
      </c>
      <c r="DT31" s="339">
        <v>87.48</v>
      </c>
      <c r="DU31" s="339">
        <v>0.83</v>
      </c>
      <c r="DV31" s="339">
        <v>179.35410300000001</v>
      </c>
      <c r="DW31" s="339">
        <v>77.33</v>
      </c>
      <c r="DX31" s="339">
        <v>0.83</v>
      </c>
      <c r="DY31" s="339">
        <v>178.79782900000001</v>
      </c>
      <c r="DZ31" s="339">
        <v>82.09</v>
      </c>
      <c r="EA31" s="339">
        <v>0.83</v>
      </c>
      <c r="EB31" s="340">
        <v>178.21119200000001</v>
      </c>
      <c r="EC31" s="340">
        <v>66.849999999999994</v>
      </c>
      <c r="ED31" s="340">
        <v>0.83</v>
      </c>
      <c r="EE31" s="339">
        <v>178.28372100000001</v>
      </c>
      <c r="EF31" s="339">
        <v>63.27</v>
      </c>
      <c r="EG31" s="339">
        <v>0.83</v>
      </c>
      <c r="EH31" s="339">
        <v>178.19652500000001</v>
      </c>
      <c r="EI31" s="339">
        <v>63.19</v>
      </c>
      <c r="EJ31" s="339">
        <v>0.83</v>
      </c>
      <c r="EK31" s="339">
        <v>178.027961</v>
      </c>
      <c r="EL31" s="339">
        <v>69.680000000000007</v>
      </c>
      <c r="EM31" s="339">
        <v>0.83</v>
      </c>
      <c r="EN31" s="340">
        <v>177.32481300000001</v>
      </c>
      <c r="EO31" s="340">
        <v>63.24</v>
      </c>
      <c r="EP31" s="340">
        <v>0.83</v>
      </c>
      <c r="EQ31" s="339">
        <v>177.51784599999999</v>
      </c>
      <c r="ER31" s="339">
        <v>63.75</v>
      </c>
      <c r="ES31" s="339">
        <v>0.83</v>
      </c>
      <c r="ET31" s="339">
        <v>177.16651899999999</v>
      </c>
      <c r="EU31" s="339">
        <v>69.3</v>
      </c>
      <c r="EV31" s="339">
        <v>0.83</v>
      </c>
      <c r="EW31" s="339">
        <v>176.865363</v>
      </c>
      <c r="EX31" s="339">
        <v>67.89</v>
      </c>
      <c r="EY31" s="339">
        <v>0.83</v>
      </c>
      <c r="EZ31" s="340">
        <v>177.43020799999999</v>
      </c>
      <c r="FA31" s="340">
        <v>67.2</v>
      </c>
      <c r="FB31" s="340">
        <v>0.83</v>
      </c>
      <c r="FC31" s="339">
        <v>176.950469</v>
      </c>
      <c r="FD31" s="339">
        <v>73.05</v>
      </c>
      <c r="FE31" s="339">
        <v>0.83</v>
      </c>
      <c r="FF31" s="339">
        <v>177.80888999999999</v>
      </c>
      <c r="FG31" s="339">
        <v>66.290000000000006</v>
      </c>
      <c r="FH31" s="339">
        <v>0.83</v>
      </c>
      <c r="FI31" s="339">
        <v>178.83434199999999</v>
      </c>
      <c r="FJ31" s="339">
        <v>68.28</v>
      </c>
      <c r="FK31" s="339">
        <v>0.83</v>
      </c>
      <c r="FL31" s="339">
        <v>180.19991400000001</v>
      </c>
      <c r="FM31" s="339">
        <v>67.209999999999994</v>
      </c>
      <c r="FN31" s="339">
        <v>0.83</v>
      </c>
      <c r="FO31" s="339">
        <v>185.96243100000001</v>
      </c>
      <c r="FP31" s="339">
        <v>70.83</v>
      </c>
      <c r="FQ31" s="339">
        <v>0.83</v>
      </c>
      <c r="FR31" s="339">
        <v>188.77624</v>
      </c>
      <c r="FS31" s="339">
        <v>76.53</v>
      </c>
      <c r="FT31" s="339">
        <v>0.83</v>
      </c>
      <c r="FU31" s="339">
        <v>189.202684</v>
      </c>
      <c r="FV31" s="339">
        <v>71.62</v>
      </c>
      <c r="FW31" s="339">
        <v>0.83</v>
      </c>
      <c r="FX31" s="339">
        <v>188.99696900000001</v>
      </c>
      <c r="FY31" s="339">
        <v>81.349999999999994</v>
      </c>
      <c r="FZ31" s="339">
        <v>0.75</v>
      </c>
      <c r="GA31" s="339">
        <v>193.424904</v>
      </c>
      <c r="GB31" s="339">
        <v>81.84</v>
      </c>
      <c r="GC31" s="339">
        <v>0.75</v>
      </c>
      <c r="GD31" s="339">
        <v>196.10500200000001</v>
      </c>
      <c r="GE31" s="339">
        <v>79.86</v>
      </c>
      <c r="GF31" s="339">
        <v>0.75</v>
      </c>
      <c r="GG31" s="339">
        <v>192.59360000000001</v>
      </c>
      <c r="GH31" s="339">
        <v>77.52</v>
      </c>
      <c r="GI31" s="339">
        <v>0.75</v>
      </c>
      <c r="GJ31" s="339">
        <v>189.38</v>
      </c>
      <c r="GK31" s="339">
        <v>68.09</v>
      </c>
      <c r="GL31" s="339">
        <v>0.75</v>
      </c>
      <c r="GM31" s="339">
        <v>190.379009</v>
      </c>
      <c r="GN31" s="339">
        <v>83.13</v>
      </c>
      <c r="GO31" s="339">
        <v>0.75</v>
      </c>
      <c r="GP31" s="339">
        <v>191.32692800000001</v>
      </c>
      <c r="GQ31" s="339">
        <v>89.01</v>
      </c>
      <c r="GR31" s="339">
        <v>0.75</v>
      </c>
      <c r="GS31" s="339">
        <v>192.63960499999999</v>
      </c>
      <c r="GT31" s="339">
        <v>120.48</v>
      </c>
      <c r="GU31" s="339">
        <v>0.75</v>
      </c>
      <c r="GV31" s="339">
        <v>196.572945</v>
      </c>
      <c r="GW31" s="339">
        <v>109.08</v>
      </c>
      <c r="GX31" s="339">
        <v>0.75</v>
      </c>
      <c r="GY31" s="339">
        <v>194.86435900000001</v>
      </c>
      <c r="GZ31" s="339">
        <v>119.52</v>
      </c>
      <c r="HA31" s="339">
        <v>0.75</v>
      </c>
      <c r="HB31" s="339">
        <v>196.97914</v>
      </c>
      <c r="HC31" s="339">
        <v>108.29</v>
      </c>
      <c r="HD31" s="339">
        <v>0.75</v>
      </c>
      <c r="HE31" s="339">
        <v>200.549935</v>
      </c>
      <c r="HF31" s="339">
        <v>107.35</v>
      </c>
      <c r="HG31" s="339">
        <v>0.54</v>
      </c>
      <c r="HH31" s="339">
        <v>207.456838</v>
      </c>
      <c r="HI31" s="505">
        <v>104.92</v>
      </c>
      <c r="HJ31" s="339">
        <v>0.54</v>
      </c>
      <c r="HK31" s="339">
        <v>208.38286299999999</v>
      </c>
      <c r="HL31" s="339">
        <v>92.32</v>
      </c>
      <c r="HM31" s="339">
        <v>0.54</v>
      </c>
      <c r="HN31" s="339">
        <v>207.982485</v>
      </c>
      <c r="HO31" s="339">
        <v>78.23</v>
      </c>
      <c r="HP31" s="339">
        <v>0.54</v>
      </c>
      <c r="HQ31" s="339">
        <v>207.73234099999999</v>
      </c>
      <c r="HR31" s="339">
        <v>70.75</v>
      </c>
      <c r="HS31" s="339">
        <v>0.54</v>
      </c>
      <c r="HT31" s="339">
        <v>207.49574000000001</v>
      </c>
      <c r="HU31" s="339">
        <v>68.94</v>
      </c>
      <c r="HV31" s="339">
        <v>0.54</v>
      </c>
      <c r="HW31" s="339">
        <v>207.90676199999999</v>
      </c>
      <c r="HX31" s="506">
        <v>68.650000000000006</v>
      </c>
      <c r="HY31" s="513">
        <f>2.16/4</f>
        <v>0.54</v>
      </c>
      <c r="HZ31" s="339">
        <v>211.134467</v>
      </c>
      <c r="IA31" s="339">
        <v>74.319999999999993</v>
      </c>
      <c r="IB31" s="339">
        <v>0.54</v>
      </c>
      <c r="IC31" s="339">
        <v>214.12802300000001</v>
      </c>
      <c r="ID31" s="339">
        <v>75.55</v>
      </c>
      <c r="IE31" s="339">
        <v>0.54</v>
      </c>
      <c r="IF31" s="339">
        <v>226.882474</v>
      </c>
      <c r="IG31" s="339">
        <v>70.66</v>
      </c>
      <c r="IH31" s="339">
        <v>0.54</v>
      </c>
      <c r="II31" s="339">
        <v>226.882474</v>
      </c>
      <c r="IJ31" s="505">
        <v>67.59</v>
      </c>
      <c r="IK31" s="339">
        <v>0.54</v>
      </c>
      <c r="IL31" s="339">
        <v>228.714654</v>
      </c>
      <c r="IM31" s="339">
        <v>60.61</v>
      </c>
      <c r="IN31" s="339">
        <v>0.45</v>
      </c>
      <c r="IO31" s="339">
        <v>230.26463799999999</v>
      </c>
      <c r="IP31" s="339">
        <v>56.01</v>
      </c>
      <c r="IQ31" s="339">
        <v>0.45</v>
      </c>
      <c r="IR31" s="339">
        <v>228.759297</v>
      </c>
      <c r="IS31" s="339">
        <v>59.5</v>
      </c>
      <c r="IT31" s="339">
        <v>0.45</v>
      </c>
      <c r="IU31" s="339">
        <v>228.10550499999999</v>
      </c>
      <c r="IV31" s="339">
        <v>57.13</v>
      </c>
      <c r="IW31" s="339">
        <v>0.45</v>
      </c>
      <c r="IX31" s="339">
        <v>226.60915900000001</v>
      </c>
      <c r="IY31" s="339">
        <v>54.15</v>
      </c>
      <c r="IZ31" s="339">
        <v>0.45</v>
      </c>
      <c r="JA31" s="339">
        <v>223.67333199999999</v>
      </c>
      <c r="JB31" s="339">
        <v>52.78</v>
      </c>
      <c r="JC31" s="339">
        <v>0.35</v>
      </c>
      <c r="JD31" s="339">
        <v>222.19111899999999</v>
      </c>
      <c r="JE31" s="339">
        <v>48.15</v>
      </c>
      <c r="JF31" s="339">
        <v>0.35</v>
      </c>
      <c r="JG31" s="339">
        <v>223.714449</v>
      </c>
      <c r="JH31" s="339">
        <v>45.59</v>
      </c>
      <c r="JI31" s="339">
        <v>0.35</v>
      </c>
      <c r="JJ31" s="339">
        <v>224.33065400000001</v>
      </c>
      <c r="JK31" s="339">
        <v>41.6</v>
      </c>
      <c r="JL31" s="339">
        <v>0.33</v>
      </c>
      <c r="JM31" s="339">
        <v>221.94345100000001</v>
      </c>
      <c r="JN31" s="339">
        <v>42.44</v>
      </c>
      <c r="JO31" s="339">
        <v>0.33</v>
      </c>
      <c r="JP31" s="339">
        <v>221.05027799999999</v>
      </c>
      <c r="JQ31" s="339">
        <v>43.41</v>
      </c>
      <c r="JR31" s="339">
        <v>0.33</v>
      </c>
      <c r="JS31" s="339">
        <v>221.67599999999999</v>
      </c>
      <c r="JT31" s="339">
        <v>39.11</v>
      </c>
      <c r="JU31" s="339">
        <v>0.33</v>
      </c>
      <c r="JV31" s="339">
        <v>221.114</v>
      </c>
      <c r="JW31" s="339">
        <v>35.56</v>
      </c>
      <c r="JX31" s="339">
        <v>0.315</v>
      </c>
      <c r="JY31" s="339">
        <v>219.91713899999999</v>
      </c>
      <c r="JZ31" s="339">
        <v>38.39</v>
      </c>
      <c r="KA31" s="339">
        <v>0.315</v>
      </c>
      <c r="KB31" s="339">
        <v>219.58236600000001</v>
      </c>
      <c r="KC31" s="339">
        <v>38</v>
      </c>
      <c r="KD31" s="339">
        <v>0.315</v>
      </c>
      <c r="KE31" s="339">
        <v>222.15909099999999</v>
      </c>
      <c r="KF31" s="339">
        <v>42.3125</v>
      </c>
      <c r="KG31" s="339">
        <v>0.315</v>
      </c>
      <c r="KH31" s="339">
        <v>228.097385</v>
      </c>
      <c r="KI31" s="339">
        <v>37.25</v>
      </c>
      <c r="KJ31" s="339">
        <v>0.3</v>
      </c>
      <c r="KK31" s="339">
        <v>236.60844499999999</v>
      </c>
      <c r="KL31" s="339">
        <v>27.375</v>
      </c>
      <c r="KM31" s="339">
        <v>0.3</v>
      </c>
      <c r="KN31" s="339">
        <v>240.93069499999999</v>
      </c>
      <c r="KO31" s="339">
        <v>20.1875</v>
      </c>
      <c r="KP31" s="339">
        <v>0.3</v>
      </c>
      <c r="KQ31" s="339">
        <v>246.253929</v>
      </c>
      <c r="KR31" s="339">
        <v>25.75</v>
      </c>
      <c r="KS31" s="339">
        <v>0.3</v>
      </c>
      <c r="KT31" s="339">
        <v>246.79571000000001</v>
      </c>
      <c r="KU31" s="339">
        <v>28.9375</v>
      </c>
      <c r="KV31" s="339">
        <v>0.3</v>
      </c>
      <c r="KW31" s="334">
        <v>246.4</v>
      </c>
      <c r="KX31" s="334">
        <v>31.25</v>
      </c>
      <c r="KY31" s="334">
        <v>0.3</v>
      </c>
      <c r="KZ31" s="334">
        <v>246.62</v>
      </c>
      <c r="LA31" s="334">
        <v>27.5</v>
      </c>
      <c r="LB31" s="334">
        <v>0.3</v>
      </c>
      <c r="LC31" s="334">
        <v>246.62</v>
      </c>
      <c r="LD31" s="334">
        <v>31.125</v>
      </c>
      <c r="LE31" s="334">
        <v>0.3</v>
      </c>
      <c r="LF31" s="334">
        <v>245.92</v>
      </c>
      <c r="LG31" s="334">
        <v>30.75</v>
      </c>
      <c r="LH31" s="334">
        <v>0.3</v>
      </c>
      <c r="LI31" s="334">
        <v>245.92</v>
      </c>
      <c r="LJ31" s="334">
        <v>28.75</v>
      </c>
      <c r="LK31" s="334">
        <v>0.45</v>
      </c>
      <c r="LL31" s="334">
        <v>242.17</v>
      </c>
      <c r="LM31" s="334">
        <v>29.75</v>
      </c>
      <c r="LN31" s="334">
        <v>0.45</v>
      </c>
      <c r="LO31" s="334">
        <v>242.172</v>
      </c>
      <c r="LP31" s="334">
        <v>29.9375</v>
      </c>
      <c r="LQ31" s="334">
        <v>0.45</v>
      </c>
      <c r="LR31" s="334">
        <v>235.13300000000001</v>
      </c>
      <c r="LS31" s="334">
        <v>26.0625</v>
      </c>
      <c r="LT31" s="334">
        <v>0.45</v>
      </c>
      <c r="LU31" s="334">
        <v>235.13300000000001</v>
      </c>
      <c r="LV31" s="334">
        <v>27.5</v>
      </c>
      <c r="LW31" s="334">
        <v>0.45</v>
      </c>
      <c r="LX31" s="334">
        <v>228.60300000000001</v>
      </c>
      <c r="LY31" s="334">
        <v>24.5</v>
      </c>
      <c r="LZ31" s="334">
        <v>0.45</v>
      </c>
      <c r="MA31" s="334">
        <v>228.60300000000001</v>
      </c>
      <c r="MB31" s="334">
        <v>27.625</v>
      </c>
      <c r="MC31" s="334">
        <v>0.45</v>
      </c>
      <c r="MD31" s="334">
        <v>227.751</v>
      </c>
      <c r="ME31" s="334">
        <v>27</v>
      </c>
      <c r="MF31" s="334">
        <v>0.45</v>
      </c>
      <c r="MG31" s="334">
        <v>227.751</v>
      </c>
      <c r="MH31" s="334">
        <v>28.375</v>
      </c>
      <c r="MI31" s="334">
        <v>0.45</v>
      </c>
      <c r="MJ31" s="334">
        <v>227.751</v>
      </c>
      <c r="MK31" s="334">
        <v>28</v>
      </c>
      <c r="ML31" s="334">
        <v>0.45</v>
      </c>
      <c r="MM31" s="334">
        <v>227.751</v>
      </c>
      <c r="MN31" s="334">
        <v>29.25</v>
      </c>
      <c r="MO31" s="334">
        <v>0.45</v>
      </c>
      <c r="MP31" s="334">
        <v>227.471</v>
      </c>
      <c r="MQ31" s="334">
        <v>26.125</v>
      </c>
      <c r="MR31" s="334">
        <v>0.45</v>
      </c>
      <c r="MS31" s="334">
        <v>227.471</v>
      </c>
      <c r="MT31" s="334">
        <v>24.125</v>
      </c>
      <c r="MU31" s="334">
        <v>0.45</v>
      </c>
      <c r="MV31" s="334">
        <v>227.471</v>
      </c>
      <c r="MW31" s="334">
        <v>20.875</v>
      </c>
      <c r="MX31" s="334">
        <v>0.45</v>
      </c>
      <c r="MY31" s="334">
        <v>227.471</v>
      </c>
      <c r="MZ31" s="334">
        <v>21.875</v>
      </c>
      <c r="NA31" s="334">
        <v>0.45</v>
      </c>
      <c r="NB31" s="334">
        <v>227.471</v>
      </c>
      <c r="NC31" s="334">
        <v>23.25</v>
      </c>
      <c r="ND31" s="334">
        <v>0.45</v>
      </c>
      <c r="NE31" s="334">
        <v>230.01</v>
      </c>
      <c r="NF31" s="334">
        <v>24.75</v>
      </c>
      <c r="NG31" s="334">
        <v>0.45</v>
      </c>
      <c r="NH31" s="334">
        <v>231</v>
      </c>
      <c r="NI31" s="334">
        <v>31.75</v>
      </c>
      <c r="NJ31" s="334">
        <v>0.45</v>
      </c>
      <c r="NK31" s="334">
        <v>174.53399999999999</v>
      </c>
      <c r="NL31" s="334">
        <v>36</v>
      </c>
      <c r="NM31" s="334">
        <v>0.45</v>
      </c>
      <c r="NN31" s="334">
        <v>174.53399999999999</v>
      </c>
      <c r="NO31" s="334">
        <v>38.75</v>
      </c>
      <c r="NP31" s="334">
        <v>0.4</v>
      </c>
      <c r="NQ31" s="334">
        <v>174.74600000000001</v>
      </c>
      <c r="NR31" s="334">
        <v>36.25</v>
      </c>
      <c r="NS31" s="334">
        <v>0.4</v>
      </c>
      <c r="NT31" s="334">
        <v>175.10900000000001</v>
      </c>
      <c r="NU31" s="334">
        <v>35.375</v>
      </c>
      <c r="NV31" s="334">
        <v>0.4</v>
      </c>
      <c r="NW31" s="334">
        <v>177.05600000000001</v>
      </c>
      <c r="NX31" s="334">
        <v>33</v>
      </c>
      <c r="NY31" s="334">
        <v>0.45</v>
      </c>
      <c r="NZ31" s="334">
        <v>177.05600000000001</v>
      </c>
      <c r="OA31" s="334">
        <v>31.88</v>
      </c>
      <c r="OB31" s="334">
        <v>0.35</v>
      </c>
      <c r="OC31" s="334">
        <v>177.51300000000001</v>
      </c>
      <c r="OD31" s="334">
        <v>28.25</v>
      </c>
      <c r="OE31" s="334">
        <v>0.35</v>
      </c>
      <c r="OF31" s="334">
        <v>177.982</v>
      </c>
      <c r="OG31" s="334">
        <v>27.38</v>
      </c>
      <c r="OH31" s="334">
        <v>0.35</v>
      </c>
      <c r="OI31" s="334">
        <v>182.66499999999999</v>
      </c>
      <c r="OJ31" s="334">
        <v>29.63</v>
      </c>
      <c r="OK31" s="334">
        <v>0.35</v>
      </c>
      <c r="OL31" s="334">
        <v>183.51400000000001</v>
      </c>
      <c r="OM31" s="334">
        <v>26</v>
      </c>
      <c r="ON31" s="334">
        <v>0.3</v>
      </c>
      <c r="OO31" s="334">
        <v>184.29499999999999</v>
      </c>
      <c r="OP31" s="334">
        <v>23.25</v>
      </c>
      <c r="OQ31" s="334">
        <v>0.3</v>
      </c>
      <c r="OR31" s="334">
        <v>184.614</v>
      </c>
      <c r="OS31" s="334">
        <v>24.5</v>
      </c>
      <c r="OT31" s="334">
        <v>0.3</v>
      </c>
      <c r="OU31" s="334">
        <v>195.87700000000001</v>
      </c>
      <c r="OV31" s="334">
        <v>22.38</v>
      </c>
    </row>
    <row r="32" spans="1:412">
      <c r="A32" s="294" t="s">
        <v>198</v>
      </c>
      <c r="B32" s="335" t="s">
        <v>197</v>
      </c>
      <c r="C32" s="335">
        <v>2053.5</v>
      </c>
      <c r="D32" s="335">
        <v>71.69</v>
      </c>
      <c r="E32" s="335">
        <v>0.51500000000000001</v>
      </c>
      <c r="F32" s="335">
        <v>2052.5</v>
      </c>
      <c r="G32" s="335">
        <v>84.53</v>
      </c>
      <c r="H32" s="335">
        <v>0.51500000000000001</v>
      </c>
      <c r="I32" s="335">
        <v>2051.5</v>
      </c>
      <c r="J32" s="335">
        <v>70.81</v>
      </c>
      <c r="K32" s="335">
        <v>0.51500000000000001</v>
      </c>
      <c r="L32" s="335">
        <v>2051</v>
      </c>
      <c r="M32" s="335">
        <v>63.91</v>
      </c>
      <c r="N32" s="335">
        <v>0.51500000000000001</v>
      </c>
      <c r="O32" s="335">
        <v>2031.3</v>
      </c>
      <c r="P32" s="335">
        <v>60.74</v>
      </c>
      <c r="Q32" s="335">
        <v>0.46750000000000003</v>
      </c>
      <c r="R32" s="340">
        <v>2022</v>
      </c>
      <c r="S32" s="340">
        <v>57.29</v>
      </c>
      <c r="T32" s="340">
        <v>0.46750000000000003</v>
      </c>
      <c r="U32" s="340">
        <v>1999.9</v>
      </c>
      <c r="V32" s="340">
        <v>74.2</v>
      </c>
      <c r="W32" s="340">
        <v>0.46750000000000003</v>
      </c>
      <c r="X32" s="340">
        <v>1972.6</v>
      </c>
      <c r="Y32" s="340">
        <v>77.08</v>
      </c>
      <c r="Z32" s="340">
        <v>0.46750000000000003</v>
      </c>
      <c r="AA32" s="340">
        <v>1972.5</v>
      </c>
      <c r="AB32" s="340">
        <v>83.6</v>
      </c>
      <c r="AC32" s="340">
        <v>0.42499999999999999</v>
      </c>
      <c r="AD32" s="340">
        <v>1965.2</v>
      </c>
      <c r="AE32" s="340">
        <v>78.41</v>
      </c>
      <c r="AF32" s="340">
        <v>0.42499999999999999</v>
      </c>
      <c r="AG32" s="340">
        <v>1964.7</v>
      </c>
      <c r="AH32" s="340">
        <v>77.459999999999994</v>
      </c>
      <c r="AI32" s="340">
        <v>0.42499999999999999</v>
      </c>
      <c r="AJ32" s="340">
        <v>1962.5</v>
      </c>
      <c r="AK32" s="340">
        <v>84.71</v>
      </c>
      <c r="AL32" s="340">
        <v>0.42499999999999999</v>
      </c>
      <c r="AM32" s="340">
        <v>1962.7</v>
      </c>
      <c r="AN32" s="340">
        <v>93.36</v>
      </c>
      <c r="AO32" s="340">
        <v>0.38500000000000001</v>
      </c>
      <c r="AP32" s="340">
        <v>1962.4</v>
      </c>
      <c r="AQ32" s="340">
        <v>78.52</v>
      </c>
      <c r="AR32" s="340">
        <v>0.38500000000000001</v>
      </c>
      <c r="AS32" s="340">
        <v>1961.6</v>
      </c>
      <c r="AT32" s="340">
        <v>73.28</v>
      </c>
      <c r="AU32" s="340">
        <v>0.38500000000000001</v>
      </c>
      <c r="AV32" s="340">
        <v>1959</v>
      </c>
      <c r="AW32" s="340">
        <v>75.61</v>
      </c>
      <c r="AX32" s="340">
        <v>0.38500000000000001</v>
      </c>
      <c r="AY32" s="503">
        <v>1959.6</v>
      </c>
      <c r="AZ32" s="503">
        <v>77.150000000000006</v>
      </c>
      <c r="BA32" s="503">
        <v>0.35</v>
      </c>
      <c r="BB32" s="504">
        <v>489.7</v>
      </c>
      <c r="BC32" s="504">
        <v>277.56</v>
      </c>
      <c r="BD32" s="504">
        <v>1.4</v>
      </c>
      <c r="BE32" s="504">
        <v>489.3</v>
      </c>
      <c r="BF32" s="504">
        <v>240.17</v>
      </c>
      <c r="BG32" s="504">
        <v>1.4</v>
      </c>
      <c r="BH32" s="504">
        <v>482</v>
      </c>
      <c r="BI32" s="504">
        <v>240.62</v>
      </c>
      <c r="BJ32" s="518">
        <v>1.4</v>
      </c>
      <c r="BK32" s="504">
        <v>481.9</v>
      </c>
      <c r="BL32" s="504">
        <v>242.16</v>
      </c>
      <c r="BM32" s="504">
        <v>1.25</v>
      </c>
      <c r="BN32" s="504">
        <v>478.9</v>
      </c>
      <c r="BO32" s="504">
        <v>232.99</v>
      </c>
      <c r="BP32" s="504">
        <v>1.25</v>
      </c>
      <c r="BQ32" s="504">
        <v>478.3</v>
      </c>
      <c r="BR32" s="504">
        <v>204.86</v>
      </c>
      <c r="BS32" s="504">
        <v>1.25</v>
      </c>
      <c r="BT32" s="504">
        <v>473.2</v>
      </c>
      <c r="BU32" s="504">
        <v>193.32</v>
      </c>
      <c r="BV32" s="507">
        <v>1.25</v>
      </c>
      <c r="BW32" s="504">
        <v>473.1</v>
      </c>
      <c r="BX32" s="504">
        <v>173.82</v>
      </c>
      <c r="BY32" s="504">
        <v>1.1100000000000001</v>
      </c>
      <c r="BZ32" s="504">
        <v>471.1</v>
      </c>
      <c r="CA32" s="504">
        <v>167.6</v>
      </c>
      <c r="CB32" s="504">
        <v>1.1100000000000001</v>
      </c>
      <c r="CC32" s="503">
        <v>470.7</v>
      </c>
      <c r="CD32" s="503">
        <v>167.03</v>
      </c>
      <c r="CE32" s="503">
        <v>1.1100000000000001</v>
      </c>
      <c r="CF32" s="503">
        <v>470.3</v>
      </c>
      <c r="CG32" s="503">
        <v>163.33000000000001</v>
      </c>
      <c r="CH32" s="508">
        <v>1.1100000000000001</v>
      </c>
      <c r="CI32" s="503">
        <v>469.4</v>
      </c>
      <c r="CJ32" s="503">
        <v>156.19</v>
      </c>
      <c r="CK32" s="503">
        <v>0.98250000000000004</v>
      </c>
      <c r="CL32" s="503">
        <v>467.9</v>
      </c>
      <c r="CM32" s="503">
        <v>146.55000000000001</v>
      </c>
      <c r="CN32" s="503">
        <v>0.98250000000000004</v>
      </c>
      <c r="CO32" s="503">
        <v>467.5</v>
      </c>
      <c r="CP32" s="503">
        <v>140.13</v>
      </c>
      <c r="CQ32" s="503">
        <v>0.98250000000000004</v>
      </c>
      <c r="CR32" s="504">
        <v>463.1</v>
      </c>
      <c r="CS32" s="504">
        <v>128.37</v>
      </c>
      <c r="CT32" s="504">
        <v>0.98250000000000004</v>
      </c>
      <c r="CU32" s="503">
        <v>463.3</v>
      </c>
      <c r="CV32" s="503">
        <v>119.46</v>
      </c>
      <c r="CW32" s="503">
        <v>0.87</v>
      </c>
      <c r="CX32" s="339">
        <v>461.3</v>
      </c>
      <c r="CY32" s="339">
        <v>122.32</v>
      </c>
      <c r="CZ32" s="339">
        <v>0.87</v>
      </c>
      <c r="DA32" s="519">
        <v>460.5</v>
      </c>
      <c r="DB32" s="519">
        <v>130.4</v>
      </c>
      <c r="DC32" s="519">
        <v>0.87</v>
      </c>
      <c r="DD32" s="339">
        <v>450.5</v>
      </c>
      <c r="DE32" s="339">
        <v>118.34</v>
      </c>
      <c r="DF32" s="511">
        <v>0.87</v>
      </c>
      <c r="DG32" s="339">
        <v>454.1</v>
      </c>
      <c r="DH32" s="339">
        <v>103.89</v>
      </c>
      <c r="DI32" s="339">
        <v>0.77</v>
      </c>
      <c r="DJ32" s="339">
        <v>445.5</v>
      </c>
      <c r="DK32" s="339">
        <v>97.55</v>
      </c>
      <c r="DL32" s="339">
        <v>0.77</v>
      </c>
      <c r="DM32" s="339">
        <v>442.3</v>
      </c>
      <c r="DN32" s="339">
        <v>98.03</v>
      </c>
      <c r="DO32" s="339">
        <v>0.77</v>
      </c>
      <c r="DP32" s="340">
        <v>435.6</v>
      </c>
      <c r="DQ32" s="340">
        <v>104.05</v>
      </c>
      <c r="DR32" s="515">
        <v>0.77</v>
      </c>
      <c r="DS32" s="339">
        <v>434.5</v>
      </c>
      <c r="DT32" s="339">
        <v>106.29</v>
      </c>
      <c r="DU32" s="339">
        <v>0.72499999999999998</v>
      </c>
      <c r="DV32" s="339">
        <v>434.1</v>
      </c>
      <c r="DW32" s="339">
        <v>93.88</v>
      </c>
      <c r="DX32" s="339">
        <v>0.72499999999999998</v>
      </c>
      <c r="DY32" s="339">
        <v>433.5</v>
      </c>
      <c r="DZ32" s="339">
        <v>102.48</v>
      </c>
      <c r="EA32" s="339">
        <v>0.72499999999999998</v>
      </c>
      <c r="EB32" s="340">
        <v>424.2</v>
      </c>
      <c r="EC32" s="340">
        <v>95.62</v>
      </c>
      <c r="ED32" s="515">
        <v>0.72499999999999998</v>
      </c>
      <c r="EE32" s="339">
        <v>423.8</v>
      </c>
      <c r="EF32" s="339">
        <v>85.62</v>
      </c>
      <c r="EG32" s="339">
        <v>0.66</v>
      </c>
      <c r="EH32" s="339">
        <v>421.8</v>
      </c>
      <c r="EI32" s="339">
        <v>80.16</v>
      </c>
      <c r="EJ32" s="339">
        <v>0.66</v>
      </c>
      <c r="EK32" s="339">
        <v>421</v>
      </c>
      <c r="EL32" s="339">
        <v>81.48</v>
      </c>
      <c r="EM32" s="339">
        <v>0.66</v>
      </c>
      <c r="EN32" s="340">
        <v>416.7</v>
      </c>
      <c r="EO32" s="340">
        <v>77.680000000000007</v>
      </c>
      <c r="EP32" s="515">
        <v>0.66</v>
      </c>
      <c r="EQ32" s="339">
        <v>419.3</v>
      </c>
      <c r="ER32" s="339">
        <v>69.19</v>
      </c>
      <c r="ES32" s="339">
        <v>0.6</v>
      </c>
      <c r="ET32" s="339">
        <v>415</v>
      </c>
      <c r="EU32" s="339">
        <v>70.33</v>
      </c>
      <c r="EV32" s="339">
        <v>0.6</v>
      </c>
      <c r="EW32" s="339">
        <v>412.3</v>
      </c>
      <c r="EX32" s="339">
        <v>68.81</v>
      </c>
      <c r="EY32" s="339">
        <v>0.6</v>
      </c>
      <c r="EZ32" s="340">
        <v>416.6</v>
      </c>
      <c r="FA32" s="340">
        <v>61.08</v>
      </c>
      <c r="FB32" s="515">
        <v>0.6</v>
      </c>
      <c r="FC32" s="339">
        <v>417.4</v>
      </c>
      <c r="FD32" s="339">
        <v>60.88</v>
      </c>
      <c r="FE32" s="339">
        <v>0.55000000000000004</v>
      </c>
      <c r="FF32" s="339">
        <v>416.9</v>
      </c>
      <c r="FG32" s="339">
        <v>54.02</v>
      </c>
      <c r="FH32" s="339">
        <v>0.55000000000000004</v>
      </c>
      <c r="FI32" s="339">
        <v>415.8</v>
      </c>
      <c r="FJ32" s="339">
        <v>57.46</v>
      </c>
      <c r="FK32" s="339">
        <v>0.55000000000000004</v>
      </c>
      <c r="FL32" s="339">
        <v>413.9</v>
      </c>
      <c r="FM32" s="339">
        <v>55.12</v>
      </c>
      <c r="FN32" s="511">
        <v>0.55000000000000004</v>
      </c>
      <c r="FO32" s="339">
        <v>410.9</v>
      </c>
      <c r="FP32" s="339">
        <v>51.99</v>
      </c>
      <c r="FQ32" s="339">
        <v>0.5</v>
      </c>
      <c r="FR32" s="339">
        <v>408.9</v>
      </c>
      <c r="FS32" s="339">
        <v>54.34</v>
      </c>
      <c r="FT32" s="339">
        <v>0.5</v>
      </c>
      <c r="FU32" s="339">
        <v>407.5</v>
      </c>
      <c r="FV32" s="339">
        <v>48.76</v>
      </c>
      <c r="FW32" s="339">
        <v>0.5</v>
      </c>
      <c r="FX32" s="339">
        <v>406.5</v>
      </c>
      <c r="FY32" s="339">
        <v>48.33</v>
      </c>
      <c r="FZ32" s="339">
        <v>0.5</v>
      </c>
      <c r="GA32" s="339">
        <v>405.1</v>
      </c>
      <c r="GB32" s="339">
        <v>52.82</v>
      </c>
      <c r="GC32" s="339">
        <v>0.47249999999999998</v>
      </c>
      <c r="GD32" s="339">
        <v>403.7</v>
      </c>
      <c r="GE32" s="339">
        <v>55.23</v>
      </c>
      <c r="GF32" s="339">
        <v>0.47249999999999998</v>
      </c>
      <c r="GG32" s="339">
        <v>402.3</v>
      </c>
      <c r="GH32" s="339">
        <v>56.86</v>
      </c>
      <c r="GI32" s="339">
        <v>0.47249999999999998</v>
      </c>
      <c r="GJ32" s="339">
        <v>401</v>
      </c>
      <c r="GK32" s="339">
        <v>50.73</v>
      </c>
      <c r="GL32" s="339">
        <v>0.47249999999999998</v>
      </c>
      <c r="GM32" s="339">
        <v>400.4</v>
      </c>
      <c r="GN32" s="339">
        <v>50.33</v>
      </c>
      <c r="GO32" s="339">
        <v>0.44500000000000001</v>
      </c>
      <c r="GP32" s="339">
        <v>399.8</v>
      </c>
      <c r="GQ32" s="339">
        <v>50.3</v>
      </c>
      <c r="GR32" s="339">
        <v>0.44500000000000001</v>
      </c>
      <c r="GS32" s="339">
        <v>399.1</v>
      </c>
      <c r="GT32" s="339">
        <v>65.58</v>
      </c>
      <c r="GU32" s="339">
        <v>0.44500000000000001</v>
      </c>
      <c r="GV32" s="339">
        <v>397.7</v>
      </c>
      <c r="GW32" s="339">
        <v>62.74</v>
      </c>
      <c r="GX32" s="339">
        <v>0.44500000000000001</v>
      </c>
      <c r="GY32" s="339">
        <v>398.1</v>
      </c>
      <c r="GZ32" s="339">
        <v>67.78</v>
      </c>
      <c r="HA32" s="339">
        <v>0.41</v>
      </c>
      <c r="HB32" s="339">
        <v>397.6</v>
      </c>
      <c r="HC32" s="339">
        <v>60.88</v>
      </c>
      <c r="HD32" s="339">
        <v>0.41</v>
      </c>
      <c r="HE32" s="339">
        <v>396.8</v>
      </c>
      <c r="HF32" s="339">
        <v>56.74</v>
      </c>
      <c r="HG32" s="339">
        <v>0.41</v>
      </c>
      <c r="HH32" s="339">
        <v>393.5</v>
      </c>
      <c r="HI32" s="505">
        <v>61.17</v>
      </c>
      <c r="HJ32" s="339">
        <v>0.41</v>
      </c>
      <c r="HK32" s="339">
        <v>394.9</v>
      </c>
      <c r="HL32" s="339">
        <v>54.42</v>
      </c>
      <c r="HM32" s="339">
        <v>0.375</v>
      </c>
      <c r="HN32" s="339">
        <v>394.3</v>
      </c>
      <c r="HO32" s="339">
        <v>45</v>
      </c>
      <c r="HP32" s="339">
        <v>0.375</v>
      </c>
      <c r="HQ32" s="339">
        <v>389.2</v>
      </c>
      <c r="HR32" s="339">
        <v>41.38</v>
      </c>
      <c r="HS32" s="339">
        <v>0.375</v>
      </c>
      <c r="HT32" s="339">
        <v>390</v>
      </c>
      <c r="HU32" s="339">
        <v>40.14</v>
      </c>
      <c r="HV32" s="339">
        <v>0.375</v>
      </c>
      <c r="HW32" s="339">
        <v>383.8</v>
      </c>
      <c r="HX32" s="506">
        <v>41.56</v>
      </c>
      <c r="HY32" s="513">
        <f>1.42/4</f>
        <v>0.35499999999999998</v>
      </c>
      <c r="HZ32" s="339">
        <v>381.4</v>
      </c>
      <c r="IA32" s="339">
        <v>47.6</v>
      </c>
      <c r="IB32" s="339">
        <v>0.35499999999999998</v>
      </c>
      <c r="IC32" s="339">
        <v>370.7</v>
      </c>
      <c r="ID32" s="339">
        <v>42.06</v>
      </c>
      <c r="IE32" s="339">
        <v>0.35499999999999998</v>
      </c>
      <c r="IF32" s="339">
        <v>359.2</v>
      </c>
      <c r="IG32" s="339">
        <v>40.15</v>
      </c>
      <c r="IH32" s="339">
        <v>0.35499999999999998</v>
      </c>
      <c r="II32" s="339">
        <v>360</v>
      </c>
      <c r="IJ32" s="505">
        <v>37.375</v>
      </c>
      <c r="IK32" s="339">
        <v>0.34</v>
      </c>
      <c r="IL32" s="339">
        <v>358</v>
      </c>
      <c r="IM32" s="339">
        <v>34.159999999999997</v>
      </c>
      <c r="IN32" s="339">
        <v>0.34</v>
      </c>
      <c r="IO32" s="339">
        <v>356.8</v>
      </c>
      <c r="IP32" s="339">
        <v>31.975000000000001</v>
      </c>
      <c r="IQ32" s="339">
        <v>0.31</v>
      </c>
      <c r="IR32" s="339">
        <v>356.2</v>
      </c>
      <c r="IS32" s="339">
        <v>33.424999999999997</v>
      </c>
      <c r="IT32" s="339">
        <v>0.31</v>
      </c>
      <c r="IU32" s="339">
        <v>355.6</v>
      </c>
      <c r="IV32" s="339">
        <v>32.71</v>
      </c>
      <c r="IW32" s="339">
        <v>0.3</v>
      </c>
      <c r="IX32" s="339">
        <v>354.6</v>
      </c>
      <c r="IY32" s="339">
        <v>31.6</v>
      </c>
      <c r="IZ32" s="339">
        <v>0.3</v>
      </c>
      <c r="JA32" s="339">
        <v>353.6</v>
      </c>
      <c r="JB32" s="339">
        <v>33.424999999999997</v>
      </c>
      <c r="JC32" s="339">
        <v>0.3</v>
      </c>
      <c r="JD32" s="339">
        <v>354</v>
      </c>
      <c r="JE32" s="339">
        <v>29.465</v>
      </c>
      <c r="JF32" s="339">
        <v>0.3</v>
      </c>
      <c r="JG32" s="339">
        <v>351.4</v>
      </c>
      <c r="JH32" s="339">
        <v>30.065000000000001</v>
      </c>
      <c r="JI32" s="339">
        <v>0.28999999999999998</v>
      </c>
      <c r="JJ32" s="339">
        <v>341.2</v>
      </c>
      <c r="JK32" s="339">
        <v>26.9</v>
      </c>
      <c r="JL32" s="339">
        <v>0.28999999999999998</v>
      </c>
      <c r="JM32" s="339">
        <v>338.2</v>
      </c>
      <c r="JN32" s="339">
        <v>29.995000000000001</v>
      </c>
      <c r="JO32" s="339">
        <v>0.28999999999999998</v>
      </c>
      <c r="JP32" s="339">
        <v>338</v>
      </c>
      <c r="JQ32" s="339">
        <v>29.774999999999999</v>
      </c>
      <c r="JR32" s="339">
        <v>0.28999999999999998</v>
      </c>
      <c r="JS32" s="339">
        <v>338</v>
      </c>
      <c r="JT32" s="339">
        <v>28.2</v>
      </c>
      <c r="JU32" s="339">
        <v>0.28000000000000003</v>
      </c>
      <c r="JV32" s="339">
        <v>338</v>
      </c>
      <c r="JW32" s="339">
        <v>26.774999999999999</v>
      </c>
      <c r="JX32" s="339">
        <v>0.28000000000000003</v>
      </c>
      <c r="JY32" s="339">
        <v>351.8</v>
      </c>
      <c r="JZ32" s="339">
        <v>30.105</v>
      </c>
      <c r="KA32" s="339">
        <v>0.28000000000000003</v>
      </c>
      <c r="KB32" s="339">
        <v>338</v>
      </c>
      <c r="KC32" s="339">
        <v>30.65</v>
      </c>
      <c r="KD32" s="339">
        <v>0.28000000000000003</v>
      </c>
      <c r="KE32" s="339">
        <v>340</v>
      </c>
      <c r="KF32" s="339">
        <v>35.875</v>
      </c>
      <c r="KG32" s="339">
        <v>0.27</v>
      </c>
      <c r="KH32" s="339">
        <v>340</v>
      </c>
      <c r="KI32" s="339">
        <v>32.875</v>
      </c>
      <c r="KJ32" s="339">
        <v>0.27</v>
      </c>
      <c r="KK32" s="339">
        <v>340</v>
      </c>
      <c r="KL32" s="339">
        <v>24.84375</v>
      </c>
      <c r="KM32" s="339">
        <v>0.27</v>
      </c>
      <c r="KN32" s="339">
        <v>342</v>
      </c>
      <c r="KO32" s="339">
        <v>23.03125</v>
      </c>
      <c r="KP32" s="339">
        <v>0.27</v>
      </c>
      <c r="KQ32" s="339">
        <v>342</v>
      </c>
      <c r="KR32" s="339">
        <v>21.40625</v>
      </c>
      <c r="KS32" s="339">
        <v>0.26</v>
      </c>
      <c r="KT32" s="339">
        <v>344</v>
      </c>
      <c r="KU32" s="339">
        <v>25.1875</v>
      </c>
      <c r="KV32" s="339">
        <v>0.26</v>
      </c>
      <c r="KW32" s="334">
        <v>346</v>
      </c>
      <c r="KX32" s="334">
        <v>27.3125</v>
      </c>
      <c r="KY32" s="334">
        <v>0.26</v>
      </c>
      <c r="KZ32" s="334">
        <v>344</v>
      </c>
      <c r="LA32" s="334">
        <v>26.625</v>
      </c>
      <c r="LB32" s="334">
        <v>0.2525</v>
      </c>
      <c r="LC32" s="334">
        <v>344</v>
      </c>
      <c r="LD32" s="334">
        <v>30.8125</v>
      </c>
      <c r="LE32" s="334">
        <v>0.25</v>
      </c>
      <c r="LF32" s="334">
        <v>173.22</v>
      </c>
      <c r="LG32" s="334">
        <v>69.688000000000002</v>
      </c>
      <c r="LH32" s="334">
        <v>0.5</v>
      </c>
      <c r="LI32" s="334">
        <v>173.22</v>
      </c>
      <c r="LJ32" s="334">
        <v>63</v>
      </c>
      <c r="LK32" s="334">
        <v>0.5</v>
      </c>
      <c r="LL32" s="334">
        <v>173.04</v>
      </c>
      <c r="LM32" s="334">
        <v>64.25</v>
      </c>
      <c r="LN32" s="334">
        <v>0.5</v>
      </c>
      <c r="LO32" s="334">
        <v>173.041</v>
      </c>
      <c r="LP32" s="334">
        <v>59.1875</v>
      </c>
      <c r="LQ32" s="334">
        <v>0.48</v>
      </c>
      <c r="LR32" s="334">
        <v>173.22200000000001</v>
      </c>
      <c r="LS32" s="334">
        <v>51.3125</v>
      </c>
      <c r="LT32" s="334">
        <v>0.48</v>
      </c>
      <c r="LU32" s="334">
        <v>173.22200000000001</v>
      </c>
      <c r="LV32" s="334">
        <v>46.063000000000002</v>
      </c>
      <c r="LW32" s="334">
        <v>0.48</v>
      </c>
      <c r="LX32" s="334">
        <v>173.85</v>
      </c>
      <c r="LY32" s="334">
        <v>44.125</v>
      </c>
      <c r="LZ32" s="334">
        <v>0.48</v>
      </c>
      <c r="MA32" s="334">
        <v>173.85</v>
      </c>
      <c r="MB32" s="334">
        <v>46</v>
      </c>
      <c r="MC32" s="334">
        <v>0.46</v>
      </c>
      <c r="MD32" s="334">
        <v>175.11199999999999</v>
      </c>
      <c r="ME32" s="334">
        <v>43.25</v>
      </c>
      <c r="MF32" s="334">
        <v>0.46</v>
      </c>
      <c r="MG32" s="334">
        <v>175.11199999999999</v>
      </c>
      <c r="MH32" s="334">
        <v>46</v>
      </c>
      <c r="MI32" s="334">
        <v>0.46500000000000002</v>
      </c>
      <c r="MJ32" s="334">
        <v>175.11199999999999</v>
      </c>
      <c r="MK32" s="334">
        <v>45.25</v>
      </c>
      <c r="ML32" s="334">
        <v>0.44</v>
      </c>
      <c r="MM32" s="334">
        <v>175.11199999999999</v>
      </c>
      <c r="MN32" s="334">
        <v>46.375</v>
      </c>
      <c r="MO32" s="334">
        <v>0.44</v>
      </c>
      <c r="MP32" s="334">
        <v>177.203</v>
      </c>
      <c r="MQ32" s="334">
        <v>40.875</v>
      </c>
      <c r="MR32" s="334">
        <v>0.44</v>
      </c>
      <c r="MS32" s="334">
        <v>177.203</v>
      </c>
      <c r="MT32" s="334">
        <v>38.625</v>
      </c>
      <c r="MU32" s="334">
        <v>0.44</v>
      </c>
      <c r="MV32" s="334">
        <v>177.203</v>
      </c>
      <c r="MW32" s="334">
        <v>36.375</v>
      </c>
      <c r="MX32" s="334">
        <v>0.42</v>
      </c>
      <c r="MY32" s="334">
        <v>177.203</v>
      </c>
      <c r="MZ32" s="334">
        <v>35.125</v>
      </c>
      <c r="NA32" s="334">
        <v>0.42</v>
      </c>
      <c r="NB32" s="334">
        <v>177.203</v>
      </c>
      <c r="NC32" s="334">
        <v>32.375</v>
      </c>
      <c r="ND32" s="334">
        <v>0.42</v>
      </c>
      <c r="NE32" s="334">
        <v>185.13300000000001</v>
      </c>
      <c r="NF32" s="334">
        <v>29.75</v>
      </c>
      <c r="NG32" s="334">
        <v>0.42</v>
      </c>
      <c r="NH32" s="334">
        <v>188.13300000000001</v>
      </c>
      <c r="NI32" s="334">
        <v>33.125</v>
      </c>
      <c r="NJ32" s="334">
        <v>0.42</v>
      </c>
      <c r="NK32" s="334">
        <v>188.13300000000001</v>
      </c>
      <c r="NL32" s="334">
        <v>39.125</v>
      </c>
      <c r="NM32" s="334">
        <v>0.62</v>
      </c>
      <c r="NN32" s="334">
        <v>188.13300000000001</v>
      </c>
      <c r="NO32" s="334">
        <v>39.375</v>
      </c>
      <c r="NP32" s="334">
        <v>0.62</v>
      </c>
      <c r="NQ32" s="334">
        <v>185.48</v>
      </c>
      <c r="NR32" s="334">
        <v>38.125</v>
      </c>
      <c r="NS32" s="334">
        <v>0.62</v>
      </c>
      <c r="NT32" s="334">
        <v>183.779</v>
      </c>
      <c r="NU32" s="334">
        <v>37</v>
      </c>
      <c r="NV32" s="334">
        <v>0.61</v>
      </c>
      <c r="NW32" s="334">
        <v>174.608</v>
      </c>
      <c r="NX32" s="334">
        <v>36.25</v>
      </c>
      <c r="NY32" s="334">
        <v>0.61</v>
      </c>
      <c r="NZ32" s="334">
        <v>174.608</v>
      </c>
      <c r="OA32" s="334">
        <v>36.380000000000003</v>
      </c>
      <c r="OB32" s="334">
        <v>0.61</v>
      </c>
      <c r="OC32" s="334">
        <v>172.56700000000001</v>
      </c>
      <c r="OD32" s="334">
        <v>34.880000000000003</v>
      </c>
      <c r="OE32" s="334">
        <v>0.61</v>
      </c>
      <c r="OF32" s="334">
        <v>171.55</v>
      </c>
      <c r="OG32" s="334">
        <v>33.380000000000003</v>
      </c>
      <c r="OH32" s="334">
        <v>0.6</v>
      </c>
      <c r="OI32" s="334">
        <v>163.101</v>
      </c>
      <c r="OJ32" s="334">
        <v>37</v>
      </c>
      <c r="OK32" s="334">
        <v>0.6</v>
      </c>
      <c r="OL32" s="334">
        <v>161.88399999999999</v>
      </c>
      <c r="OM32" s="334">
        <v>33.630000000000003</v>
      </c>
      <c r="ON32" s="334">
        <v>0.6</v>
      </c>
      <c r="OO32" s="334">
        <v>161.494</v>
      </c>
      <c r="OP32" s="334">
        <v>30.38</v>
      </c>
      <c r="OQ32" s="334">
        <v>0.6</v>
      </c>
      <c r="OR32" s="334">
        <v>161.232</v>
      </c>
      <c r="OS32" s="334">
        <v>30.25</v>
      </c>
      <c r="OT32" s="334">
        <v>0.59</v>
      </c>
      <c r="OU32" s="334">
        <v>136.732</v>
      </c>
      <c r="OV32" s="334">
        <v>29</v>
      </c>
    </row>
    <row r="33" spans="1:412">
      <c r="B33" s="333" t="s">
        <v>235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4"/>
      <c r="BR33" s="504"/>
      <c r="BS33" s="504"/>
      <c r="BT33" s="504"/>
      <c r="BU33" s="504"/>
      <c r="BV33" s="504"/>
      <c r="BW33" s="504"/>
      <c r="BX33" s="504"/>
      <c r="BY33" s="504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4"/>
      <c r="CS33" s="504"/>
      <c r="CT33" s="504"/>
      <c r="CU33" s="503"/>
      <c r="CV33" s="503"/>
      <c r="CW33" s="503"/>
      <c r="CX33" s="339"/>
      <c r="CY33" s="339"/>
      <c r="CZ33" s="339"/>
      <c r="DA33" s="339"/>
      <c r="DB33" s="339"/>
      <c r="DC33" s="339"/>
      <c r="DD33" s="339"/>
      <c r="DE33" s="339"/>
      <c r="DF33" s="339"/>
      <c r="DG33" s="339"/>
      <c r="DH33" s="339"/>
      <c r="DI33" s="339"/>
      <c r="DJ33" s="339"/>
      <c r="DK33" s="339"/>
      <c r="DL33" s="339"/>
      <c r="DM33" s="339"/>
      <c r="DN33" s="339"/>
      <c r="DO33" s="339"/>
      <c r="DP33" s="339"/>
      <c r="DQ33" s="339"/>
      <c r="DR33" s="339"/>
      <c r="DS33" s="339"/>
      <c r="DT33" s="339"/>
      <c r="DU33" s="339"/>
      <c r="DV33" s="339"/>
      <c r="DW33" s="339"/>
      <c r="DX33" s="339"/>
      <c r="DY33" s="339"/>
      <c r="DZ33" s="339"/>
      <c r="EA33" s="339"/>
      <c r="EB33" s="340"/>
      <c r="EC33" s="340"/>
      <c r="ED33" s="340"/>
      <c r="EE33" s="339"/>
      <c r="EF33" s="339"/>
      <c r="EG33" s="339"/>
      <c r="EH33" s="339"/>
      <c r="EI33" s="339"/>
      <c r="EJ33" s="339"/>
      <c r="EK33" s="339"/>
      <c r="EL33" s="339"/>
      <c r="EM33" s="339"/>
      <c r="EN33" s="339"/>
      <c r="EO33" s="339"/>
      <c r="EP33" s="339"/>
      <c r="EQ33" s="339"/>
      <c r="ER33" s="339"/>
      <c r="ES33" s="339"/>
      <c r="ET33" s="339"/>
      <c r="EU33" s="339"/>
      <c r="EV33" s="339"/>
      <c r="EW33" s="339"/>
      <c r="EX33" s="339"/>
      <c r="EY33" s="339"/>
      <c r="EZ33" s="339"/>
      <c r="FA33" s="339"/>
      <c r="FB33" s="339"/>
      <c r="FC33" s="339"/>
      <c r="FD33" s="339"/>
      <c r="FE33" s="339"/>
      <c r="FF33" s="339"/>
      <c r="FG33" s="339"/>
      <c r="FH33" s="342"/>
      <c r="FI33" s="339"/>
      <c r="FJ33" s="339"/>
      <c r="FK33" s="339"/>
      <c r="FL33" s="339"/>
      <c r="FM33" s="339"/>
      <c r="FN33" s="339"/>
      <c r="FO33" s="339"/>
      <c r="FP33" s="339"/>
      <c r="FQ33" s="339"/>
      <c r="FR33" s="339"/>
      <c r="FS33" s="339"/>
      <c r="FT33" s="339"/>
      <c r="FU33" s="339"/>
      <c r="FV33" s="339"/>
      <c r="FW33" s="339"/>
      <c r="FX33" s="339"/>
      <c r="FY33" s="339"/>
      <c r="FZ33" s="339"/>
      <c r="GA33" s="339"/>
      <c r="GB33" s="339"/>
      <c r="GC33" s="339"/>
      <c r="GD33" s="339"/>
      <c r="GE33" s="339"/>
      <c r="GF33" s="339"/>
      <c r="GG33" s="339"/>
      <c r="GH33" s="339"/>
      <c r="GI33" s="339"/>
      <c r="GJ33" s="339"/>
      <c r="GK33" s="339"/>
      <c r="GL33" s="339"/>
      <c r="GM33" s="339"/>
      <c r="GN33" s="339"/>
      <c r="GO33" s="339"/>
      <c r="GP33" s="339"/>
      <c r="GQ33" s="339"/>
      <c r="GR33" s="339"/>
      <c r="GS33" s="339"/>
      <c r="GT33" s="339"/>
      <c r="GU33" s="339"/>
      <c r="GV33" s="339"/>
      <c r="GW33" s="339"/>
      <c r="GX33" s="339"/>
      <c r="GY33" s="339"/>
      <c r="GZ33" s="339"/>
      <c r="HA33" s="339"/>
      <c r="HB33" s="339"/>
      <c r="HC33" s="339"/>
      <c r="HD33" s="339"/>
      <c r="HE33" s="339"/>
      <c r="HF33" s="339"/>
      <c r="HG33" s="339"/>
      <c r="HH33" s="339"/>
      <c r="HI33" s="505"/>
      <c r="HJ33" s="339"/>
      <c r="HK33" s="339"/>
      <c r="HL33" s="339"/>
      <c r="HM33" s="339"/>
      <c r="HN33" s="339"/>
      <c r="HO33" s="339"/>
      <c r="HP33" s="339"/>
      <c r="HQ33" s="339"/>
      <c r="HR33" s="339"/>
      <c r="HS33" s="339"/>
      <c r="HT33" s="339"/>
      <c r="HU33" s="339"/>
      <c r="HV33" s="339"/>
      <c r="HW33" s="339"/>
      <c r="HX33" s="506"/>
      <c r="HY33" s="513"/>
      <c r="HZ33" s="339"/>
      <c r="IA33" s="339"/>
      <c r="IB33" s="339"/>
      <c r="IC33" s="339"/>
      <c r="ID33" s="339"/>
      <c r="IE33" s="339"/>
      <c r="IF33" s="339"/>
      <c r="IG33" s="339"/>
      <c r="IH33" s="339"/>
      <c r="II33" s="339"/>
      <c r="IJ33" s="505"/>
      <c r="IK33" s="339"/>
      <c r="IL33" s="339"/>
      <c r="IM33" s="339"/>
      <c r="IN33" s="339"/>
      <c r="IO33" s="339"/>
      <c r="IP33" s="339"/>
      <c r="IQ33" s="339"/>
      <c r="IR33" s="339"/>
      <c r="IS33" s="339"/>
      <c r="IT33" s="339"/>
      <c r="IU33" s="339"/>
      <c r="IV33" s="339"/>
      <c r="IW33" s="339"/>
      <c r="IX33" s="339"/>
      <c r="IY33" s="339"/>
      <c r="IZ33" s="342"/>
      <c r="JA33" s="339"/>
      <c r="JB33" s="339"/>
      <c r="JC33" s="339"/>
      <c r="JD33" s="339"/>
      <c r="JE33" s="339"/>
      <c r="JF33" s="339"/>
      <c r="JG33" s="339"/>
      <c r="JH33" s="339"/>
      <c r="JI33" s="339"/>
      <c r="JJ33" s="339"/>
      <c r="JK33" s="339"/>
      <c r="JL33" s="339"/>
      <c r="JM33" s="339"/>
      <c r="JN33" s="339"/>
      <c r="JO33" s="339"/>
      <c r="JP33" s="339"/>
      <c r="JQ33" s="339"/>
      <c r="JR33" s="339"/>
      <c r="JS33" s="339"/>
      <c r="JT33" s="342"/>
      <c r="JU33" s="342"/>
      <c r="JV33" s="339"/>
      <c r="JW33" s="339"/>
      <c r="JX33" s="339"/>
      <c r="JY33" s="339"/>
      <c r="JZ33" s="339"/>
      <c r="KA33" s="339"/>
      <c r="KB33" s="339"/>
      <c r="KC33" s="339"/>
      <c r="KD33" s="339"/>
      <c r="KE33" s="339"/>
      <c r="KF33" s="339"/>
      <c r="KG33" s="339"/>
      <c r="KH33" s="339">
        <v>98.614543999999995</v>
      </c>
      <c r="KI33" s="339">
        <v>52.9375</v>
      </c>
      <c r="KJ33" s="339">
        <v>0.55500000000000005</v>
      </c>
      <c r="KK33" s="339">
        <v>98.519769999999994</v>
      </c>
      <c r="KL33" s="339">
        <v>46.875</v>
      </c>
      <c r="KM33" s="339">
        <v>0.55500000000000005</v>
      </c>
      <c r="KN33" s="339">
        <v>98.453035999999997</v>
      </c>
      <c r="KO33" s="339">
        <v>45.875</v>
      </c>
      <c r="KP33" s="339">
        <v>0.55500000000000005</v>
      </c>
      <c r="KQ33" s="339">
        <v>98.3</v>
      </c>
      <c r="KR33" s="339">
        <v>42.3125</v>
      </c>
      <c r="KS33" s="339">
        <v>0.54500000000000004</v>
      </c>
      <c r="KT33" s="339">
        <v>97.980635000000007</v>
      </c>
      <c r="KU33" s="339">
        <v>46.25</v>
      </c>
      <c r="KV33" s="339">
        <v>0.54500000000000004</v>
      </c>
      <c r="KW33" s="334">
        <v>97.1</v>
      </c>
      <c r="KX33" s="334">
        <v>41.3125</v>
      </c>
      <c r="KY33" s="334">
        <v>0.54500000000000004</v>
      </c>
      <c r="KZ33" s="334">
        <v>97</v>
      </c>
      <c r="LA33" s="334">
        <v>37.75</v>
      </c>
      <c r="LB33" s="334">
        <v>0.53500000000000003</v>
      </c>
      <c r="LC33" s="334">
        <v>97</v>
      </c>
      <c r="LD33" s="334">
        <v>44.813000000000002</v>
      </c>
      <c r="LE33" s="334">
        <v>0.53500000000000003</v>
      </c>
      <c r="LF33" s="334">
        <v>97.1</v>
      </c>
      <c r="LG33" s="334">
        <v>43.313000000000002</v>
      </c>
      <c r="LH33" s="334">
        <v>0.53500000000000003</v>
      </c>
      <c r="LI33" s="334">
        <v>97.1</v>
      </c>
      <c r="LJ33" s="334">
        <v>41.125</v>
      </c>
      <c r="LK33" s="334">
        <v>0.53500000000000003</v>
      </c>
      <c r="LL33" s="334">
        <v>97.1</v>
      </c>
      <c r="LM33" s="334">
        <v>41.6875</v>
      </c>
      <c r="LN33" s="334">
        <v>0.53500000000000003</v>
      </c>
      <c r="LO33" s="334">
        <v>97.1</v>
      </c>
      <c r="LP33" s="334">
        <v>39.25</v>
      </c>
      <c r="LQ33" s="334">
        <v>0.52500000000000002</v>
      </c>
      <c r="LR33" s="334">
        <v>97</v>
      </c>
      <c r="LS33" s="334">
        <v>33</v>
      </c>
      <c r="LT33" s="334">
        <v>0.52500000000000002</v>
      </c>
      <c r="LU33" s="334">
        <v>97</v>
      </c>
      <c r="LV33" s="334">
        <v>31.312999999999999</v>
      </c>
      <c r="LW33" s="334">
        <v>0.52500000000000002</v>
      </c>
      <c r="LX33" s="334">
        <v>97</v>
      </c>
      <c r="LY33" s="334">
        <v>30.375</v>
      </c>
      <c r="LZ33" s="334">
        <v>0.52500000000000002</v>
      </c>
      <c r="MA33" s="334">
        <v>97</v>
      </c>
      <c r="MB33" s="334">
        <v>32.25</v>
      </c>
      <c r="MC33" s="334">
        <v>0.51500000000000001</v>
      </c>
      <c r="MD33" s="334">
        <v>95.905000000000001</v>
      </c>
      <c r="ME33" s="334">
        <v>34</v>
      </c>
      <c r="MF33" s="334">
        <v>0.51500000000000001</v>
      </c>
      <c r="MG33" s="334">
        <v>95.905000000000001</v>
      </c>
      <c r="MH33" s="334">
        <v>34.75</v>
      </c>
      <c r="MI33" s="334">
        <v>0.51500000000000001</v>
      </c>
      <c r="MJ33" s="334">
        <v>95.905000000000001</v>
      </c>
      <c r="MK33" s="334">
        <v>34.125</v>
      </c>
      <c r="ML33" s="334">
        <v>0.505</v>
      </c>
      <c r="MM33" s="334">
        <v>95.905000000000001</v>
      </c>
      <c r="MN33" s="334">
        <v>35.375</v>
      </c>
      <c r="MO33" s="334">
        <v>0.505</v>
      </c>
      <c r="MP33" s="334">
        <v>88.6</v>
      </c>
      <c r="MQ33" s="334">
        <v>32.375</v>
      </c>
      <c r="MR33" s="334">
        <v>0.505</v>
      </c>
      <c r="MS33" s="334">
        <v>88.6</v>
      </c>
      <c r="MT33" s="334">
        <v>31.25</v>
      </c>
      <c r="MU33" s="334">
        <v>0.505</v>
      </c>
      <c r="MV33" s="334">
        <v>88.6</v>
      </c>
      <c r="MW33" s="334">
        <v>30.125</v>
      </c>
      <c r="MX33" s="334">
        <v>0.505</v>
      </c>
      <c r="MY33" s="334">
        <v>88.6</v>
      </c>
      <c r="MZ33" s="334">
        <v>30</v>
      </c>
      <c r="NA33" s="334">
        <v>0.505</v>
      </c>
      <c r="NB33" s="334">
        <v>88.6</v>
      </c>
      <c r="NC33" s="334">
        <v>28.375</v>
      </c>
      <c r="ND33" s="334">
        <v>0.495</v>
      </c>
      <c r="NE33" s="334">
        <v>88.576999999999998</v>
      </c>
      <c r="NF33" s="334">
        <v>25.75</v>
      </c>
      <c r="NG33" s="334">
        <v>0.495</v>
      </c>
      <c r="NH33" s="334">
        <v>88.576999999999998</v>
      </c>
      <c r="NI33" s="334">
        <v>29.5</v>
      </c>
      <c r="NJ33" s="334">
        <v>0.495</v>
      </c>
      <c r="NK33" s="334">
        <v>88.576999999999998</v>
      </c>
      <c r="NL33" s="334">
        <v>32.625</v>
      </c>
      <c r="NM33" s="334">
        <v>0.495</v>
      </c>
      <c r="NN33" s="334">
        <v>88.576999999999998</v>
      </c>
      <c r="NO33" s="334">
        <v>35.5</v>
      </c>
      <c r="NP33" s="334">
        <v>0.48499999999999999</v>
      </c>
      <c r="NQ33" s="334">
        <v>88.12</v>
      </c>
      <c r="NR33" s="334">
        <v>34.25</v>
      </c>
      <c r="NS33" s="334">
        <v>0.48499999999999999</v>
      </c>
      <c r="NT33" s="334">
        <v>87.671000000000006</v>
      </c>
      <c r="NU33" s="334">
        <v>34.625</v>
      </c>
      <c r="NV33" s="334">
        <v>0.48499999999999999</v>
      </c>
      <c r="NW33" s="334">
        <v>84.823999999999998</v>
      </c>
      <c r="NX33" s="334">
        <v>32.630000000000003</v>
      </c>
      <c r="NY33" s="334">
        <v>0.52</v>
      </c>
      <c r="NZ33" s="334">
        <v>84.823999999999998</v>
      </c>
      <c r="OA33" s="334">
        <v>32.5</v>
      </c>
      <c r="OB33" s="334">
        <v>0.47</v>
      </c>
      <c r="OC33" s="334">
        <v>83.867000000000004</v>
      </c>
      <c r="OD33" s="334">
        <v>30.42</v>
      </c>
      <c r="OE33" s="334">
        <v>0.47</v>
      </c>
      <c r="OF33" s="334">
        <v>83.004000000000005</v>
      </c>
      <c r="OG33" s="334">
        <v>28.58</v>
      </c>
      <c r="OH33" s="334">
        <v>0.47</v>
      </c>
      <c r="OI33" s="334">
        <v>80.796000000000006</v>
      </c>
      <c r="OJ33" s="334">
        <v>31.33</v>
      </c>
      <c r="OK33" s="334">
        <v>0.47</v>
      </c>
      <c r="OL33" s="334">
        <v>80.150000000000006</v>
      </c>
      <c r="OM33" s="334">
        <v>29.42</v>
      </c>
      <c r="ON33" s="334">
        <v>0.46</v>
      </c>
      <c r="OO33" s="334">
        <v>78.983999999999995</v>
      </c>
      <c r="OP33" s="334">
        <v>26.08</v>
      </c>
      <c r="OQ33" s="334">
        <v>0.46</v>
      </c>
      <c r="OR33" s="334">
        <v>77.596999999999994</v>
      </c>
      <c r="OS33" s="334">
        <v>26.83</v>
      </c>
      <c r="OT33" s="334">
        <v>0.46</v>
      </c>
      <c r="OU33" s="334">
        <v>76.97</v>
      </c>
      <c r="OV33" s="334">
        <v>25.5</v>
      </c>
    </row>
    <row r="34" spans="1:412">
      <c r="B34" s="333" t="s">
        <v>236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504"/>
      <c r="AZ34" s="504"/>
      <c r="BA34" s="504"/>
      <c r="BB34" s="503"/>
      <c r="BC34" s="503"/>
      <c r="BD34" s="503"/>
      <c r="BE34" s="503"/>
      <c r="BF34" s="503"/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4"/>
      <c r="BR34" s="504"/>
      <c r="BS34" s="504"/>
      <c r="BT34" s="504"/>
      <c r="BU34" s="504"/>
      <c r="BV34" s="504"/>
      <c r="BW34" s="504"/>
      <c r="BX34" s="504"/>
      <c r="BY34" s="504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4"/>
      <c r="CS34" s="504"/>
      <c r="CT34" s="504"/>
      <c r="CU34" s="503"/>
      <c r="CV34" s="503"/>
      <c r="CW34" s="503"/>
      <c r="CX34" s="339"/>
      <c r="CY34" s="339"/>
      <c r="CZ34" s="339"/>
      <c r="DA34" s="339"/>
      <c r="DB34" s="339"/>
      <c r="DC34" s="339"/>
      <c r="DD34" s="339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339"/>
      <c r="DV34" s="339"/>
      <c r="DW34" s="339"/>
      <c r="DX34" s="339"/>
      <c r="DY34" s="339"/>
      <c r="DZ34" s="339"/>
      <c r="EA34" s="339"/>
      <c r="EB34" s="340"/>
      <c r="EC34" s="340"/>
      <c r="ED34" s="340"/>
      <c r="EE34" s="339"/>
      <c r="EF34" s="339"/>
      <c r="EG34" s="339"/>
      <c r="EH34" s="339"/>
      <c r="EI34" s="339"/>
      <c r="EJ34" s="339"/>
      <c r="EK34" s="339"/>
      <c r="EL34" s="339"/>
      <c r="EM34" s="339"/>
      <c r="EN34" s="339"/>
      <c r="EO34" s="339"/>
      <c r="EP34" s="339"/>
      <c r="EQ34" s="339"/>
      <c r="ER34" s="339"/>
      <c r="ES34" s="339"/>
      <c r="ET34" s="339"/>
      <c r="EU34" s="339"/>
      <c r="EV34" s="339"/>
      <c r="EW34" s="339"/>
      <c r="EX34" s="339"/>
      <c r="EY34" s="339"/>
      <c r="EZ34" s="339"/>
      <c r="FA34" s="339"/>
      <c r="FB34" s="339"/>
      <c r="FC34" s="339"/>
      <c r="FD34" s="339"/>
      <c r="FE34" s="339"/>
      <c r="FF34" s="339"/>
      <c r="FG34" s="339"/>
      <c r="FH34" s="342"/>
      <c r="FI34" s="339"/>
      <c r="FJ34" s="339"/>
      <c r="FK34" s="339"/>
      <c r="FL34" s="339"/>
      <c r="FM34" s="339"/>
      <c r="FN34" s="339"/>
      <c r="FO34" s="339"/>
      <c r="FP34" s="339"/>
      <c r="FQ34" s="339"/>
      <c r="FR34" s="339"/>
      <c r="FS34" s="339"/>
      <c r="FT34" s="339"/>
      <c r="FU34" s="339"/>
      <c r="FV34" s="339"/>
      <c r="FW34" s="339"/>
      <c r="FX34" s="339"/>
      <c r="FY34" s="339"/>
      <c r="FZ34" s="339"/>
      <c r="GA34" s="339"/>
      <c r="GB34" s="339"/>
      <c r="GC34" s="339"/>
      <c r="GD34" s="339"/>
      <c r="GE34" s="339"/>
      <c r="GF34" s="339"/>
      <c r="GG34" s="339"/>
      <c r="GH34" s="339"/>
      <c r="GI34" s="339"/>
      <c r="GJ34" s="339"/>
      <c r="GK34" s="339"/>
      <c r="GL34" s="339"/>
      <c r="GM34" s="339"/>
      <c r="GN34" s="339"/>
      <c r="GO34" s="339"/>
      <c r="GP34" s="339"/>
      <c r="GQ34" s="339"/>
      <c r="GR34" s="339"/>
      <c r="GS34" s="339"/>
      <c r="GT34" s="339"/>
      <c r="GU34" s="339"/>
      <c r="GV34" s="339"/>
      <c r="GW34" s="339"/>
      <c r="GX34" s="339"/>
      <c r="GY34" s="339"/>
      <c r="GZ34" s="339"/>
      <c r="HA34" s="339"/>
      <c r="HB34" s="339"/>
      <c r="HC34" s="339"/>
      <c r="HD34" s="339"/>
      <c r="HE34" s="339"/>
      <c r="HF34" s="339"/>
      <c r="HG34" s="339"/>
      <c r="HH34" s="339"/>
      <c r="HI34" s="505"/>
      <c r="HJ34" s="339"/>
      <c r="HK34" s="339"/>
      <c r="HL34" s="339"/>
      <c r="HM34" s="339"/>
      <c r="HN34" s="339"/>
      <c r="HO34" s="339"/>
      <c r="HP34" s="339"/>
      <c r="HQ34" s="339"/>
      <c r="HR34" s="339"/>
      <c r="HS34" s="339"/>
      <c r="HT34" s="339"/>
      <c r="HU34" s="339"/>
      <c r="HV34" s="339"/>
      <c r="HW34" s="339"/>
      <c r="HX34" s="506"/>
      <c r="HY34" s="513"/>
      <c r="HZ34" s="339"/>
      <c r="IA34" s="339"/>
      <c r="IB34" s="339"/>
      <c r="IC34" s="339"/>
      <c r="ID34" s="339"/>
      <c r="IE34" s="339"/>
      <c r="IF34" s="339"/>
      <c r="IG34" s="339"/>
      <c r="IH34" s="339"/>
      <c r="II34" s="339"/>
      <c r="IJ34" s="505"/>
      <c r="IK34" s="339"/>
      <c r="IL34" s="339"/>
      <c r="IM34" s="339"/>
      <c r="IN34" s="339"/>
      <c r="IO34" s="339"/>
      <c r="IP34" s="339"/>
      <c r="IQ34" s="339"/>
      <c r="IR34" s="339"/>
      <c r="IS34" s="339"/>
      <c r="IT34" s="339"/>
      <c r="IU34" s="339"/>
      <c r="IV34" s="339"/>
      <c r="IW34" s="339"/>
      <c r="IX34" s="339"/>
      <c r="IY34" s="339"/>
      <c r="IZ34" s="342"/>
      <c r="JA34" s="339"/>
      <c r="JB34" s="339"/>
      <c r="JC34" s="339"/>
      <c r="JD34" s="339"/>
      <c r="JE34" s="339"/>
      <c r="JF34" s="339"/>
      <c r="JG34" s="339"/>
      <c r="JH34" s="339"/>
      <c r="JI34" s="339"/>
      <c r="JJ34" s="339"/>
      <c r="JK34" s="339"/>
      <c r="JL34" s="339"/>
      <c r="JM34" s="339"/>
      <c r="JN34" s="339"/>
      <c r="JO34" s="339"/>
      <c r="JP34" s="339"/>
      <c r="JQ34" s="339"/>
      <c r="JR34" s="339"/>
      <c r="JS34" s="339"/>
      <c r="JT34" s="342"/>
      <c r="JU34" s="342"/>
      <c r="JV34" s="339">
        <v>119.559</v>
      </c>
      <c r="JW34" s="339">
        <v>40.36</v>
      </c>
      <c r="JX34" s="339">
        <v>0.54500000000000004</v>
      </c>
      <c r="JY34" s="339">
        <v>119.51600000000001</v>
      </c>
      <c r="JZ34" s="339">
        <v>35.15</v>
      </c>
      <c r="KA34" s="339">
        <v>0.54500000000000004</v>
      </c>
      <c r="KB34" s="339">
        <v>120.755</v>
      </c>
      <c r="KC34" s="339">
        <v>32.49</v>
      </c>
      <c r="KD34" s="339">
        <v>0.54500000000000004</v>
      </c>
      <c r="KE34" s="339">
        <v>121.32899999999999</v>
      </c>
      <c r="KF34" s="339">
        <v>36.8125</v>
      </c>
      <c r="KG34" s="339">
        <v>0.54500000000000004</v>
      </c>
      <c r="KH34" s="339">
        <v>121.199</v>
      </c>
      <c r="KI34" s="339">
        <v>32.4375</v>
      </c>
      <c r="KJ34" s="339">
        <v>0.54500000000000004</v>
      </c>
      <c r="KK34" s="339">
        <v>121.367</v>
      </c>
      <c r="KL34" s="339">
        <v>27.0625</v>
      </c>
      <c r="KM34" s="339">
        <v>0.54500000000000004</v>
      </c>
      <c r="KN34" s="339">
        <v>123.129</v>
      </c>
      <c r="KO34" s="339">
        <v>27.375</v>
      </c>
      <c r="KP34" s="339">
        <v>0.53</v>
      </c>
      <c r="KQ34" s="339">
        <v>125.04600000000001</v>
      </c>
      <c r="KR34" s="339">
        <v>29.75</v>
      </c>
      <c r="KS34" s="339">
        <v>0.53</v>
      </c>
      <c r="KT34" s="339">
        <v>125.70099999999999</v>
      </c>
      <c r="KU34" s="339">
        <v>32.625</v>
      </c>
      <c r="KV34" s="339">
        <v>0.53</v>
      </c>
      <c r="KW34" s="334">
        <v>127.1</v>
      </c>
      <c r="KX34" s="334">
        <v>42.0625</v>
      </c>
      <c r="KY34" s="334">
        <v>0.53</v>
      </c>
      <c r="KZ34" s="334">
        <v>128.07</v>
      </c>
      <c r="LA34" s="334">
        <v>37.3125</v>
      </c>
      <c r="LB34" s="334">
        <v>0.51500000000000001</v>
      </c>
      <c r="LC34" s="334">
        <v>128.07</v>
      </c>
      <c r="LD34" s="334">
        <v>44.188000000000002</v>
      </c>
      <c r="LE34" s="334">
        <v>0.51500000000000001</v>
      </c>
      <c r="LF34" s="334">
        <v>124.54</v>
      </c>
      <c r="LG34" s="334">
        <v>42.5</v>
      </c>
      <c r="LH34" s="334">
        <v>0.51500000000000001</v>
      </c>
      <c r="LI34" s="334">
        <v>124.54</v>
      </c>
      <c r="LJ34" s="334">
        <v>37.813000000000002</v>
      </c>
      <c r="LK34" s="334">
        <v>0.51500000000000001</v>
      </c>
      <c r="LL34" s="334">
        <v>121.05</v>
      </c>
      <c r="LM34" s="334">
        <v>44.25</v>
      </c>
      <c r="LN34" s="334">
        <v>0.5</v>
      </c>
      <c r="LO34" s="334">
        <v>121.04900000000001</v>
      </c>
      <c r="LP34" s="334">
        <v>42.125</v>
      </c>
      <c r="LQ34" s="334">
        <v>0.5</v>
      </c>
      <c r="LR34" s="334">
        <v>120.889</v>
      </c>
      <c r="LS34" s="334">
        <v>35.9375</v>
      </c>
      <c r="LT34" s="334">
        <v>0.5</v>
      </c>
      <c r="LU34" s="334">
        <v>120.889</v>
      </c>
      <c r="LV34" s="334">
        <v>35.875</v>
      </c>
      <c r="LW34" s="334">
        <v>0.5</v>
      </c>
      <c r="LX34" s="334">
        <v>120.84</v>
      </c>
      <c r="LY34" s="334">
        <v>32</v>
      </c>
      <c r="LZ34" s="334">
        <v>0.48499999999999999</v>
      </c>
      <c r="MA34" s="334">
        <v>120.791</v>
      </c>
      <c r="MB34" s="334">
        <v>33.625</v>
      </c>
      <c r="MC34" s="334">
        <v>0.48499999999999999</v>
      </c>
      <c r="MD34" s="334">
        <v>116.512</v>
      </c>
      <c r="ME34" s="334">
        <v>30.75</v>
      </c>
      <c r="MF34" s="334">
        <v>0.48499999999999999</v>
      </c>
      <c r="MG34" s="334">
        <v>116.512</v>
      </c>
      <c r="MH34" s="334">
        <v>35.25</v>
      </c>
      <c r="MI34" s="334">
        <v>0.48499999999999999</v>
      </c>
      <c r="MJ34" s="334">
        <v>116.512</v>
      </c>
      <c r="MK34" s="334">
        <v>32.75</v>
      </c>
      <c r="ML34" s="334">
        <v>0.47</v>
      </c>
      <c r="MM34" s="334">
        <v>116.512</v>
      </c>
      <c r="MN34" s="334">
        <v>34</v>
      </c>
      <c r="MO34" s="334">
        <v>0.47</v>
      </c>
      <c r="MP34" s="334">
        <v>115.34</v>
      </c>
      <c r="MQ34" s="334">
        <v>31.125</v>
      </c>
      <c r="MR34" s="334">
        <v>0.47</v>
      </c>
      <c r="MS34" s="334">
        <v>115.34</v>
      </c>
      <c r="MT34" s="334">
        <v>29.75</v>
      </c>
      <c r="MU34" s="334">
        <v>0.47</v>
      </c>
      <c r="MV34" s="334">
        <v>115.34</v>
      </c>
      <c r="MW34" s="334">
        <v>29.125</v>
      </c>
      <c r="MX34" s="334">
        <v>0.45</v>
      </c>
      <c r="MY34" s="334">
        <v>114.931</v>
      </c>
      <c r="MZ34" s="334">
        <v>26.25</v>
      </c>
      <c r="NA34" s="334">
        <v>0.45</v>
      </c>
      <c r="NB34" s="334">
        <v>114.931</v>
      </c>
      <c r="NC34" s="334">
        <v>24.75</v>
      </c>
      <c r="ND34" s="334">
        <v>0.45</v>
      </c>
      <c r="NE34" s="334">
        <v>113.867</v>
      </c>
      <c r="NF34" s="334">
        <v>26.25</v>
      </c>
      <c r="NG34" s="334">
        <v>0.45</v>
      </c>
      <c r="NH34" s="334">
        <v>110.95399999999999</v>
      </c>
      <c r="NI34" s="334">
        <v>28.625</v>
      </c>
      <c r="NJ34" s="334">
        <v>0.45</v>
      </c>
      <c r="NK34" s="334">
        <v>110.95399999999999</v>
      </c>
      <c r="NL34" s="334">
        <v>30.875</v>
      </c>
      <c r="NM34" s="334">
        <v>0.42499999999999999</v>
      </c>
      <c r="NN34" s="334">
        <v>110.95399999999999</v>
      </c>
      <c r="NO34" s="334">
        <v>33.75</v>
      </c>
      <c r="NP34" s="334">
        <v>0.42499999999999999</v>
      </c>
      <c r="NQ34" s="334">
        <v>110.883</v>
      </c>
      <c r="NR34" s="334">
        <v>32</v>
      </c>
      <c r="NS34" s="334">
        <v>0.4</v>
      </c>
      <c r="NT34" s="334">
        <v>110.85899999999999</v>
      </c>
      <c r="NU34" s="334">
        <v>30.25</v>
      </c>
      <c r="NV34" s="334">
        <v>0.4</v>
      </c>
      <c r="NW34" s="334">
        <v>110.81699999999999</v>
      </c>
      <c r="NX34" s="334">
        <v>27.63</v>
      </c>
      <c r="NY34" s="334">
        <v>0.4</v>
      </c>
      <c r="NZ34" s="334">
        <v>110.81699999999999</v>
      </c>
      <c r="OA34" s="334">
        <v>27.38</v>
      </c>
      <c r="OB34" s="334">
        <v>0.4</v>
      </c>
      <c r="OC34" s="334">
        <v>110.81699999999999</v>
      </c>
      <c r="OD34" s="334">
        <v>25.63</v>
      </c>
      <c r="OE34" s="334">
        <v>0.4</v>
      </c>
      <c r="OF34" s="334">
        <v>110.81699999999999</v>
      </c>
      <c r="OG34" s="334">
        <v>25.63</v>
      </c>
      <c r="OH34" s="334">
        <v>0.38</v>
      </c>
      <c r="OI34" s="334">
        <v>110.798</v>
      </c>
      <c r="OJ34" s="334">
        <v>27.25</v>
      </c>
      <c r="OK34" s="334">
        <v>0.38</v>
      </c>
      <c r="OL34" s="334">
        <v>110.792</v>
      </c>
      <c r="OM34" s="334">
        <v>25.5</v>
      </c>
      <c r="ON34" s="334">
        <v>0.38</v>
      </c>
      <c r="OO34" s="334">
        <v>110.782</v>
      </c>
      <c r="OP34" s="334">
        <v>23.13</v>
      </c>
      <c r="OQ34" s="334">
        <v>0.38</v>
      </c>
      <c r="OR34" s="334">
        <v>110.77800000000001</v>
      </c>
      <c r="OS34" s="334">
        <v>24.19</v>
      </c>
      <c r="OT34" s="334">
        <v>0.33</v>
      </c>
      <c r="OU34" s="334">
        <v>110.764</v>
      </c>
      <c r="OV34" s="334">
        <v>22.75</v>
      </c>
    </row>
    <row r="35" spans="1:412">
      <c r="B35" s="333" t="s">
        <v>237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504"/>
      <c r="AZ35" s="504"/>
      <c r="BA35" s="504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4"/>
      <c r="BR35" s="504"/>
      <c r="BS35" s="504"/>
      <c r="BT35" s="504"/>
      <c r="BU35" s="504"/>
      <c r="BV35" s="504"/>
      <c r="BW35" s="504"/>
      <c r="BX35" s="504"/>
      <c r="BY35" s="504"/>
      <c r="BZ35" s="503"/>
      <c r="CA35" s="503"/>
      <c r="CB35" s="503"/>
      <c r="CC35" s="503"/>
      <c r="CD35" s="503"/>
      <c r="CE35" s="503"/>
      <c r="CF35" s="503"/>
      <c r="CG35" s="503"/>
      <c r="CH35" s="503"/>
      <c r="CI35" s="503"/>
      <c r="CJ35" s="503"/>
      <c r="CK35" s="503"/>
      <c r="CL35" s="503"/>
      <c r="CM35" s="503"/>
      <c r="CN35" s="503"/>
      <c r="CO35" s="503"/>
      <c r="CP35" s="503"/>
      <c r="CQ35" s="503"/>
      <c r="CR35" s="504"/>
      <c r="CS35" s="504"/>
      <c r="CT35" s="504"/>
      <c r="CU35" s="503"/>
      <c r="CV35" s="503"/>
      <c r="CW35" s="503"/>
      <c r="CX35" s="339"/>
      <c r="CY35" s="339"/>
      <c r="CZ35" s="339"/>
      <c r="DA35" s="339"/>
      <c r="DB35" s="339"/>
      <c r="DC35" s="339"/>
      <c r="DD35" s="339"/>
      <c r="DE35" s="339"/>
      <c r="DF35" s="339"/>
      <c r="DG35" s="339"/>
      <c r="DH35" s="339"/>
      <c r="DI35" s="339"/>
      <c r="DJ35" s="339"/>
      <c r="DK35" s="339"/>
      <c r="DL35" s="339"/>
      <c r="DM35" s="339"/>
      <c r="DN35" s="339"/>
      <c r="DO35" s="339"/>
      <c r="DP35" s="339"/>
      <c r="DQ35" s="339"/>
      <c r="DR35" s="339"/>
      <c r="DS35" s="339"/>
      <c r="DT35" s="339"/>
      <c r="DU35" s="339"/>
      <c r="DV35" s="339"/>
      <c r="DW35" s="339"/>
      <c r="DX35" s="339"/>
      <c r="DY35" s="339"/>
      <c r="DZ35" s="339"/>
      <c r="EA35" s="339"/>
      <c r="EB35" s="340"/>
      <c r="EC35" s="340"/>
      <c r="ED35" s="340"/>
      <c r="EE35" s="339"/>
      <c r="EF35" s="339"/>
      <c r="EG35" s="339"/>
      <c r="EH35" s="339"/>
      <c r="EI35" s="339"/>
      <c r="EJ35" s="339"/>
      <c r="EK35" s="339"/>
      <c r="EL35" s="339"/>
      <c r="EM35" s="339"/>
      <c r="EN35" s="339"/>
      <c r="EO35" s="339"/>
      <c r="EP35" s="339"/>
      <c r="EQ35" s="339"/>
      <c r="ER35" s="339"/>
      <c r="ES35" s="339"/>
      <c r="ET35" s="339"/>
      <c r="EU35" s="339"/>
      <c r="EV35" s="339"/>
      <c r="EW35" s="339"/>
      <c r="EX35" s="339"/>
      <c r="EY35" s="339"/>
      <c r="EZ35" s="339"/>
      <c r="FA35" s="339"/>
      <c r="FB35" s="339"/>
      <c r="FC35" s="339"/>
      <c r="FD35" s="339"/>
      <c r="FE35" s="339"/>
      <c r="FF35" s="339"/>
      <c r="FG35" s="339"/>
      <c r="FH35" s="342"/>
      <c r="FI35" s="339"/>
      <c r="FJ35" s="339"/>
      <c r="FK35" s="339"/>
      <c r="FL35" s="339"/>
      <c r="FM35" s="339"/>
      <c r="FN35" s="339"/>
      <c r="FO35" s="339"/>
      <c r="FP35" s="339"/>
      <c r="FQ35" s="339"/>
      <c r="FR35" s="339"/>
      <c r="FS35" s="339"/>
      <c r="FT35" s="339"/>
      <c r="FU35" s="339"/>
      <c r="FV35" s="339"/>
      <c r="FW35" s="339"/>
      <c r="FX35" s="339"/>
      <c r="FY35" s="339"/>
      <c r="FZ35" s="339"/>
      <c r="GA35" s="339"/>
      <c r="GB35" s="339"/>
      <c r="GC35" s="339"/>
      <c r="GD35" s="339"/>
      <c r="GE35" s="339"/>
      <c r="GF35" s="339"/>
      <c r="GG35" s="339"/>
      <c r="GH35" s="339"/>
      <c r="GI35" s="339"/>
      <c r="GJ35" s="339"/>
      <c r="GK35" s="339"/>
      <c r="GL35" s="339"/>
      <c r="GM35" s="339"/>
      <c r="GN35" s="339"/>
      <c r="GO35" s="339"/>
      <c r="GP35" s="339"/>
      <c r="GQ35" s="339"/>
      <c r="GR35" s="339"/>
      <c r="GS35" s="339"/>
      <c r="GT35" s="339"/>
      <c r="GU35" s="339"/>
      <c r="GV35" s="339"/>
      <c r="GW35" s="339"/>
      <c r="GX35" s="339"/>
      <c r="GY35" s="339"/>
      <c r="GZ35" s="339"/>
      <c r="HA35" s="339"/>
      <c r="HB35" s="339"/>
      <c r="HC35" s="339"/>
      <c r="HD35" s="339"/>
      <c r="HE35" s="339"/>
      <c r="HF35" s="339"/>
      <c r="HG35" s="339"/>
      <c r="HH35" s="339">
        <v>5.27</v>
      </c>
      <c r="HI35" s="505">
        <v>34.869999999999997</v>
      </c>
      <c r="HJ35" s="339">
        <v>0.28000000000000003</v>
      </c>
      <c r="HK35" s="339">
        <v>5.28</v>
      </c>
      <c r="HL35" s="339">
        <v>33.89</v>
      </c>
      <c r="HM35" s="339">
        <v>0.28000000000000003</v>
      </c>
      <c r="HN35" s="339">
        <v>5.26</v>
      </c>
      <c r="HO35" s="339">
        <v>33.369999999999997</v>
      </c>
      <c r="HP35" s="339">
        <v>0.28000000000000003</v>
      </c>
      <c r="HQ35" s="339">
        <v>5.2430000000000003</v>
      </c>
      <c r="HR35" s="339">
        <v>33.99</v>
      </c>
      <c r="HS35" s="339">
        <v>0.28000000000000003</v>
      </c>
      <c r="HT35" s="339">
        <v>5.2240000000000002</v>
      </c>
      <c r="HU35" s="339">
        <v>28.89</v>
      </c>
      <c r="HV35" s="339">
        <v>0.28000000000000003</v>
      </c>
      <c r="HW35" s="339">
        <v>5.2080000000000002</v>
      </c>
      <c r="HX35" s="506">
        <v>28.77</v>
      </c>
      <c r="HY35" s="513">
        <f>1/4</f>
        <v>0.25</v>
      </c>
      <c r="HZ35" s="339">
        <v>5.1859999999999999</v>
      </c>
      <c r="IA35" s="339">
        <v>32.93</v>
      </c>
      <c r="IB35" s="339">
        <v>0.25</v>
      </c>
      <c r="IC35" s="339">
        <v>5.16</v>
      </c>
      <c r="ID35" s="339">
        <v>29.84</v>
      </c>
      <c r="IE35" s="339">
        <v>0.25</v>
      </c>
      <c r="IF35" s="339">
        <v>5.0890000000000004</v>
      </c>
      <c r="IG35" s="339">
        <v>29.3</v>
      </c>
      <c r="IH35" s="339">
        <v>0.25</v>
      </c>
      <c r="II35" s="339">
        <v>5.0890000000000004</v>
      </c>
      <c r="IJ35" s="505">
        <v>28.83</v>
      </c>
      <c r="IK35" s="339">
        <v>0.22</v>
      </c>
      <c r="IL35" s="339">
        <v>5.0720000000000001</v>
      </c>
      <c r="IM35" s="339">
        <v>26.05</v>
      </c>
      <c r="IN35" s="339">
        <v>0.22</v>
      </c>
      <c r="IO35" s="339">
        <v>5.0460000000000003</v>
      </c>
      <c r="IP35" s="339">
        <v>26.1</v>
      </c>
      <c r="IQ35" s="339">
        <v>0.22</v>
      </c>
      <c r="IR35" s="339">
        <v>4.9820000000000002</v>
      </c>
      <c r="IS35" s="339">
        <v>25.87</v>
      </c>
      <c r="IT35" s="339">
        <v>0.22</v>
      </c>
      <c r="IU35" s="339">
        <v>4.9820000000000002</v>
      </c>
      <c r="IV35" s="339">
        <v>23.6</v>
      </c>
      <c r="IW35" s="339">
        <v>0.19</v>
      </c>
      <c r="IX35" s="339">
        <v>4.9690000000000003</v>
      </c>
      <c r="IY35" s="339">
        <v>22.55</v>
      </c>
      <c r="IZ35" s="339">
        <v>0.19</v>
      </c>
      <c r="JA35" s="339">
        <v>4.9589999999999996</v>
      </c>
      <c r="JB35" s="339">
        <v>20</v>
      </c>
      <c r="JC35" s="339">
        <v>0.19</v>
      </c>
      <c r="JD35" s="339">
        <v>5.3330000000000002</v>
      </c>
      <c r="JE35" s="339">
        <v>20.21</v>
      </c>
      <c r="JF35" s="339">
        <v>0.19</v>
      </c>
      <c r="JG35" s="339">
        <v>5.7229999999999999</v>
      </c>
      <c r="JH35" s="339">
        <v>20.97</v>
      </c>
      <c r="JI35" s="339">
        <v>0.19</v>
      </c>
      <c r="JJ35" s="339">
        <v>5.7110000000000003</v>
      </c>
      <c r="JK35" s="339">
        <v>17.7</v>
      </c>
      <c r="JL35" s="339">
        <v>0.13750000000000001</v>
      </c>
      <c r="JM35" s="339">
        <v>5.6909999999999998</v>
      </c>
      <c r="JN35" s="339">
        <v>18.16</v>
      </c>
      <c r="JO35" s="339">
        <v>0.13750000000000001</v>
      </c>
      <c r="JP35" s="339">
        <v>5.6719999999999997</v>
      </c>
      <c r="JQ35" s="339">
        <v>18.25</v>
      </c>
      <c r="JR35" s="339">
        <v>0.13750000000000001</v>
      </c>
      <c r="JS35" s="339">
        <v>5.6440000000000001</v>
      </c>
      <c r="JT35" s="339">
        <v>18.649999999999999</v>
      </c>
      <c r="JU35" s="339">
        <v>0.13750000000000001</v>
      </c>
      <c r="JV35" s="339">
        <v>5.6150000000000002</v>
      </c>
      <c r="JW35" s="339">
        <v>16.5</v>
      </c>
      <c r="JX35" s="339">
        <v>0.13750000000000001</v>
      </c>
      <c r="JY35" s="339">
        <v>5.5880000000000001</v>
      </c>
      <c r="JZ35" s="339">
        <v>15.96</v>
      </c>
      <c r="KA35" s="339">
        <v>0.13750000000000001</v>
      </c>
      <c r="KB35" s="339">
        <v>5.5510000000000002</v>
      </c>
      <c r="KC35" s="339">
        <v>16.73</v>
      </c>
      <c r="KD35" s="339">
        <v>0.13750000000000001</v>
      </c>
      <c r="KE35" s="339">
        <v>5.5049999999999999</v>
      </c>
      <c r="KF35" s="339">
        <v>12.5</v>
      </c>
      <c r="KG35" s="339">
        <v>0.13750000000000001</v>
      </c>
      <c r="KH35" s="339">
        <v>5.4720000000000004</v>
      </c>
      <c r="KI35" s="339">
        <v>7.5625</v>
      </c>
      <c r="KJ35" s="339">
        <v>0.13750000000000001</v>
      </c>
      <c r="KK35" s="339">
        <v>5.4370000000000003</v>
      </c>
      <c r="KL35" s="339">
        <v>8.25</v>
      </c>
      <c r="KM35" s="339">
        <v>0.13750000000000001</v>
      </c>
      <c r="KN35" s="339">
        <v>5.4020000000000001</v>
      </c>
      <c r="KO35" s="339">
        <v>6.6875</v>
      </c>
      <c r="KP35" s="339">
        <v>0.13750000000000001</v>
      </c>
      <c r="KQ35" s="339">
        <v>5.3739999999999997</v>
      </c>
      <c r="KR35" s="339">
        <v>7.4375</v>
      </c>
      <c r="KS35" s="339">
        <v>0.13750000000000001</v>
      </c>
      <c r="KT35" s="339">
        <v>5.3440000000000003</v>
      </c>
      <c r="KU35" s="339">
        <v>10.25</v>
      </c>
      <c r="KV35" s="339">
        <v>0.13750000000000001</v>
      </c>
      <c r="KW35" s="334">
        <v>5.2</v>
      </c>
      <c r="KX35" s="334">
        <v>11.3125</v>
      </c>
      <c r="KY35" s="334">
        <v>0.13750000000000001</v>
      </c>
      <c r="KZ35" s="334">
        <v>5.2</v>
      </c>
      <c r="LA35" s="334">
        <v>9.6875</v>
      </c>
      <c r="LB35" s="334">
        <v>0.13750000000000001</v>
      </c>
      <c r="LC35" s="334">
        <v>5.2</v>
      </c>
      <c r="LD35" s="334">
        <v>10.5</v>
      </c>
      <c r="LE35" s="334">
        <v>0.13800000000000001</v>
      </c>
      <c r="LF35" s="334">
        <v>5.2</v>
      </c>
      <c r="LG35" s="334">
        <v>11.438000000000001</v>
      </c>
      <c r="LH35" s="334">
        <v>0.27500000000000002</v>
      </c>
      <c r="LI35" s="334">
        <v>5.2</v>
      </c>
      <c r="LJ35" s="334">
        <v>14.313000000000001</v>
      </c>
      <c r="LK35" s="334">
        <v>0.27500000000000002</v>
      </c>
      <c r="LL35" s="334">
        <v>5.14</v>
      </c>
      <c r="LM35" s="334">
        <v>18.875</v>
      </c>
      <c r="LN35" s="334">
        <v>0.27500000000000002</v>
      </c>
      <c r="LO35" s="334">
        <v>5.1379999999999999</v>
      </c>
      <c r="LP35" s="334">
        <v>18.3125</v>
      </c>
      <c r="LQ35" s="334">
        <v>0.27500000000000002</v>
      </c>
      <c r="LR35" s="334">
        <v>5.0439999999999996</v>
      </c>
      <c r="LS35" s="334">
        <v>18.875</v>
      </c>
      <c r="LT35" s="334">
        <v>0.27500000000000002</v>
      </c>
      <c r="LU35" s="334">
        <v>5.0439999999999996</v>
      </c>
      <c r="LV35" s="334">
        <v>23.687999999999999</v>
      </c>
      <c r="LW35" s="334">
        <v>0.53</v>
      </c>
      <c r="LX35" s="334">
        <v>4.9329999999999998</v>
      </c>
      <c r="LY35" s="334">
        <v>23.25</v>
      </c>
      <c r="LZ35" s="334">
        <v>0.53</v>
      </c>
      <c r="MA35" s="334">
        <v>4.7699999999999996</v>
      </c>
      <c r="MB35" s="334">
        <v>23.875</v>
      </c>
      <c r="MC35" s="334">
        <v>0.53</v>
      </c>
      <c r="MD35" s="334">
        <v>4.7699999999999996</v>
      </c>
      <c r="ME35" s="334">
        <v>24.25</v>
      </c>
      <c r="MF35" s="334">
        <v>0.53</v>
      </c>
      <c r="MG35" s="334">
        <v>4.7699999999999996</v>
      </c>
      <c r="MH35" s="334">
        <v>24.25</v>
      </c>
      <c r="MI35" s="334">
        <v>0.53</v>
      </c>
      <c r="MJ35" s="334">
        <v>4.7699999999999996</v>
      </c>
      <c r="MK35" s="334">
        <v>27.375</v>
      </c>
      <c r="ML35" s="334">
        <v>0.53</v>
      </c>
      <c r="MM35" s="334">
        <v>4.7699999999999996</v>
      </c>
      <c r="MN35" s="334">
        <v>27.75</v>
      </c>
      <c r="MO35" s="334">
        <v>0.53</v>
      </c>
      <c r="MP35" s="334">
        <v>4.68</v>
      </c>
      <c r="MQ35" s="334">
        <v>27</v>
      </c>
      <c r="MR35" s="334">
        <v>0.53</v>
      </c>
      <c r="MS35" s="334">
        <v>4.68</v>
      </c>
      <c r="MT35" s="334">
        <v>25.125</v>
      </c>
      <c r="MU35" s="334">
        <v>0.53</v>
      </c>
      <c r="MV35" s="334">
        <v>4.68</v>
      </c>
      <c r="MW35" s="334">
        <v>25</v>
      </c>
      <c r="MX35" s="334">
        <v>0.53</v>
      </c>
      <c r="MY35" s="334">
        <v>4.569</v>
      </c>
      <c r="MZ35" s="334">
        <v>27.875</v>
      </c>
      <c r="NA35" s="334">
        <v>0.53</v>
      </c>
      <c r="NB35" s="334">
        <v>4.569</v>
      </c>
      <c r="NC35" s="334">
        <v>24</v>
      </c>
      <c r="ND35" s="334">
        <v>0.53</v>
      </c>
      <c r="NE35" s="334">
        <v>4.55</v>
      </c>
      <c r="NF35" s="334">
        <v>24.625</v>
      </c>
      <c r="NG35" s="334">
        <v>0.53</v>
      </c>
      <c r="NH35" s="334">
        <v>4.47</v>
      </c>
      <c r="NI35" s="334">
        <v>29.75</v>
      </c>
      <c r="NJ35" s="334">
        <v>0.53</v>
      </c>
      <c r="NK35" s="334">
        <v>4.47</v>
      </c>
      <c r="NL35" s="334">
        <v>31</v>
      </c>
      <c r="NM35" s="334">
        <v>0.53</v>
      </c>
      <c r="NN35" s="334">
        <v>4.47</v>
      </c>
      <c r="NO35" s="334">
        <v>34.75</v>
      </c>
      <c r="NP35" s="334">
        <v>0.53</v>
      </c>
      <c r="NQ35" s="334">
        <v>4.4420000000000002</v>
      </c>
      <c r="NR35" s="334">
        <v>35.625</v>
      </c>
      <c r="NS35" s="334">
        <v>0.52500000000000002</v>
      </c>
      <c r="NT35" s="334">
        <v>4.415</v>
      </c>
      <c r="NU35" s="334">
        <v>34.75</v>
      </c>
      <c r="NV35" s="334">
        <v>0.52500000000000002</v>
      </c>
      <c r="NW35" s="334">
        <v>4.3310000000000004</v>
      </c>
      <c r="NX35" s="334">
        <v>33.130000000000003</v>
      </c>
      <c r="NY35" s="334">
        <v>0.53</v>
      </c>
      <c r="NZ35" s="334">
        <v>4.3310000000000004</v>
      </c>
      <c r="OA35" s="334">
        <v>32.5</v>
      </c>
      <c r="OB35" s="334">
        <v>0.53</v>
      </c>
      <c r="OC35" s="334">
        <v>4.3170000000000002</v>
      </c>
      <c r="OD35" s="334">
        <v>30</v>
      </c>
      <c r="OE35" s="334">
        <v>0.52</v>
      </c>
      <c r="OF35" s="334">
        <v>4.3049999999999997</v>
      </c>
      <c r="OG35" s="334">
        <v>29.5</v>
      </c>
      <c r="OH35" s="334">
        <v>0.52</v>
      </c>
      <c r="OI35" s="334">
        <v>3.919</v>
      </c>
      <c r="OJ35" s="334">
        <v>29.88</v>
      </c>
      <c r="OK35" s="334">
        <v>0.52</v>
      </c>
      <c r="OL35" s="334">
        <v>3.798</v>
      </c>
      <c r="OM35" s="334">
        <v>28.25</v>
      </c>
      <c r="ON35" s="334">
        <v>0.52</v>
      </c>
      <c r="OO35" s="334">
        <v>3.7850000000000001</v>
      </c>
      <c r="OP35" s="334">
        <v>25.38</v>
      </c>
      <c r="OQ35" s="334">
        <v>0.51</v>
      </c>
      <c r="OR35" s="334">
        <v>3.7730000000000001</v>
      </c>
      <c r="OS35" s="334">
        <v>26</v>
      </c>
      <c r="OT35" s="334">
        <v>0.51</v>
      </c>
      <c r="OU35" s="334">
        <v>3.7290000000000001</v>
      </c>
      <c r="OV35" s="334">
        <v>22.25</v>
      </c>
    </row>
    <row r="36" spans="1:412">
      <c r="B36" s="333" t="s">
        <v>238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504"/>
      <c r="AZ36" s="504"/>
      <c r="BA36" s="504"/>
      <c r="BB36" s="503"/>
      <c r="BC36" s="503"/>
      <c r="BD36" s="503"/>
      <c r="BE36" s="503"/>
      <c r="BF36" s="503"/>
      <c r="BG36" s="503"/>
      <c r="BH36" s="503"/>
      <c r="BI36" s="503"/>
      <c r="BJ36" s="503"/>
      <c r="BK36" s="503"/>
      <c r="BL36" s="503"/>
      <c r="BM36" s="503"/>
      <c r="BN36" s="503"/>
      <c r="BO36" s="503"/>
      <c r="BP36" s="503"/>
      <c r="BQ36" s="504"/>
      <c r="BR36" s="504"/>
      <c r="BS36" s="504"/>
      <c r="BT36" s="504"/>
      <c r="BU36" s="504"/>
      <c r="BV36" s="504"/>
      <c r="BW36" s="504"/>
      <c r="BX36" s="504"/>
      <c r="BY36" s="504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4"/>
      <c r="CS36" s="504"/>
      <c r="CT36" s="504"/>
      <c r="CU36" s="503"/>
      <c r="CV36" s="503"/>
      <c r="CW36" s="503"/>
      <c r="CX36" s="339"/>
      <c r="CY36" s="339"/>
      <c r="CZ36" s="339"/>
      <c r="DA36" s="339"/>
      <c r="DB36" s="339"/>
      <c r="DC36" s="339"/>
      <c r="DD36" s="339"/>
      <c r="DE36" s="339"/>
      <c r="DF36" s="339"/>
      <c r="DG36" s="339"/>
      <c r="DH36" s="339"/>
      <c r="DI36" s="339"/>
      <c r="DJ36" s="339"/>
      <c r="DK36" s="339"/>
      <c r="DL36" s="339"/>
      <c r="DM36" s="339"/>
      <c r="DN36" s="339"/>
      <c r="DO36" s="339"/>
      <c r="DP36" s="339"/>
      <c r="DQ36" s="339"/>
      <c r="DR36" s="339"/>
      <c r="DS36" s="339"/>
      <c r="DT36" s="339"/>
      <c r="DU36" s="339"/>
      <c r="DV36" s="339"/>
      <c r="DW36" s="339"/>
      <c r="DX36" s="339"/>
      <c r="DY36" s="339"/>
      <c r="DZ36" s="339"/>
      <c r="EA36" s="339"/>
      <c r="EB36" s="340"/>
      <c r="EC36" s="340"/>
      <c r="ED36" s="340"/>
      <c r="EE36" s="339"/>
      <c r="EF36" s="339"/>
      <c r="EG36" s="339"/>
      <c r="EH36" s="339"/>
      <c r="EI36" s="339"/>
      <c r="EJ36" s="339"/>
      <c r="EK36" s="339"/>
      <c r="EL36" s="339"/>
      <c r="EM36" s="339"/>
      <c r="EN36" s="339"/>
      <c r="EO36" s="339"/>
      <c r="EP36" s="339"/>
      <c r="EQ36" s="339"/>
      <c r="ER36" s="339"/>
      <c r="ES36" s="339"/>
      <c r="ET36" s="339"/>
      <c r="EU36" s="339"/>
      <c r="EV36" s="339"/>
      <c r="EW36" s="339"/>
      <c r="EX36" s="339"/>
      <c r="EY36" s="339"/>
      <c r="EZ36" s="339"/>
      <c r="FA36" s="339"/>
      <c r="FB36" s="339"/>
      <c r="FC36" s="339"/>
      <c r="FD36" s="339"/>
      <c r="FE36" s="339"/>
      <c r="FF36" s="339"/>
      <c r="FG36" s="339"/>
      <c r="FH36" s="342"/>
      <c r="FI36" s="339"/>
      <c r="FJ36" s="339"/>
      <c r="FK36" s="339"/>
      <c r="FL36" s="339"/>
      <c r="FM36" s="339"/>
      <c r="FN36" s="339"/>
      <c r="FO36" s="339"/>
      <c r="FP36" s="339"/>
      <c r="FQ36" s="339"/>
      <c r="FR36" s="339"/>
      <c r="FS36" s="339"/>
      <c r="FT36" s="339"/>
      <c r="FU36" s="339"/>
      <c r="FV36" s="339"/>
      <c r="FW36" s="339"/>
      <c r="FX36" s="339"/>
      <c r="FY36" s="339"/>
      <c r="FZ36" s="339"/>
      <c r="GA36" s="339"/>
      <c r="GB36" s="339"/>
      <c r="GC36" s="339"/>
      <c r="GD36" s="339"/>
      <c r="GE36" s="339"/>
      <c r="GF36" s="339"/>
      <c r="GG36" s="339"/>
      <c r="GH36" s="339"/>
      <c r="GI36" s="339"/>
      <c r="GJ36" s="339"/>
      <c r="GK36" s="339"/>
      <c r="GL36" s="339"/>
      <c r="GM36" s="339"/>
      <c r="GN36" s="339"/>
      <c r="GO36" s="339"/>
      <c r="GP36" s="339"/>
      <c r="GQ36" s="339"/>
      <c r="GR36" s="339"/>
      <c r="GS36" s="339"/>
      <c r="GT36" s="339"/>
      <c r="GU36" s="339"/>
      <c r="GV36" s="339"/>
      <c r="GW36" s="339"/>
      <c r="GX36" s="339"/>
      <c r="GY36" s="339"/>
      <c r="GZ36" s="339"/>
      <c r="HA36" s="339"/>
      <c r="HB36" s="339"/>
      <c r="HC36" s="339"/>
      <c r="HD36" s="339"/>
      <c r="HE36" s="339"/>
      <c r="HF36" s="339"/>
      <c r="HG36" s="339"/>
      <c r="HH36" s="339"/>
      <c r="HI36" s="505"/>
      <c r="HJ36" s="339"/>
      <c r="HK36" s="339"/>
      <c r="HL36" s="339"/>
      <c r="HM36" s="339"/>
      <c r="HN36" s="339"/>
      <c r="HO36" s="339"/>
      <c r="HP36" s="339"/>
      <c r="HQ36" s="339"/>
      <c r="HR36" s="339"/>
      <c r="HS36" s="339"/>
      <c r="HT36" s="339"/>
      <c r="HU36" s="339"/>
      <c r="HV36" s="339"/>
      <c r="HW36" s="339"/>
      <c r="HX36" s="506"/>
      <c r="HY36" s="513"/>
      <c r="HZ36" s="339"/>
      <c r="IA36" s="339"/>
      <c r="IB36" s="339"/>
      <c r="IC36" s="339"/>
      <c r="ID36" s="339"/>
      <c r="IE36" s="339"/>
      <c r="IF36" s="339"/>
      <c r="IG36" s="339"/>
      <c r="IH36" s="339"/>
      <c r="II36" s="339"/>
      <c r="IJ36" s="505"/>
      <c r="IK36" s="339"/>
      <c r="IL36" s="339"/>
      <c r="IM36" s="339"/>
      <c r="IN36" s="339"/>
      <c r="IO36" s="339"/>
      <c r="IP36" s="339"/>
      <c r="IQ36" s="339"/>
      <c r="IR36" s="339"/>
      <c r="IS36" s="339"/>
      <c r="IT36" s="339"/>
      <c r="IU36" s="339"/>
      <c r="IV36" s="339"/>
      <c r="IW36" s="339"/>
      <c r="IX36" s="339"/>
      <c r="IY36" s="339"/>
      <c r="IZ36" s="342"/>
      <c r="JA36" s="339"/>
      <c r="JB36" s="339"/>
      <c r="JC36" s="339"/>
      <c r="JD36" s="339"/>
      <c r="JE36" s="339"/>
      <c r="JF36" s="339"/>
      <c r="JG36" s="339"/>
      <c r="JH36" s="339"/>
      <c r="JI36" s="339"/>
      <c r="JJ36" s="339"/>
      <c r="JK36" s="339"/>
      <c r="JL36" s="339"/>
      <c r="JM36" s="339"/>
      <c r="JN36" s="339"/>
      <c r="JO36" s="339"/>
      <c r="JP36" s="339"/>
      <c r="JQ36" s="339"/>
      <c r="JR36" s="339"/>
      <c r="JS36" s="339"/>
      <c r="JT36" s="342"/>
      <c r="JU36" s="342"/>
      <c r="JV36" s="339"/>
      <c r="JW36" s="339"/>
      <c r="JX36" s="339"/>
      <c r="JY36" s="339"/>
      <c r="JZ36" s="339"/>
      <c r="KA36" s="339"/>
      <c r="KB36" s="339"/>
      <c r="KC36" s="339"/>
      <c r="KD36" s="339"/>
      <c r="KE36" s="339"/>
      <c r="KF36" s="339"/>
      <c r="KG36" s="339"/>
      <c r="KH36" s="339"/>
      <c r="KI36" s="339"/>
      <c r="KJ36" s="339"/>
      <c r="KK36" s="339"/>
      <c r="KL36" s="339"/>
      <c r="KM36" s="339"/>
      <c r="KN36" s="339"/>
      <c r="KO36" s="339"/>
      <c r="KP36" s="339"/>
      <c r="KQ36" s="339"/>
      <c r="KR36" s="339"/>
      <c r="KS36" s="339"/>
      <c r="KT36" s="339"/>
      <c r="KU36" s="339"/>
      <c r="KV36" s="339"/>
      <c r="KW36" s="334"/>
      <c r="KX36" s="334"/>
      <c r="KY36" s="334"/>
      <c r="KZ36" s="334"/>
      <c r="LA36" s="334"/>
      <c r="LB36" s="334"/>
      <c r="LC36" s="334"/>
      <c r="LD36" s="334"/>
      <c r="LE36" s="334"/>
      <c r="LF36" s="334"/>
      <c r="LG36" s="334"/>
      <c r="LH36" s="334"/>
      <c r="LI36" s="334"/>
      <c r="LJ36" s="334"/>
      <c r="LK36" s="334"/>
      <c r="LL36" s="334"/>
      <c r="LM36" s="334"/>
      <c r="LN36" s="334"/>
      <c r="LO36" s="334"/>
      <c r="LP36" s="334"/>
      <c r="LQ36" s="334"/>
      <c r="LR36" s="334"/>
      <c r="LS36" s="334"/>
      <c r="LT36" s="334"/>
      <c r="LU36" s="334"/>
      <c r="LV36" s="334"/>
      <c r="LW36" s="334"/>
      <c r="LX36" s="334"/>
      <c r="LY36" s="334"/>
      <c r="LZ36" s="334"/>
      <c r="MA36" s="334"/>
      <c r="MB36" s="334"/>
      <c r="MC36" s="334"/>
      <c r="MD36" s="334"/>
      <c r="ME36" s="334"/>
      <c r="MF36" s="334"/>
      <c r="MG36" s="334"/>
      <c r="MH36" s="334"/>
      <c r="MI36" s="334"/>
      <c r="MJ36" s="334"/>
      <c r="MK36" s="334"/>
      <c r="ML36" s="334"/>
      <c r="MM36" s="334"/>
      <c r="MN36" s="334"/>
      <c r="MO36" s="334"/>
      <c r="MP36" s="334"/>
      <c r="MQ36" s="334"/>
      <c r="MR36" s="334"/>
      <c r="MS36" s="334"/>
      <c r="MT36" s="334"/>
      <c r="MU36" s="334"/>
      <c r="MV36" s="334"/>
      <c r="MW36" s="334"/>
      <c r="MX36" s="334"/>
      <c r="MY36" s="334"/>
      <c r="MZ36" s="334"/>
      <c r="NA36" s="334"/>
      <c r="NB36" s="334"/>
      <c r="NC36" s="334"/>
      <c r="ND36" s="334"/>
      <c r="NE36" s="334"/>
      <c r="NF36" s="334"/>
      <c r="NG36" s="334"/>
      <c r="NH36" s="334"/>
      <c r="NI36" s="334"/>
      <c r="NJ36" s="334"/>
      <c r="NK36" s="334">
        <v>114.05500000000001</v>
      </c>
      <c r="NL36" s="334">
        <v>20.25</v>
      </c>
      <c r="NM36" s="334">
        <v>0</v>
      </c>
      <c r="NN36" s="334">
        <v>114.05500000000001</v>
      </c>
      <c r="NO36" s="334">
        <v>19.125</v>
      </c>
      <c r="NP36" s="334">
        <v>0</v>
      </c>
      <c r="NQ36" s="334">
        <v>114.05500000000001</v>
      </c>
      <c r="NR36" s="334">
        <v>18.5</v>
      </c>
      <c r="NS36" s="334">
        <v>0</v>
      </c>
      <c r="NT36" s="334">
        <v>114.05500000000001</v>
      </c>
      <c r="NU36" s="334">
        <v>17.75</v>
      </c>
      <c r="NV36" s="334">
        <v>0</v>
      </c>
      <c r="NW36" s="334">
        <v>114.05500000000001</v>
      </c>
      <c r="NX36" s="334">
        <v>16.25</v>
      </c>
      <c r="NY36" s="334">
        <v>0</v>
      </c>
      <c r="NZ36" s="334">
        <v>114.05500000000001</v>
      </c>
      <c r="OA36" s="334">
        <v>16.375</v>
      </c>
      <c r="OB36" s="334">
        <v>0</v>
      </c>
      <c r="OC36" s="334">
        <v>114.05500000000001</v>
      </c>
      <c r="OD36" s="334">
        <v>15.25</v>
      </c>
      <c r="OE36" s="334">
        <v>0</v>
      </c>
      <c r="OF36" s="334">
        <v>114.05500000000001</v>
      </c>
      <c r="OG36" s="334">
        <v>12.875</v>
      </c>
      <c r="OH36" s="334">
        <v>0</v>
      </c>
      <c r="OI36" s="334">
        <v>114.05500000000001</v>
      </c>
      <c r="OJ36" s="334">
        <v>10.25</v>
      </c>
      <c r="OK36" s="334">
        <v>0</v>
      </c>
      <c r="OL36" s="334">
        <v>108.05500000000001</v>
      </c>
      <c r="OM36" s="334">
        <v>10.125</v>
      </c>
      <c r="ON36" s="334">
        <v>0</v>
      </c>
      <c r="OO36" s="334">
        <v>108.05500000000001</v>
      </c>
      <c r="OP36" s="334">
        <v>9.25</v>
      </c>
      <c r="OQ36" s="334">
        <v>0</v>
      </c>
      <c r="OR36" s="334">
        <v>108.05500000000001</v>
      </c>
      <c r="OS36" s="334">
        <v>11.875</v>
      </c>
      <c r="OT36" s="334">
        <v>0</v>
      </c>
      <c r="OU36" s="334">
        <v>108.05500000000001</v>
      </c>
      <c r="OV36" s="334">
        <v>11</v>
      </c>
    </row>
    <row r="37" spans="1:412" ht="13.5" thickBot="1">
      <c r="A37" s="294" t="s">
        <v>35</v>
      </c>
      <c r="B37" s="335" t="s">
        <v>124</v>
      </c>
      <c r="C37" s="335">
        <v>114.358</v>
      </c>
      <c r="D37" s="335">
        <v>9.73</v>
      </c>
      <c r="E37" s="335">
        <v>0</v>
      </c>
      <c r="F37" s="335">
        <v>110.303</v>
      </c>
      <c r="G37" s="335">
        <v>9.68</v>
      </c>
      <c r="H37" s="335">
        <v>0</v>
      </c>
      <c r="I37" s="335">
        <v>110.218</v>
      </c>
      <c r="J37" s="335">
        <v>9.02</v>
      </c>
      <c r="K37" s="335">
        <v>0</v>
      </c>
      <c r="L37" s="335">
        <v>110.134</v>
      </c>
      <c r="M37" s="335">
        <v>11.27</v>
      </c>
      <c r="N37" s="335">
        <v>0</v>
      </c>
      <c r="O37" s="335">
        <v>109.72799999999999</v>
      </c>
      <c r="P37" s="335">
        <v>14.19</v>
      </c>
      <c r="Q37" s="335">
        <v>0</v>
      </c>
      <c r="R37" s="340">
        <v>109.57299999999999</v>
      </c>
      <c r="S37" s="340">
        <v>12.31</v>
      </c>
      <c r="T37" s="340">
        <v>0.36</v>
      </c>
      <c r="U37" s="340">
        <v>109.514</v>
      </c>
      <c r="V37" s="340">
        <v>36.200000000000003</v>
      </c>
      <c r="W37" s="340">
        <v>0.36</v>
      </c>
      <c r="X37" s="340">
        <v>109.434</v>
      </c>
      <c r="Y37" s="340">
        <v>38.4</v>
      </c>
      <c r="Z37" s="340">
        <v>0.35</v>
      </c>
      <c r="AA37" s="340">
        <v>109.47</v>
      </c>
      <c r="AB37" s="340">
        <v>41.85</v>
      </c>
      <c r="AC37" s="340">
        <v>0.35</v>
      </c>
      <c r="AD37" s="340">
        <v>109.432</v>
      </c>
      <c r="AE37" s="340">
        <v>34.659999999999997</v>
      </c>
      <c r="AF37" s="340">
        <v>0.35</v>
      </c>
      <c r="AG37" s="340">
        <v>109.361</v>
      </c>
      <c r="AH37" s="340">
        <v>40.9</v>
      </c>
      <c r="AI37" s="340">
        <v>0.35</v>
      </c>
      <c r="AJ37" s="340">
        <v>109.282</v>
      </c>
      <c r="AK37" s="340">
        <v>42.31</v>
      </c>
      <c r="AL37" s="340">
        <v>0.35</v>
      </c>
      <c r="AM37" s="340">
        <v>109.31100000000001</v>
      </c>
      <c r="AN37" s="340">
        <v>41.5</v>
      </c>
      <c r="AO37" s="340">
        <v>0.34</v>
      </c>
      <c r="AP37" s="340">
        <v>109.282</v>
      </c>
      <c r="AQ37" s="340">
        <v>40.83</v>
      </c>
      <c r="AR37" s="340">
        <v>0.34</v>
      </c>
      <c r="AS37" s="340">
        <v>109.221</v>
      </c>
      <c r="AT37" s="340">
        <v>42.28</v>
      </c>
      <c r="AU37" s="340">
        <v>0.34</v>
      </c>
      <c r="AV37" s="340">
        <v>109.14</v>
      </c>
      <c r="AW37" s="340">
        <v>44.43</v>
      </c>
      <c r="AX37" s="340">
        <v>0.34</v>
      </c>
      <c r="AY37" s="503">
        <v>109.181</v>
      </c>
      <c r="AZ37" s="503">
        <v>35.39</v>
      </c>
      <c r="BA37" s="503">
        <v>0.33</v>
      </c>
      <c r="BB37" s="504">
        <v>109.146</v>
      </c>
      <c r="BC37" s="504">
        <v>33.24</v>
      </c>
      <c r="BD37" s="504">
        <v>0.33</v>
      </c>
      <c r="BE37" s="504">
        <v>109.051</v>
      </c>
      <c r="BF37" s="504">
        <v>36.06</v>
      </c>
      <c r="BG37" s="504">
        <v>0.33</v>
      </c>
      <c r="BH37" s="504">
        <v>108.949</v>
      </c>
      <c r="BI37" s="504">
        <v>43.05</v>
      </c>
      <c r="BJ37" s="518">
        <v>0.33</v>
      </c>
      <c r="BK37" s="504">
        <v>108.973</v>
      </c>
      <c r="BL37" s="504">
        <v>46.86</v>
      </c>
      <c r="BM37" s="504">
        <v>0.32</v>
      </c>
      <c r="BN37" s="504">
        <v>108.938</v>
      </c>
      <c r="BO37" s="504">
        <v>45.61</v>
      </c>
      <c r="BP37" s="504">
        <v>0.32</v>
      </c>
      <c r="BQ37" s="504">
        <v>108.913</v>
      </c>
      <c r="BR37" s="504">
        <v>43.55</v>
      </c>
      <c r="BS37" s="504">
        <v>0.32</v>
      </c>
      <c r="BT37" s="504">
        <v>108.855</v>
      </c>
      <c r="BU37" s="504">
        <v>40.770000000000003</v>
      </c>
      <c r="BV37" s="507">
        <v>0.32</v>
      </c>
      <c r="BW37" s="504">
        <v>108.879</v>
      </c>
      <c r="BX37" s="504">
        <v>36.619999999999997</v>
      </c>
      <c r="BY37" s="504">
        <v>0.31</v>
      </c>
      <c r="BZ37" s="504">
        <v>108.842</v>
      </c>
      <c r="CA37" s="504">
        <v>35.590000000000003</v>
      </c>
      <c r="CB37" s="504">
        <v>0.31</v>
      </c>
      <c r="CC37" s="503">
        <v>108.818</v>
      </c>
      <c r="CD37" s="503">
        <v>34.299999999999997</v>
      </c>
      <c r="CE37" s="503">
        <v>0.31</v>
      </c>
      <c r="CF37" s="503">
        <v>108.786</v>
      </c>
      <c r="CG37" s="503">
        <v>34.380000000000003</v>
      </c>
      <c r="CH37" s="503">
        <v>0.31</v>
      </c>
      <c r="CI37" s="503">
        <v>108.786</v>
      </c>
      <c r="CJ37" s="503">
        <v>36.15</v>
      </c>
      <c r="CK37" s="503">
        <v>0.31</v>
      </c>
      <c r="CL37" s="503">
        <v>108.75</v>
      </c>
      <c r="CM37" s="503">
        <v>33.369999999999997</v>
      </c>
      <c r="CN37" s="503">
        <v>0.31</v>
      </c>
      <c r="CO37" s="503">
        <v>108.67400000000001</v>
      </c>
      <c r="CP37" s="503">
        <v>32.380000000000003</v>
      </c>
      <c r="CQ37" s="503">
        <v>0.31</v>
      </c>
      <c r="CR37" s="504">
        <v>108.102</v>
      </c>
      <c r="CS37" s="504">
        <v>33.31</v>
      </c>
      <c r="CT37" s="504">
        <v>0.31</v>
      </c>
      <c r="CU37" s="503">
        <v>108.268</v>
      </c>
      <c r="CV37" s="503">
        <v>33.07</v>
      </c>
      <c r="CW37" s="503">
        <v>0.31</v>
      </c>
      <c r="CX37" s="339">
        <v>107.962</v>
      </c>
      <c r="CY37" s="339">
        <v>29.85</v>
      </c>
      <c r="CZ37" s="339">
        <v>0.31</v>
      </c>
      <c r="DA37" s="339">
        <v>107.62</v>
      </c>
      <c r="DB37" s="339">
        <v>32.79</v>
      </c>
      <c r="DC37" s="339">
        <v>0.31</v>
      </c>
      <c r="DD37" s="339">
        <v>106.41800000000001</v>
      </c>
      <c r="DE37" s="339">
        <v>32.4</v>
      </c>
      <c r="DF37" s="339">
        <v>0.31</v>
      </c>
      <c r="DG37" s="339">
        <v>107.45699999999999</v>
      </c>
      <c r="DH37" s="339">
        <v>28.95</v>
      </c>
      <c r="DI37" s="339">
        <v>0.31</v>
      </c>
      <c r="DJ37" s="339">
        <v>107.41800000000001</v>
      </c>
      <c r="DK37" s="339">
        <v>28.69</v>
      </c>
      <c r="DL37" s="339">
        <v>0.31</v>
      </c>
      <c r="DM37" s="339">
        <v>103.28100000000001</v>
      </c>
      <c r="DN37" s="339">
        <v>29.73</v>
      </c>
      <c r="DO37" s="339">
        <v>0.31</v>
      </c>
      <c r="DP37" s="340">
        <v>102.56100000000001</v>
      </c>
      <c r="DQ37" s="340">
        <v>32.119999999999997</v>
      </c>
      <c r="DR37" s="340">
        <v>0.31</v>
      </c>
      <c r="DS37" s="339">
        <v>102.416</v>
      </c>
      <c r="DT37" s="339">
        <v>33.479999999999997</v>
      </c>
      <c r="DU37" s="339">
        <v>0.31</v>
      </c>
      <c r="DV37" s="339">
        <v>101.495</v>
      </c>
      <c r="DW37" s="339">
        <v>26.55</v>
      </c>
      <c r="DX37" s="339">
        <v>0.31</v>
      </c>
      <c r="DY37" s="339">
        <v>101.38200000000001</v>
      </c>
      <c r="DZ37" s="339">
        <v>25.32</v>
      </c>
      <c r="EA37" s="339">
        <v>0.31</v>
      </c>
      <c r="EB37" s="340">
        <v>98.968000000000004</v>
      </c>
      <c r="EC37" s="340">
        <v>25.42</v>
      </c>
      <c r="ED37" s="340">
        <v>0.31</v>
      </c>
      <c r="EE37" s="339">
        <v>99.203999999999994</v>
      </c>
      <c r="EF37" s="339">
        <v>26.06</v>
      </c>
      <c r="EG37" s="339">
        <v>0.31</v>
      </c>
      <c r="EH37" s="339">
        <v>98.66</v>
      </c>
      <c r="EI37" s="339">
        <v>25.1</v>
      </c>
      <c r="EJ37" s="339">
        <v>0.31</v>
      </c>
      <c r="EK37" s="339">
        <v>98.135000000000005</v>
      </c>
      <c r="EL37" s="339">
        <v>25.31</v>
      </c>
      <c r="EM37" s="339">
        <v>0.31</v>
      </c>
      <c r="EN37" s="340">
        <v>96.908000000000001</v>
      </c>
      <c r="EO37" s="340">
        <v>27.71</v>
      </c>
      <c r="EP37" s="340">
        <v>0.31</v>
      </c>
      <c r="EQ37" s="339">
        <v>97.156999999999996</v>
      </c>
      <c r="ER37" s="339">
        <v>25.14</v>
      </c>
      <c r="ES37" s="339">
        <v>0.31</v>
      </c>
      <c r="ET37" s="339">
        <v>96.692999999999998</v>
      </c>
      <c r="EU37" s="339">
        <v>26.31</v>
      </c>
      <c r="EV37" s="339">
        <v>0.31</v>
      </c>
      <c r="EW37" s="339">
        <v>96.167000000000002</v>
      </c>
      <c r="EX37" s="339">
        <v>28.54</v>
      </c>
      <c r="EY37" s="339">
        <v>0.31</v>
      </c>
      <c r="EZ37" s="340">
        <v>95.51</v>
      </c>
      <c r="FA37" s="340">
        <v>25.35</v>
      </c>
      <c r="FB37" s="340">
        <v>0.31</v>
      </c>
      <c r="FC37" s="339">
        <v>95.873000000000005</v>
      </c>
      <c r="FD37" s="339">
        <v>26.48</v>
      </c>
      <c r="FE37" s="339">
        <v>0.31</v>
      </c>
      <c r="FF37" s="339">
        <v>95.393000000000001</v>
      </c>
      <c r="FG37" s="339">
        <v>24.28</v>
      </c>
      <c r="FH37" s="339">
        <v>0.31</v>
      </c>
      <c r="FI37" s="339">
        <v>94.816999999999993</v>
      </c>
      <c r="FJ37" s="339">
        <v>24.06</v>
      </c>
      <c r="FK37" s="339">
        <v>0.31</v>
      </c>
      <c r="FL37" s="339">
        <v>94.230999999999995</v>
      </c>
      <c r="FM37" s="339">
        <v>24.8</v>
      </c>
      <c r="FN37" s="339">
        <v>0.31</v>
      </c>
      <c r="FO37" s="339">
        <v>93.698999999999998</v>
      </c>
      <c r="FP37" s="339">
        <v>22.79</v>
      </c>
      <c r="FQ37" s="339">
        <v>0.31</v>
      </c>
      <c r="FR37" s="339">
        <v>93.159000000000006</v>
      </c>
      <c r="FS37" s="339">
        <v>22.54</v>
      </c>
      <c r="FT37" s="339">
        <v>0.31</v>
      </c>
      <c r="FU37" s="339">
        <v>92.572000000000003</v>
      </c>
      <c r="FV37" s="339">
        <v>22.78</v>
      </c>
      <c r="FW37" s="339">
        <v>0.31</v>
      </c>
      <c r="FX37" s="339">
        <v>92.055999999999997</v>
      </c>
      <c r="FY37" s="339">
        <v>22.45</v>
      </c>
      <c r="FZ37" s="339">
        <v>0.31</v>
      </c>
      <c r="GA37" s="339">
        <v>91.522000000000006</v>
      </c>
      <c r="GB37" s="339">
        <v>20.9</v>
      </c>
      <c r="GC37" s="339">
        <v>0.31</v>
      </c>
      <c r="GD37" s="339">
        <v>91.384</v>
      </c>
      <c r="GE37" s="339">
        <v>18.12</v>
      </c>
      <c r="GF37" s="339">
        <v>0.31</v>
      </c>
      <c r="GG37" s="339">
        <v>90.603999999999999</v>
      </c>
      <c r="GH37" s="339">
        <v>19.059999999999999</v>
      </c>
      <c r="GI37" s="339">
        <v>0.31</v>
      </c>
      <c r="GJ37" s="339">
        <v>86.36</v>
      </c>
      <c r="GK37" s="339">
        <v>13.74</v>
      </c>
      <c r="GL37" s="339">
        <v>0.31</v>
      </c>
      <c r="GM37" s="339">
        <v>84.625</v>
      </c>
      <c r="GN37" s="339">
        <v>22.14</v>
      </c>
      <c r="GO37" s="339">
        <v>0.31</v>
      </c>
      <c r="GP37" s="339">
        <v>84.052000000000007</v>
      </c>
      <c r="GQ37" s="339">
        <v>29.11</v>
      </c>
      <c r="GR37" s="339">
        <v>0.31</v>
      </c>
      <c r="GS37" s="339">
        <v>83.471999999999994</v>
      </c>
      <c r="GT37" s="339">
        <v>24.73</v>
      </c>
      <c r="GU37" s="339">
        <v>0.31</v>
      </c>
      <c r="GV37" s="339">
        <v>82.215000000000003</v>
      </c>
      <c r="GW37" s="339">
        <v>23.87</v>
      </c>
      <c r="GX37" s="339">
        <v>0.31</v>
      </c>
      <c r="GY37" s="339">
        <v>82.480999999999995</v>
      </c>
      <c r="GZ37" s="339">
        <v>22.77</v>
      </c>
      <c r="HA37" s="339">
        <v>0.31</v>
      </c>
      <c r="HB37" s="339">
        <v>81.906999999999996</v>
      </c>
      <c r="HC37" s="339">
        <v>21.71</v>
      </c>
      <c r="HD37" s="339">
        <v>0.31</v>
      </c>
      <c r="HE37" s="339">
        <v>81.447999999999993</v>
      </c>
      <c r="HF37" s="339">
        <v>23.69</v>
      </c>
      <c r="HG37" s="339">
        <v>0.31</v>
      </c>
      <c r="HH37" s="339">
        <v>81.144999999999996</v>
      </c>
      <c r="HI37" s="505">
        <v>25.99</v>
      </c>
      <c r="HJ37" s="339">
        <v>0.31</v>
      </c>
      <c r="HK37" s="339">
        <v>81.212999999999994</v>
      </c>
      <c r="HL37" s="339">
        <v>27.15</v>
      </c>
      <c r="HM37" s="339">
        <v>0.31</v>
      </c>
      <c r="HN37" s="339">
        <v>81.099999999999994</v>
      </c>
      <c r="HO37" s="339">
        <v>27.06</v>
      </c>
      <c r="HP37" s="339">
        <v>0.31</v>
      </c>
      <c r="HQ37" s="339">
        <v>80.980999999999995</v>
      </c>
      <c r="HR37" s="339">
        <v>27.91</v>
      </c>
      <c r="HS37" s="339">
        <v>0.31</v>
      </c>
      <c r="HT37" s="339">
        <v>80.924999999999997</v>
      </c>
      <c r="HU37" s="339">
        <v>27.13</v>
      </c>
      <c r="HV37" s="339">
        <v>0.31</v>
      </c>
      <c r="HW37" s="339">
        <v>80.903000000000006</v>
      </c>
      <c r="HX37" s="506">
        <v>25.9</v>
      </c>
      <c r="HY37" s="513">
        <f>1.24/4</f>
        <v>0.31</v>
      </c>
      <c r="HZ37" s="339">
        <v>80.813999999999993</v>
      </c>
      <c r="IA37" s="339">
        <v>27.88</v>
      </c>
      <c r="IB37" s="339">
        <v>0.31</v>
      </c>
      <c r="IC37" s="339">
        <v>80.700999999999993</v>
      </c>
      <c r="ID37" s="339">
        <v>26.81</v>
      </c>
      <c r="IE37" s="339">
        <v>0.31</v>
      </c>
      <c r="IF37" s="339">
        <v>80.509</v>
      </c>
      <c r="IG37" s="339">
        <v>25.52</v>
      </c>
      <c r="IH37" s="339">
        <v>0.31</v>
      </c>
      <c r="II37" s="339">
        <v>80.509</v>
      </c>
      <c r="IJ37" s="505">
        <v>29.15</v>
      </c>
      <c r="IK37" s="339">
        <v>0.31</v>
      </c>
      <c r="IL37" s="339">
        <v>80.349999999999994</v>
      </c>
      <c r="IM37" s="339">
        <v>26.54</v>
      </c>
      <c r="IN37" s="339">
        <v>0.31</v>
      </c>
      <c r="IO37" s="339">
        <v>76.738</v>
      </c>
      <c r="IP37" s="339">
        <v>26.1</v>
      </c>
      <c r="IQ37" s="339">
        <v>0.31</v>
      </c>
      <c r="IR37" s="339">
        <v>75.542000000000002</v>
      </c>
      <c r="IS37" s="339">
        <v>25.92</v>
      </c>
      <c r="IT37" s="339">
        <v>0.31</v>
      </c>
      <c r="IU37" s="339">
        <v>75.031999999999996</v>
      </c>
      <c r="IV37" s="339">
        <v>23.684999999999999</v>
      </c>
      <c r="IW37" s="339">
        <v>0.31</v>
      </c>
      <c r="IX37" s="339">
        <v>74.39</v>
      </c>
      <c r="IY37" s="339">
        <v>21.765000000000001</v>
      </c>
      <c r="IZ37" s="339">
        <v>0.31</v>
      </c>
      <c r="JA37" s="339">
        <v>73.793999999999997</v>
      </c>
      <c r="JB37" s="339">
        <v>22.925000000000001</v>
      </c>
      <c r="JC37" s="339">
        <v>0.31</v>
      </c>
      <c r="JD37" s="339">
        <v>73.316000000000003</v>
      </c>
      <c r="JE37" s="339">
        <v>20.38</v>
      </c>
      <c r="JF37" s="339">
        <v>0.31</v>
      </c>
      <c r="JG37" s="339">
        <v>72.87</v>
      </c>
      <c r="JH37" s="339">
        <v>21.99</v>
      </c>
      <c r="JI37" s="339">
        <v>0.31</v>
      </c>
      <c r="JJ37" s="339">
        <v>72.378</v>
      </c>
      <c r="JK37" s="339">
        <v>21.55</v>
      </c>
      <c r="JL37" s="339">
        <v>0.31</v>
      </c>
      <c r="JM37" s="339">
        <v>71.635999999999996</v>
      </c>
      <c r="JN37" s="339">
        <v>21.274999999999999</v>
      </c>
      <c r="JO37" s="339">
        <v>0.31</v>
      </c>
      <c r="JP37" s="339">
        <v>69.287999999999997</v>
      </c>
      <c r="JQ37" s="339">
        <v>22.004999999999999</v>
      </c>
      <c r="JR37" s="339">
        <v>0.31</v>
      </c>
      <c r="JS37" s="339">
        <v>67.432000000000002</v>
      </c>
      <c r="JT37" s="339">
        <v>20.14</v>
      </c>
      <c r="JU37" s="339">
        <v>0.31</v>
      </c>
      <c r="JV37" s="339">
        <v>66.962000000000003</v>
      </c>
      <c r="JW37" s="339">
        <v>19.5</v>
      </c>
      <c r="JX37" s="339">
        <v>0.31</v>
      </c>
      <c r="JY37" s="339">
        <v>66.317999999999998</v>
      </c>
      <c r="JZ37" s="339">
        <v>19.100000000000001</v>
      </c>
      <c r="KA37" s="339">
        <v>0.31</v>
      </c>
      <c r="KB37" s="339">
        <v>65.727999999999994</v>
      </c>
      <c r="KC37" s="339">
        <v>18.475000000000001</v>
      </c>
      <c r="KD37" s="339">
        <v>0.31</v>
      </c>
      <c r="KE37" s="339">
        <v>65.584000000000003</v>
      </c>
      <c r="KF37" s="339">
        <v>18.59375</v>
      </c>
      <c r="KG37" s="339">
        <v>0.31</v>
      </c>
      <c r="KH37" s="339">
        <v>64.805999999999997</v>
      </c>
      <c r="KI37" s="339">
        <v>17.4375</v>
      </c>
      <c r="KJ37" s="339">
        <v>0.31</v>
      </c>
      <c r="KK37" s="339">
        <v>64.531999999999996</v>
      </c>
      <c r="KL37" s="339">
        <v>16.40625</v>
      </c>
      <c r="KM37" s="339">
        <v>0.31</v>
      </c>
      <c r="KN37" s="339">
        <v>64.376000000000005</v>
      </c>
      <c r="KO37" s="339">
        <v>15.90625</v>
      </c>
      <c r="KP37" s="339">
        <v>0.31</v>
      </c>
      <c r="KQ37" s="339">
        <v>64.406000000000006</v>
      </c>
      <c r="KR37" s="339">
        <v>14.4375</v>
      </c>
      <c r="KS37" s="339">
        <v>0.31</v>
      </c>
      <c r="KT37" s="339">
        <v>64.366</v>
      </c>
      <c r="KU37" s="339">
        <v>17.59375</v>
      </c>
      <c r="KV37" s="339">
        <v>0.31</v>
      </c>
      <c r="KW37" s="334">
        <v>32.200000000000003</v>
      </c>
      <c r="KX37" s="334">
        <v>17.75</v>
      </c>
      <c r="KY37" s="334">
        <v>0.31</v>
      </c>
      <c r="KZ37" s="334">
        <v>30.47</v>
      </c>
      <c r="LA37" s="334">
        <v>35.0625</v>
      </c>
      <c r="LB37" s="334">
        <v>0.62</v>
      </c>
      <c r="LC37" s="334">
        <v>30.47</v>
      </c>
      <c r="LD37" s="334">
        <v>40.25</v>
      </c>
      <c r="LE37" s="334">
        <v>0.62</v>
      </c>
      <c r="LF37" s="334">
        <v>30.47</v>
      </c>
      <c r="LG37" s="334">
        <v>41.25</v>
      </c>
      <c r="LH37" s="334">
        <v>0.62</v>
      </c>
      <c r="LI37" s="334">
        <v>30.47</v>
      </c>
      <c r="LJ37" s="334">
        <v>39.688000000000002</v>
      </c>
      <c r="LK37" s="334">
        <v>0.62</v>
      </c>
      <c r="LL37" s="334">
        <v>30.47</v>
      </c>
      <c r="LM37" s="334">
        <v>41.5</v>
      </c>
      <c r="LN37" s="334">
        <v>0.62</v>
      </c>
      <c r="LO37" s="334">
        <v>30.465</v>
      </c>
      <c r="LP37" s="334">
        <v>40.875</v>
      </c>
      <c r="LQ37" s="334">
        <v>0.61</v>
      </c>
      <c r="LR37" s="334">
        <v>30.96</v>
      </c>
      <c r="LS37" s="334">
        <v>37.4375</v>
      </c>
      <c r="LT37" s="334">
        <v>0.61</v>
      </c>
      <c r="LU37" s="334">
        <v>30.96</v>
      </c>
      <c r="LV37" s="334">
        <v>38.625</v>
      </c>
      <c r="LW37" s="334">
        <v>0.61</v>
      </c>
      <c r="LX37" s="334">
        <v>30.465</v>
      </c>
      <c r="LY37" s="334">
        <v>33.875</v>
      </c>
      <c r="LZ37" s="334">
        <v>0.61</v>
      </c>
      <c r="MA37" s="334">
        <v>30.465</v>
      </c>
      <c r="MB37" s="334">
        <v>36.125</v>
      </c>
      <c r="MC37" s="334">
        <v>0.61</v>
      </c>
      <c r="MD37" s="334">
        <v>29.331</v>
      </c>
      <c r="ME37" s="334">
        <v>34.125</v>
      </c>
      <c r="MF37" s="334">
        <v>0.6</v>
      </c>
      <c r="MG37" s="334">
        <v>29.331</v>
      </c>
      <c r="MH37" s="334">
        <v>35.5</v>
      </c>
      <c r="MI37" s="334">
        <v>0.6</v>
      </c>
      <c r="MJ37" s="334">
        <v>29.331</v>
      </c>
      <c r="MK37" s="334">
        <v>35</v>
      </c>
      <c r="ML37" s="334">
        <v>0.6</v>
      </c>
      <c r="MM37" s="334">
        <v>29.331</v>
      </c>
      <c r="MN37" s="334">
        <v>38.75</v>
      </c>
      <c r="MO37" s="334">
        <v>0.6</v>
      </c>
      <c r="MP37" s="334">
        <v>28.254999999999999</v>
      </c>
      <c r="MQ37" s="334">
        <v>38</v>
      </c>
      <c r="MR37" s="334">
        <v>0.59</v>
      </c>
      <c r="MS37" s="334">
        <v>28.254999999999999</v>
      </c>
      <c r="MT37" s="334">
        <v>36.375</v>
      </c>
      <c r="MU37" s="334">
        <v>0.59</v>
      </c>
      <c r="MV37" s="334">
        <v>28.254999999999999</v>
      </c>
      <c r="MW37" s="334">
        <v>33.5</v>
      </c>
      <c r="MX37" s="334">
        <v>0.59</v>
      </c>
      <c r="MY37" s="334">
        <v>28.254999999999999</v>
      </c>
      <c r="MZ37" s="334">
        <v>32.375</v>
      </c>
      <c r="NA37" s="334">
        <v>0.59</v>
      </c>
      <c r="NB37" s="334">
        <v>28.254999999999999</v>
      </c>
      <c r="NC37" s="334">
        <v>31.625</v>
      </c>
      <c r="ND37" s="334">
        <v>0.57999999999999996</v>
      </c>
      <c r="NE37" s="334">
        <v>27.891999999999999</v>
      </c>
      <c r="NF37" s="334">
        <v>31</v>
      </c>
      <c r="NG37" s="334">
        <v>0.57999999999999996</v>
      </c>
      <c r="NH37" s="334">
        <v>26.247</v>
      </c>
      <c r="NI37" s="334">
        <v>32.375</v>
      </c>
      <c r="NJ37" s="334">
        <v>0.57999999999999996</v>
      </c>
      <c r="NK37" s="334">
        <v>26.247</v>
      </c>
      <c r="NL37" s="334">
        <v>35.875</v>
      </c>
      <c r="NM37" s="334">
        <v>0.57999999999999996</v>
      </c>
      <c r="NN37" s="334">
        <v>26.247</v>
      </c>
      <c r="NO37" s="334">
        <v>38.25</v>
      </c>
      <c r="NP37" s="334">
        <v>0.56999999999999995</v>
      </c>
      <c r="NQ37" s="334">
        <v>25.084</v>
      </c>
      <c r="NR37" s="334">
        <v>38</v>
      </c>
      <c r="NS37" s="334">
        <v>0.56999999999999995</v>
      </c>
      <c r="NT37" s="334">
        <v>24.86</v>
      </c>
      <c r="NU37" s="334">
        <v>38.125</v>
      </c>
      <c r="NV37" s="334">
        <v>0.56999999999999995</v>
      </c>
      <c r="NW37" s="334">
        <v>24.161000000000001</v>
      </c>
      <c r="NX37" s="334">
        <v>37.25</v>
      </c>
      <c r="NY37" s="334">
        <v>0.6</v>
      </c>
      <c r="NZ37" s="334">
        <v>24.161000000000001</v>
      </c>
      <c r="OA37" s="334">
        <v>41.75</v>
      </c>
      <c r="OB37" s="334">
        <v>0.56000000000000005</v>
      </c>
      <c r="OC37" s="334">
        <v>24.053999999999998</v>
      </c>
      <c r="OD37" s="334">
        <v>39.75</v>
      </c>
      <c r="OE37" s="334">
        <v>0.56000000000000005</v>
      </c>
      <c r="OF37" s="334">
        <v>23.942</v>
      </c>
      <c r="OG37" s="334">
        <v>36.25</v>
      </c>
      <c r="OH37" s="334">
        <v>0.56000000000000005</v>
      </c>
      <c r="OI37" s="334">
        <v>22.882000000000001</v>
      </c>
      <c r="OJ37" s="334">
        <v>36.75</v>
      </c>
      <c r="OK37" s="334">
        <v>0.56000000000000005</v>
      </c>
      <c r="OL37" s="334">
        <v>22.59</v>
      </c>
      <c r="OM37" s="334">
        <v>35.630000000000003</v>
      </c>
      <c r="ON37" s="334">
        <v>0.55000000000000004</v>
      </c>
      <c r="OO37" s="334">
        <v>22.117999999999999</v>
      </c>
      <c r="OP37" s="334">
        <v>31.88</v>
      </c>
      <c r="OQ37" s="334">
        <v>0.55000000000000004</v>
      </c>
      <c r="OR37" s="334">
        <v>21.968</v>
      </c>
      <c r="OS37" s="334">
        <v>33.25</v>
      </c>
      <c r="OT37" s="334">
        <v>0.55000000000000004</v>
      </c>
      <c r="OU37" s="334">
        <v>21.559000000000001</v>
      </c>
      <c r="OV37" s="334">
        <v>31.63</v>
      </c>
    </row>
    <row r="38" spans="1:412" ht="13.5" thickBot="1">
      <c r="A38" s="294" t="s">
        <v>27</v>
      </c>
      <c r="B38" s="335" t="s">
        <v>125</v>
      </c>
      <c r="C38" s="335">
        <v>647.79700000000003</v>
      </c>
      <c r="D38" s="335">
        <v>31.73</v>
      </c>
      <c r="E38" s="335">
        <v>0.22</v>
      </c>
      <c r="F38" s="335">
        <v>640.75400000000002</v>
      </c>
      <c r="G38" s="335">
        <v>29.42</v>
      </c>
      <c r="H38" s="335">
        <v>0.21</v>
      </c>
      <c r="I38" s="335">
        <v>632.22799999999995</v>
      </c>
      <c r="J38" s="335">
        <v>30.98</v>
      </c>
      <c r="K38" s="335">
        <v>0.2</v>
      </c>
      <c r="L38" s="335">
        <v>631.226</v>
      </c>
      <c r="M38" s="335">
        <v>28.49</v>
      </c>
      <c r="N38" s="335">
        <v>0.2</v>
      </c>
      <c r="O38" s="335">
        <v>631.18499999999995</v>
      </c>
      <c r="P38" s="335">
        <v>28.57</v>
      </c>
      <c r="Q38" s="335">
        <v>0.2</v>
      </c>
      <c r="R38" s="340">
        <v>631.05700000000002</v>
      </c>
      <c r="S38" s="340">
        <v>26.85</v>
      </c>
      <c r="T38" s="340">
        <v>0.2</v>
      </c>
      <c r="U38" s="340">
        <v>630.30899999999997</v>
      </c>
      <c r="V38" s="340">
        <v>29.15</v>
      </c>
      <c r="W38" s="340">
        <v>0.19</v>
      </c>
      <c r="X38" s="340">
        <v>629.41499999999996</v>
      </c>
      <c r="Y38" s="340">
        <v>29.46</v>
      </c>
      <c r="Z38" s="340">
        <v>0.19</v>
      </c>
      <c r="AA38" s="340">
        <v>629.50900000000001</v>
      </c>
      <c r="AB38" s="340">
        <v>29.99</v>
      </c>
      <c r="AC38" s="340">
        <v>0.19</v>
      </c>
      <c r="AD38" s="340">
        <v>629.47500000000002</v>
      </c>
      <c r="AE38" s="340">
        <v>28.18</v>
      </c>
      <c r="AF38" s="340">
        <v>0.18</v>
      </c>
      <c r="AG38" s="340">
        <v>629.13400000000001</v>
      </c>
      <c r="AH38" s="340">
        <v>29.58</v>
      </c>
      <c r="AI38" s="340">
        <v>0.17</v>
      </c>
      <c r="AJ38" s="340">
        <v>592.93299999999999</v>
      </c>
      <c r="AK38" s="340">
        <v>30.64</v>
      </c>
      <c r="AL38" s="340">
        <v>0.17</v>
      </c>
      <c r="AM38" s="340">
        <v>604.60699999999997</v>
      </c>
      <c r="AN38" s="340">
        <v>27.91</v>
      </c>
      <c r="AO38" s="340">
        <v>0.17</v>
      </c>
      <c r="AP38" s="340">
        <v>585.72</v>
      </c>
      <c r="AQ38" s="340">
        <v>24.6</v>
      </c>
      <c r="AR38" s="340">
        <v>0.16</v>
      </c>
      <c r="AS38" s="340">
        <v>551.54600000000005</v>
      </c>
      <c r="AT38" s="340">
        <v>24.52</v>
      </c>
      <c r="AU38" s="340">
        <v>0.16</v>
      </c>
      <c r="AV38" s="340">
        <v>531.03099999999995</v>
      </c>
      <c r="AW38" s="340">
        <v>22.65</v>
      </c>
      <c r="AX38" s="340">
        <v>0.16</v>
      </c>
      <c r="AY38" s="503">
        <v>544.81100000000004</v>
      </c>
      <c r="AZ38" s="503">
        <v>21.64</v>
      </c>
      <c r="BA38" s="503">
        <v>0.16</v>
      </c>
      <c r="BB38" s="504">
        <v>528.06600000000003</v>
      </c>
      <c r="BC38" s="504">
        <v>19.350000000000001</v>
      </c>
      <c r="BD38" s="504">
        <v>0.15</v>
      </c>
      <c r="BE38" s="504">
        <v>502.38799999999998</v>
      </c>
      <c r="BF38" s="504">
        <v>18.670000000000002</v>
      </c>
      <c r="BG38" s="522">
        <v>0.15</v>
      </c>
      <c r="BH38" s="504">
        <v>502.05</v>
      </c>
      <c r="BI38" s="504">
        <v>15.45</v>
      </c>
      <c r="BJ38" s="518">
        <v>0.28999999999999998</v>
      </c>
      <c r="BK38" s="504">
        <v>502.22800000000001</v>
      </c>
      <c r="BL38" s="504">
        <v>27.27</v>
      </c>
      <c r="BM38" s="504">
        <v>0.28749999999999998</v>
      </c>
      <c r="BN38" s="504">
        <v>502.2</v>
      </c>
      <c r="BO38" s="504">
        <v>30.18</v>
      </c>
      <c r="BP38" s="504">
        <v>0.28749999999999998</v>
      </c>
      <c r="BQ38" s="504">
        <v>501.52100000000002</v>
      </c>
      <c r="BR38" s="504">
        <v>28.63</v>
      </c>
      <c r="BS38" s="504">
        <v>0.28749999999999998</v>
      </c>
      <c r="BT38" s="504">
        <v>448.82900000000001</v>
      </c>
      <c r="BU38" s="504">
        <v>30.7</v>
      </c>
      <c r="BV38" s="504">
        <v>0.28749999999999998</v>
      </c>
      <c r="BW38" s="504">
        <v>431.55399999999997</v>
      </c>
      <c r="BX38" s="504">
        <v>28.23</v>
      </c>
      <c r="BY38" s="507">
        <v>0.28749999999999998</v>
      </c>
      <c r="BZ38" s="504">
        <v>431.52300000000002</v>
      </c>
      <c r="CA38" s="504">
        <v>27.65</v>
      </c>
      <c r="CB38" s="504">
        <v>0.27750000000000002</v>
      </c>
      <c r="CC38" s="503">
        <v>431.23099999999999</v>
      </c>
      <c r="CD38" s="503">
        <v>27.71</v>
      </c>
      <c r="CE38" s="503">
        <v>0.27750000000000002</v>
      </c>
      <c r="CF38" s="503">
        <v>431.03800000000001</v>
      </c>
      <c r="CG38" s="503">
        <v>27.4</v>
      </c>
      <c r="CH38" s="508">
        <v>0.27750000000000002</v>
      </c>
      <c r="CI38" s="503">
        <v>431.02600000000001</v>
      </c>
      <c r="CJ38" s="503">
        <v>28.36</v>
      </c>
      <c r="CK38" s="503">
        <v>0.26750000000000002</v>
      </c>
      <c r="CL38" s="503">
        <v>430.99599999999998</v>
      </c>
      <c r="CM38" s="503">
        <v>29.21</v>
      </c>
      <c r="CN38" s="503">
        <v>0.26750000000000002</v>
      </c>
      <c r="CO38" s="503">
        <v>430.79399999999998</v>
      </c>
      <c r="CP38" s="503">
        <v>27.38</v>
      </c>
      <c r="CQ38" s="503">
        <v>0.26750000000000002</v>
      </c>
      <c r="CR38" s="504">
        <v>430.60599999999999</v>
      </c>
      <c r="CS38" s="504">
        <v>27.57</v>
      </c>
      <c r="CT38" s="514">
        <v>0.26750000000000002</v>
      </c>
      <c r="CU38" s="503">
        <v>430.68200000000002</v>
      </c>
      <c r="CV38" s="503">
        <v>24.64</v>
      </c>
      <c r="CW38" s="503">
        <v>0.25750000000000001</v>
      </c>
      <c r="CX38" s="339">
        <v>430.65300000000002</v>
      </c>
      <c r="CY38" s="339">
        <v>23.23</v>
      </c>
      <c r="CZ38" s="339">
        <v>0.25750000000000001</v>
      </c>
      <c r="DA38" s="339">
        <v>430.40699999999998</v>
      </c>
      <c r="DB38" s="339">
        <v>24</v>
      </c>
      <c r="DC38" s="339">
        <v>0.25750000000000001</v>
      </c>
      <c r="DD38" s="339">
        <v>430.18</v>
      </c>
      <c r="DE38" s="339">
        <v>20.92</v>
      </c>
      <c r="DF38" s="511">
        <v>0.25750000000000001</v>
      </c>
      <c r="DG38" s="339">
        <v>430.262</v>
      </c>
      <c r="DH38" s="339">
        <v>18.36</v>
      </c>
      <c r="DI38" s="339">
        <v>0.2475</v>
      </c>
      <c r="DJ38" s="339">
        <v>430.23500000000001</v>
      </c>
      <c r="DK38" s="339">
        <v>18.04</v>
      </c>
      <c r="DL38" s="339">
        <v>0.2475</v>
      </c>
      <c r="DM38" s="339">
        <v>429.95499999999998</v>
      </c>
      <c r="DN38" s="339">
        <v>19.03</v>
      </c>
      <c r="DO38" s="339">
        <v>0.2475</v>
      </c>
      <c r="DP38" s="340">
        <v>429.79599999999999</v>
      </c>
      <c r="DQ38" s="340">
        <v>20.41</v>
      </c>
      <c r="DR38" s="515">
        <v>0.2475</v>
      </c>
      <c r="DS38" s="339">
        <v>429.79599999999999</v>
      </c>
      <c r="DT38" s="339">
        <v>23.43</v>
      </c>
      <c r="DU38" s="339">
        <v>0.23749999999999999</v>
      </c>
      <c r="DV38" s="339">
        <v>429.77300000000002</v>
      </c>
      <c r="DW38" s="339">
        <v>24.47</v>
      </c>
      <c r="DX38" s="339">
        <v>0.23749999999999999</v>
      </c>
      <c r="DY38" s="339">
        <v>429.16300000000001</v>
      </c>
      <c r="DZ38" s="339">
        <v>25.54</v>
      </c>
      <c r="EA38" s="339">
        <v>0.23749999999999999</v>
      </c>
      <c r="EB38" s="340">
        <v>428.46600000000001</v>
      </c>
      <c r="EC38" s="340">
        <v>23.69</v>
      </c>
      <c r="ED38" s="515">
        <v>0.23749999999999999</v>
      </c>
      <c r="EE38" s="339">
        <v>428.62799999999999</v>
      </c>
      <c r="EF38" s="339">
        <v>23.18</v>
      </c>
      <c r="EG38" s="339">
        <v>0.20749999999999999</v>
      </c>
      <c r="EH38" s="339">
        <v>428.57100000000003</v>
      </c>
      <c r="EI38" s="339">
        <v>23.97</v>
      </c>
      <c r="EJ38" s="339">
        <v>0.20749999999999999</v>
      </c>
      <c r="EK38" s="339">
        <v>427.96100000000001</v>
      </c>
      <c r="EL38" s="339">
        <v>23.49</v>
      </c>
      <c r="EM38" s="339">
        <v>0.20749999999999999</v>
      </c>
      <c r="EN38" s="340">
        <v>427.18900000000002</v>
      </c>
      <c r="EO38" s="340">
        <v>23.96</v>
      </c>
      <c r="EP38" s="515">
        <v>0.20749999999999999</v>
      </c>
      <c r="EQ38" s="339">
        <v>427.40600000000001</v>
      </c>
      <c r="ER38" s="339">
        <v>19.25</v>
      </c>
      <c r="ES38" s="339">
        <v>0.20250000000000001</v>
      </c>
      <c r="ET38" s="339">
        <v>427.34899999999999</v>
      </c>
      <c r="EU38" s="339">
        <v>21.3</v>
      </c>
      <c r="EV38" s="339">
        <v>0.20250000000000001</v>
      </c>
      <c r="EW38" s="339">
        <v>426.49900000000002</v>
      </c>
      <c r="EX38" s="339">
        <v>20.655000000000001</v>
      </c>
      <c r="EY38" s="339">
        <v>0.20250000000000001</v>
      </c>
      <c r="EZ38" s="340">
        <v>425.63600000000002</v>
      </c>
      <c r="FA38" s="340">
        <v>19.72</v>
      </c>
      <c r="FB38" s="515">
        <v>0.20250000000000001</v>
      </c>
      <c r="FC38" s="339">
        <v>425.88499999999999</v>
      </c>
      <c r="FD38" s="339">
        <v>20.09</v>
      </c>
      <c r="FE38" s="339">
        <v>0.19750000000000001</v>
      </c>
      <c r="FF38" s="339">
        <v>425.63799999999998</v>
      </c>
      <c r="FG38" s="339">
        <v>19.62</v>
      </c>
      <c r="FH38" s="339">
        <v>0.19750000000000001</v>
      </c>
      <c r="FI38" s="339">
        <v>425.01799999999997</v>
      </c>
      <c r="FJ38" s="339">
        <v>19.350000000000001</v>
      </c>
      <c r="FK38" s="339">
        <v>0.19750000000000001</v>
      </c>
      <c r="FL38" s="339">
        <v>423.86</v>
      </c>
      <c r="FM38" s="339">
        <v>17.559999999999999</v>
      </c>
      <c r="FN38" s="511">
        <v>0.19750000000000001</v>
      </c>
      <c r="FO38" s="339">
        <v>422.178</v>
      </c>
      <c r="FP38" s="339">
        <v>15.72</v>
      </c>
      <c r="FQ38" s="339">
        <v>0.19500000000000001</v>
      </c>
      <c r="FR38" s="339">
        <v>399.51499999999999</v>
      </c>
      <c r="FS38" s="339">
        <v>15.72</v>
      </c>
      <c r="FT38" s="339">
        <v>0.19500000000000001</v>
      </c>
      <c r="FU38" s="339">
        <v>392.85500000000002</v>
      </c>
      <c r="FV38" s="339">
        <v>13.16</v>
      </c>
      <c r="FW38" s="339">
        <v>0.19500000000000001</v>
      </c>
      <c r="FX38" s="339">
        <v>390.92200000000003</v>
      </c>
      <c r="FY38" s="339">
        <v>14.36</v>
      </c>
      <c r="FZ38" s="339">
        <v>0.19500000000000001</v>
      </c>
      <c r="GA38" s="339">
        <v>369.512</v>
      </c>
      <c r="GB38" s="339">
        <v>14.51</v>
      </c>
      <c r="GC38" s="339">
        <v>0.19</v>
      </c>
      <c r="GD38" s="339">
        <v>352.46100000000001</v>
      </c>
      <c r="GE38" s="339">
        <v>12.43</v>
      </c>
      <c r="GF38" s="339">
        <v>0.19</v>
      </c>
      <c r="GG38" s="339">
        <v>347.49599999999998</v>
      </c>
      <c r="GH38" s="339">
        <v>11.08</v>
      </c>
      <c r="GI38" s="339">
        <v>0.19</v>
      </c>
      <c r="GJ38" s="339">
        <v>344.54</v>
      </c>
      <c r="GK38" s="339">
        <v>10.43</v>
      </c>
      <c r="GL38" s="339">
        <v>0.19</v>
      </c>
      <c r="GM38" s="339">
        <v>342.22800000000001</v>
      </c>
      <c r="GN38" s="339">
        <v>12.62</v>
      </c>
      <c r="GO38" s="339">
        <v>0.1825</v>
      </c>
      <c r="GP38" s="339">
        <v>331.35399999999998</v>
      </c>
      <c r="GQ38" s="339">
        <v>14.57</v>
      </c>
      <c r="GR38" s="339">
        <v>0.1825</v>
      </c>
      <c r="GS38" s="339">
        <v>327.279</v>
      </c>
      <c r="GT38" s="339">
        <v>16.05</v>
      </c>
      <c r="GU38" s="339">
        <v>0.1825</v>
      </c>
      <c r="GV38" s="339">
        <v>320.48</v>
      </c>
      <c r="GW38" s="339">
        <v>14.27</v>
      </c>
      <c r="GX38" s="339">
        <v>0.1825</v>
      </c>
      <c r="GY38" s="339">
        <v>321.19200000000001</v>
      </c>
      <c r="GZ38" s="339">
        <v>17.13</v>
      </c>
      <c r="HA38" s="339">
        <v>0.17</v>
      </c>
      <c r="HB38" s="339">
        <v>320.92700000000002</v>
      </c>
      <c r="HC38" s="339">
        <v>16.03</v>
      </c>
      <c r="HD38" s="339">
        <v>0.17</v>
      </c>
      <c r="HE38" s="339">
        <v>318.06</v>
      </c>
      <c r="HF38" s="339">
        <v>17.399999999999999</v>
      </c>
      <c r="HG38" s="339">
        <v>0.17</v>
      </c>
      <c r="HH38" s="339">
        <v>311.82600000000002</v>
      </c>
      <c r="HI38" s="505">
        <v>17.940000000000001</v>
      </c>
      <c r="HJ38" s="339">
        <v>0.17</v>
      </c>
      <c r="HK38" s="339">
        <v>311.94499999999999</v>
      </c>
      <c r="HL38" s="339">
        <v>16.579999999999998</v>
      </c>
      <c r="HM38" s="339">
        <v>0.15</v>
      </c>
      <c r="HN38" s="339">
        <v>311.44</v>
      </c>
      <c r="HO38" s="339">
        <v>14.32</v>
      </c>
      <c r="HP38" s="339">
        <v>0.15</v>
      </c>
      <c r="HQ38" s="339">
        <v>310.846</v>
      </c>
      <c r="HR38" s="339">
        <v>12.5</v>
      </c>
      <c r="HS38" s="339">
        <v>0.15</v>
      </c>
      <c r="HT38" s="339">
        <v>310.14699999999999</v>
      </c>
      <c r="HU38" s="339">
        <v>11.93</v>
      </c>
      <c r="HV38" s="339">
        <v>8.7499999999999994E-2</v>
      </c>
      <c r="HW38" s="339">
        <v>309.65699999999998</v>
      </c>
      <c r="HX38" s="506">
        <v>12.85</v>
      </c>
      <c r="HY38" s="513">
        <f>0.24/4</f>
        <v>0.06</v>
      </c>
      <c r="HZ38" s="339">
        <v>309.09800000000001</v>
      </c>
      <c r="IA38" s="339">
        <v>14.87</v>
      </c>
      <c r="IB38" s="339">
        <v>7.0000000000000007E-2</v>
      </c>
      <c r="IC38" s="339">
        <v>308.47000000000003</v>
      </c>
      <c r="ID38" s="339">
        <v>13.21</v>
      </c>
      <c r="IE38" s="339">
        <v>7.0000000000000007E-2</v>
      </c>
      <c r="IF38" s="339">
        <v>307.59199999999998</v>
      </c>
      <c r="IG38" s="339">
        <v>12.03</v>
      </c>
      <c r="IH38" s="339">
        <v>0.1</v>
      </c>
      <c r="II38" s="339">
        <v>307.59199999999998</v>
      </c>
      <c r="IJ38" s="505">
        <v>11.3</v>
      </c>
      <c r="IK38" s="339">
        <v>0.1</v>
      </c>
      <c r="IL38" s="339">
        <v>307.25</v>
      </c>
      <c r="IM38" s="339">
        <v>10.36</v>
      </c>
      <c r="IN38" s="339">
        <v>0.1</v>
      </c>
      <c r="IO38" s="339">
        <v>306.012</v>
      </c>
      <c r="IP38" s="339">
        <v>11.5</v>
      </c>
      <c r="IQ38" s="339">
        <v>0.1</v>
      </c>
      <c r="IR38" s="339">
        <v>305.685</v>
      </c>
      <c r="IS38" s="339">
        <v>11.43</v>
      </c>
      <c r="IT38" s="339">
        <v>0.1</v>
      </c>
      <c r="IU38" s="339">
        <v>305.00700000000001</v>
      </c>
      <c r="IV38" s="339">
        <v>9.69</v>
      </c>
      <c r="IW38" s="339">
        <v>0.1</v>
      </c>
      <c r="IX38" s="339">
        <v>304.04599999999999</v>
      </c>
      <c r="IY38" s="339">
        <v>9.17</v>
      </c>
      <c r="IZ38" s="339">
        <v>0.1</v>
      </c>
      <c r="JA38" s="339">
        <v>301.66399999999999</v>
      </c>
      <c r="JB38" s="339">
        <v>8.15</v>
      </c>
      <c r="JC38" s="339">
        <v>0.1</v>
      </c>
      <c r="JD38" s="339">
        <v>299.233</v>
      </c>
      <c r="JE38" s="339">
        <v>7.05</v>
      </c>
      <c r="JF38" s="339">
        <v>0.1</v>
      </c>
      <c r="JG38" s="339">
        <v>298.79399999999998</v>
      </c>
      <c r="JH38" s="339">
        <v>8.5</v>
      </c>
      <c r="JI38" s="339">
        <v>0.16</v>
      </c>
      <c r="JJ38" s="339">
        <v>297.69600000000003</v>
      </c>
      <c r="JK38" s="339">
        <v>10.01</v>
      </c>
      <c r="JL38" s="517">
        <v>0.16</v>
      </c>
      <c r="JM38" s="339">
        <v>296.22199999999998</v>
      </c>
      <c r="JN38" s="339">
        <v>16.899999999999999</v>
      </c>
      <c r="JO38" s="339">
        <v>0.375</v>
      </c>
      <c r="JP38" s="339">
        <v>291.654</v>
      </c>
      <c r="JQ38" s="339">
        <v>25.79</v>
      </c>
      <c r="JR38" s="339">
        <v>0.375</v>
      </c>
      <c r="JS38" s="339">
        <v>290.31799999999998</v>
      </c>
      <c r="JT38" s="339">
        <v>26.52</v>
      </c>
      <c r="JU38" s="339">
        <v>0.375</v>
      </c>
      <c r="JV38" s="339">
        <v>289.74299999999999</v>
      </c>
      <c r="JW38" s="339">
        <v>26.32</v>
      </c>
      <c r="JX38" s="339">
        <v>0.375</v>
      </c>
      <c r="JY38" s="339">
        <v>287.33600000000001</v>
      </c>
      <c r="JZ38" s="339">
        <v>32.21</v>
      </c>
      <c r="KA38" s="339">
        <v>0.375</v>
      </c>
      <c r="KB38" s="339">
        <v>286.10900099999998</v>
      </c>
      <c r="KC38" s="339">
        <v>45.25</v>
      </c>
      <c r="KD38" s="339">
        <v>0.375</v>
      </c>
      <c r="KE38" s="339">
        <v>285.18299999999999</v>
      </c>
      <c r="KF38" s="339">
        <v>43.31</v>
      </c>
      <c r="KG38" s="339">
        <v>0.375</v>
      </c>
      <c r="KH38" s="339">
        <v>284.238</v>
      </c>
      <c r="KI38" s="339">
        <v>46.5</v>
      </c>
      <c r="KJ38" s="339">
        <v>0.375</v>
      </c>
      <c r="KK38" s="339">
        <v>283.07799999999997</v>
      </c>
      <c r="KL38" s="339">
        <v>29.56</v>
      </c>
      <c r="KM38" s="339">
        <v>0.375</v>
      </c>
      <c r="KN38" s="339">
        <v>284.42700000000002</v>
      </c>
      <c r="KO38" s="339">
        <v>23.4375</v>
      </c>
      <c r="KP38" s="339">
        <v>0.375</v>
      </c>
      <c r="KQ38" s="339">
        <v>285.28699999999998</v>
      </c>
      <c r="KR38" s="339">
        <v>22.875</v>
      </c>
      <c r="KS38" s="339">
        <v>0.375</v>
      </c>
      <c r="KT38" s="339">
        <v>285.47399999999999</v>
      </c>
      <c r="KU38" s="339">
        <v>27.0625</v>
      </c>
      <c r="KV38" s="339">
        <v>0.375</v>
      </c>
      <c r="KW38" s="334">
        <v>284.10000000000002</v>
      </c>
      <c r="KX38" s="334">
        <v>27.625</v>
      </c>
      <c r="KY38" s="334">
        <v>0.375</v>
      </c>
      <c r="KZ38" s="334">
        <v>284.2</v>
      </c>
      <c r="LA38" s="334">
        <v>26.0625</v>
      </c>
      <c r="LB38" s="334">
        <v>0.375</v>
      </c>
      <c r="LC38" s="334">
        <v>284.2</v>
      </c>
      <c r="LD38" s="334">
        <v>32.063000000000002</v>
      </c>
      <c r="LE38" s="334">
        <v>0.375</v>
      </c>
      <c r="LF38" s="334">
        <v>283.52999999999997</v>
      </c>
      <c r="LG38" s="334">
        <v>31.125</v>
      </c>
      <c r="LH38" s="334">
        <v>0.375</v>
      </c>
      <c r="LI38" s="334">
        <v>283.52999999999997</v>
      </c>
      <c r="LJ38" s="334">
        <v>30.812999999999999</v>
      </c>
      <c r="LK38" s="334">
        <v>0.375</v>
      </c>
      <c r="LL38" s="334">
        <v>263.37</v>
      </c>
      <c r="LM38" s="334">
        <v>28.75</v>
      </c>
      <c r="LN38" s="334">
        <v>0.375</v>
      </c>
      <c r="LO38" s="334">
        <v>263.37299999999999</v>
      </c>
      <c r="LP38" s="334">
        <v>26.75</v>
      </c>
      <c r="LQ38" s="334">
        <v>0.375</v>
      </c>
      <c r="LR38" s="334">
        <v>233.68899999999999</v>
      </c>
      <c r="LS38" s="334">
        <v>21.25</v>
      </c>
      <c r="LT38" s="334">
        <v>0.375</v>
      </c>
      <c r="LU38" s="334">
        <v>233.68899999999999</v>
      </c>
      <c r="LV38" s="334">
        <v>21.437999999999999</v>
      </c>
      <c r="LW38" s="334">
        <v>0.375</v>
      </c>
      <c r="LX38" s="334">
        <v>245.88800000000001</v>
      </c>
      <c r="LY38" s="334">
        <v>20.875</v>
      </c>
      <c r="LZ38" s="334">
        <v>0.375</v>
      </c>
      <c r="MA38" s="334">
        <v>245.88800000000001</v>
      </c>
      <c r="MB38" s="334">
        <v>22.625</v>
      </c>
      <c r="MC38" s="334">
        <v>0.375</v>
      </c>
      <c r="MD38" s="334">
        <v>247.196</v>
      </c>
      <c r="ME38" s="334">
        <v>22.125</v>
      </c>
      <c r="MF38" s="334">
        <v>0.375</v>
      </c>
      <c r="MG38" s="334">
        <v>247.196</v>
      </c>
      <c r="MH38" s="334">
        <v>24.625</v>
      </c>
      <c r="MI38" s="334">
        <v>0.375</v>
      </c>
      <c r="MJ38" s="334">
        <v>247.196</v>
      </c>
      <c r="MK38" s="334">
        <v>21.625</v>
      </c>
      <c r="ML38" s="334">
        <v>0.375</v>
      </c>
      <c r="MM38" s="334">
        <v>247.196</v>
      </c>
      <c r="MN38" s="334">
        <v>24.5</v>
      </c>
      <c r="MO38" s="334">
        <v>0.375</v>
      </c>
      <c r="MP38" s="334">
        <v>247.196</v>
      </c>
      <c r="MQ38" s="334">
        <v>22.062999999999999</v>
      </c>
      <c r="MR38" s="334">
        <v>0.375</v>
      </c>
      <c r="MS38" s="334">
        <v>247.196</v>
      </c>
      <c r="MT38" s="334">
        <v>21.062999999999999</v>
      </c>
      <c r="MU38" s="334">
        <v>0.375</v>
      </c>
      <c r="MV38" s="334">
        <v>247.196</v>
      </c>
      <c r="MW38" s="334">
        <v>19.0625</v>
      </c>
      <c r="MX38" s="334">
        <v>0.375</v>
      </c>
      <c r="MY38" s="334">
        <v>245.33</v>
      </c>
      <c r="MZ38" s="334">
        <v>17.8125</v>
      </c>
      <c r="NA38" s="334">
        <v>0.375</v>
      </c>
      <c r="NB38" s="334">
        <v>245.33</v>
      </c>
      <c r="NC38" s="334">
        <v>17.625</v>
      </c>
      <c r="ND38" s="334">
        <v>0.375</v>
      </c>
      <c r="NE38" s="334">
        <v>261.41399999999999</v>
      </c>
      <c r="NF38" s="334">
        <v>16.3125</v>
      </c>
      <c r="NG38" s="334">
        <v>0.375</v>
      </c>
      <c r="NH38" s="334">
        <v>260.22800000000001</v>
      </c>
      <c r="NI38" s="334">
        <v>17.75</v>
      </c>
      <c r="NJ38" s="334">
        <v>0.375</v>
      </c>
      <c r="NK38" s="334">
        <v>260.22800000000001</v>
      </c>
      <c r="NL38" s="334">
        <v>23.8125</v>
      </c>
      <c r="NM38" s="334">
        <v>0.375</v>
      </c>
      <c r="NN38" s="334">
        <v>260.22800000000001</v>
      </c>
      <c r="NO38" s="334">
        <v>23.3125</v>
      </c>
      <c r="NP38" s="334">
        <v>0.375</v>
      </c>
      <c r="NQ38" s="334">
        <v>259.69799999999998</v>
      </c>
      <c r="NR38" s="334">
        <v>21.875</v>
      </c>
      <c r="NS38" s="334">
        <v>0.375</v>
      </c>
      <c r="NT38" s="334">
        <v>259.2</v>
      </c>
      <c r="NU38" s="334">
        <v>23.375</v>
      </c>
      <c r="NV38" s="334">
        <v>0.375</v>
      </c>
      <c r="NW38" s="334">
        <v>259.02800000000002</v>
      </c>
      <c r="NX38" s="334">
        <v>22.94</v>
      </c>
      <c r="NY38" s="334">
        <v>0.38</v>
      </c>
      <c r="NZ38" s="334">
        <v>259.02800000000002</v>
      </c>
      <c r="OA38" s="334">
        <v>22.44</v>
      </c>
      <c r="OB38" s="334">
        <v>0.38</v>
      </c>
      <c r="OC38" s="334">
        <v>259.02800000000002</v>
      </c>
      <c r="OD38" s="334">
        <v>21.94</v>
      </c>
      <c r="OE38" s="334">
        <v>0.37</v>
      </c>
      <c r="OF38" s="334">
        <v>259.02800000000002</v>
      </c>
      <c r="OG38" s="334">
        <v>21.31</v>
      </c>
      <c r="OH38" s="334">
        <v>0.37</v>
      </c>
      <c r="OI38" s="334">
        <v>257.60399999999998</v>
      </c>
      <c r="OJ38" s="334">
        <v>22.13</v>
      </c>
      <c r="OK38" s="334">
        <v>0.37</v>
      </c>
      <c r="OL38" s="334">
        <v>257.27</v>
      </c>
      <c r="OM38" s="334">
        <v>19.88</v>
      </c>
      <c r="ON38" s="334">
        <v>0.37</v>
      </c>
      <c r="OO38" s="334">
        <v>256.92599999999999</v>
      </c>
      <c r="OP38" s="334">
        <v>17.88</v>
      </c>
      <c r="OQ38" s="334">
        <v>0.37</v>
      </c>
      <c r="OR38" s="334">
        <v>256.58</v>
      </c>
      <c r="OS38" s="334">
        <v>18.059999999999999</v>
      </c>
      <c r="OT38" s="334">
        <v>0.37</v>
      </c>
      <c r="OU38" s="334">
        <v>254.50800000000001</v>
      </c>
      <c r="OV38" s="334">
        <v>18.38</v>
      </c>
    </row>
    <row r="39" spans="1:412">
      <c r="A39" s="294" t="s">
        <v>39</v>
      </c>
      <c r="B39" s="335" t="s">
        <v>126</v>
      </c>
      <c r="C39" s="335">
        <v>53.386000000000003</v>
      </c>
      <c r="D39" s="335">
        <v>109.28</v>
      </c>
      <c r="E39" s="335">
        <v>0.86</v>
      </c>
      <c r="F39" s="335">
        <v>52.17</v>
      </c>
      <c r="G39" s="335">
        <v>103.09</v>
      </c>
      <c r="H39" s="335">
        <v>0.83</v>
      </c>
      <c r="I39" s="335">
        <v>50.764000000000003</v>
      </c>
      <c r="J39" s="335">
        <v>93.15</v>
      </c>
      <c r="K39" s="335">
        <v>0.83</v>
      </c>
      <c r="L39" s="335">
        <v>50.728999999999999</v>
      </c>
      <c r="M39" s="335">
        <v>92.89</v>
      </c>
      <c r="N39" s="335">
        <v>0.83</v>
      </c>
      <c r="O39" s="335">
        <v>50.725999999999999</v>
      </c>
      <c r="P39" s="335">
        <v>98.32</v>
      </c>
      <c r="Q39" s="335">
        <v>0.83</v>
      </c>
      <c r="R39" s="340">
        <v>50.725000000000001</v>
      </c>
      <c r="S39" s="340">
        <v>93.65</v>
      </c>
      <c r="T39" s="340">
        <v>0.79</v>
      </c>
      <c r="U39" s="340">
        <v>50.688000000000002</v>
      </c>
      <c r="V39" s="340">
        <v>102.6</v>
      </c>
      <c r="W39" s="340">
        <v>0.79</v>
      </c>
      <c r="X39" s="340">
        <v>50.658000000000001</v>
      </c>
      <c r="Y39" s="340">
        <v>108.33</v>
      </c>
      <c r="Z39" s="340">
        <v>0.79</v>
      </c>
      <c r="AA39" s="340">
        <v>50.667999999999999</v>
      </c>
      <c r="AB39" s="340">
        <v>107.85</v>
      </c>
      <c r="AC39" s="340">
        <v>0.79</v>
      </c>
      <c r="AD39" s="340">
        <v>50.667999999999999</v>
      </c>
      <c r="AE39" s="340">
        <v>99.01</v>
      </c>
      <c r="AF39" s="340">
        <v>0.75</v>
      </c>
      <c r="AG39" s="340">
        <v>50.631999999999998</v>
      </c>
      <c r="AH39" s="340">
        <v>105.92</v>
      </c>
      <c r="AI39" s="340">
        <v>0.75</v>
      </c>
      <c r="AJ39" s="340">
        <v>50.598999999999997</v>
      </c>
      <c r="AK39" s="340">
        <v>115.36</v>
      </c>
      <c r="AL39" s="340">
        <v>0.75</v>
      </c>
      <c r="AM39" s="340">
        <v>50.609000000000002</v>
      </c>
      <c r="AN39" s="340">
        <v>113.31</v>
      </c>
      <c r="AO39" s="340">
        <v>0.75</v>
      </c>
      <c r="AP39" s="340">
        <v>50.609000000000002</v>
      </c>
      <c r="AQ39" s="340">
        <v>103.38</v>
      </c>
      <c r="AR39" s="340">
        <v>0.71</v>
      </c>
      <c r="AS39" s="340">
        <v>50.567</v>
      </c>
      <c r="AT39" s="340">
        <v>97.5</v>
      </c>
      <c r="AU39" s="340">
        <v>0.71</v>
      </c>
      <c r="AV39" s="340">
        <v>50.537999999999997</v>
      </c>
      <c r="AW39" s="340">
        <v>99.97</v>
      </c>
      <c r="AX39" s="340">
        <v>0.71</v>
      </c>
      <c r="AY39" s="504">
        <v>50.540999999999997</v>
      </c>
      <c r="AZ39" s="504">
        <v>96.03</v>
      </c>
      <c r="BA39" s="504">
        <v>0.71</v>
      </c>
      <c r="BB39" s="504">
        <v>50.551000000000002</v>
      </c>
      <c r="BC39" s="504">
        <v>79.900000000000006</v>
      </c>
      <c r="BD39" s="504">
        <v>0.67</v>
      </c>
      <c r="BE39" s="504">
        <v>50.517000000000003</v>
      </c>
      <c r="BF39" s="504">
        <v>87.37</v>
      </c>
      <c r="BG39" s="504">
        <v>0.67</v>
      </c>
      <c r="BH39" s="504">
        <v>50.502000000000002</v>
      </c>
      <c r="BI39" s="504">
        <v>87.79</v>
      </c>
      <c r="BJ39" s="504">
        <v>0.67</v>
      </c>
      <c r="BK39" s="504">
        <v>50.499000000000002</v>
      </c>
      <c r="BL39" s="504">
        <v>106.8</v>
      </c>
      <c r="BM39" s="504">
        <v>0.67</v>
      </c>
      <c r="BN39" s="504">
        <v>50.499000000000002</v>
      </c>
      <c r="BO39" s="504">
        <v>112.67</v>
      </c>
      <c r="BP39" s="504">
        <v>0.63</v>
      </c>
      <c r="BQ39" s="504">
        <v>50.509</v>
      </c>
      <c r="BR39" s="504">
        <v>100.43</v>
      </c>
      <c r="BS39" s="504">
        <v>0.63</v>
      </c>
      <c r="BT39" s="504">
        <v>50.432000000000002</v>
      </c>
      <c r="BU39" s="504">
        <v>99.54</v>
      </c>
      <c r="BV39" s="504">
        <v>0.63</v>
      </c>
      <c r="BW39" s="504">
        <v>50.433999999999997</v>
      </c>
      <c r="BX39" s="504">
        <v>93.06</v>
      </c>
      <c r="BY39" s="504">
        <v>0.63</v>
      </c>
      <c r="BZ39" s="504">
        <v>50.435000000000002</v>
      </c>
      <c r="CA39" s="504">
        <v>99.23</v>
      </c>
      <c r="CB39" s="504">
        <v>0.63</v>
      </c>
      <c r="CC39" s="503">
        <v>50.244999999999997</v>
      </c>
      <c r="CD39" s="503">
        <v>92.24</v>
      </c>
      <c r="CE39" s="503">
        <v>0.59</v>
      </c>
      <c r="CF39" s="503">
        <v>50.360999999999997</v>
      </c>
      <c r="CG39" s="503">
        <v>88.27</v>
      </c>
      <c r="CH39" s="503">
        <v>0.59</v>
      </c>
      <c r="CI39" s="503">
        <v>50.362000000000002</v>
      </c>
      <c r="CJ39" s="503">
        <v>91.36</v>
      </c>
      <c r="CK39" s="508">
        <v>0.59</v>
      </c>
      <c r="CL39" s="503">
        <v>50.363</v>
      </c>
      <c r="CM39" s="503">
        <v>87.93</v>
      </c>
      <c r="CN39" s="503">
        <v>0.55000000000000004</v>
      </c>
      <c r="CO39" s="503">
        <v>50.356000000000002</v>
      </c>
      <c r="CP39" s="503">
        <v>85.35</v>
      </c>
      <c r="CQ39" s="503">
        <v>0.55000000000000004</v>
      </c>
      <c r="CR39" s="504">
        <v>50.298000000000002</v>
      </c>
      <c r="CS39" s="504">
        <v>82.96</v>
      </c>
      <c r="CT39" s="504">
        <v>0.55000000000000004</v>
      </c>
      <c r="CU39" s="503">
        <v>50.295999999999999</v>
      </c>
      <c r="CV39" s="503">
        <v>80.55</v>
      </c>
      <c r="CW39" s="503">
        <v>0.55000000000000004</v>
      </c>
      <c r="CX39" s="339">
        <v>50.302</v>
      </c>
      <c r="CY39" s="339">
        <v>78.28</v>
      </c>
      <c r="CZ39" s="511">
        <v>0.55000000000000004</v>
      </c>
      <c r="DA39" s="339">
        <v>50.298999999999999</v>
      </c>
      <c r="DB39" s="339">
        <v>81.349999999999994</v>
      </c>
      <c r="DC39" s="339">
        <v>0.51</v>
      </c>
      <c r="DD39" s="339">
        <v>50.22</v>
      </c>
      <c r="DE39" s="339">
        <v>74.59</v>
      </c>
      <c r="DF39" s="339">
        <v>0.51</v>
      </c>
      <c r="DG39" s="339">
        <v>50.219000000000001</v>
      </c>
      <c r="DH39" s="339">
        <v>68</v>
      </c>
      <c r="DI39" s="339">
        <v>0.51</v>
      </c>
      <c r="DJ39" s="339">
        <v>50.222000000000001</v>
      </c>
      <c r="DK39" s="339">
        <v>64.709999999999994</v>
      </c>
      <c r="DL39" s="510">
        <v>0.51</v>
      </c>
      <c r="DM39" s="339">
        <v>50.22</v>
      </c>
      <c r="DN39" s="339">
        <v>56.14</v>
      </c>
      <c r="DO39" s="339">
        <v>0.47</v>
      </c>
      <c r="DP39" s="340">
        <v>50.131</v>
      </c>
      <c r="DQ39" s="340">
        <v>62.87</v>
      </c>
      <c r="DR39" s="340">
        <v>0.47</v>
      </c>
      <c r="DS39" s="339">
        <v>50.128999999999998</v>
      </c>
      <c r="DT39" s="339">
        <v>66.19</v>
      </c>
      <c r="DU39" s="339">
        <v>0.47</v>
      </c>
      <c r="DV39" s="339">
        <v>50.133000000000003</v>
      </c>
      <c r="DW39" s="339">
        <v>53.61</v>
      </c>
      <c r="DX39" s="339">
        <v>0.47</v>
      </c>
      <c r="DY39" s="339">
        <v>50.131</v>
      </c>
      <c r="DZ39" s="339">
        <v>57.83</v>
      </c>
      <c r="EA39" s="339">
        <v>0.43</v>
      </c>
      <c r="EB39" s="340">
        <v>50.052</v>
      </c>
      <c r="EC39" s="340">
        <v>55.47</v>
      </c>
      <c r="ED39" s="340">
        <v>0.43</v>
      </c>
      <c r="EE39" s="339">
        <v>50.055999999999997</v>
      </c>
      <c r="EF39" s="339">
        <v>51.84</v>
      </c>
      <c r="EG39" s="339">
        <v>0.43</v>
      </c>
      <c r="EH39" s="339">
        <v>50.055999999999997</v>
      </c>
      <c r="EI39" s="339">
        <v>48.4</v>
      </c>
      <c r="EJ39" s="510">
        <v>0.43</v>
      </c>
      <c r="EK39" s="339">
        <v>50.039000000000001</v>
      </c>
      <c r="EL39" s="339">
        <v>47.76</v>
      </c>
      <c r="EM39" s="339">
        <v>0.38</v>
      </c>
      <c r="EN39" s="340">
        <v>49.93</v>
      </c>
      <c r="EO39" s="340">
        <v>48.27</v>
      </c>
      <c r="EP39" s="340">
        <v>0.38</v>
      </c>
      <c r="EQ39" s="339">
        <v>49.966000000000001</v>
      </c>
      <c r="ER39" s="339">
        <v>43.35</v>
      </c>
      <c r="ES39" s="339">
        <v>0.38</v>
      </c>
      <c r="ET39" s="339">
        <v>49.927</v>
      </c>
      <c r="EU39" s="339">
        <v>43.27</v>
      </c>
      <c r="EV39" s="510">
        <v>0.38</v>
      </c>
      <c r="EW39" s="339">
        <v>49.86</v>
      </c>
      <c r="EX39" s="339">
        <v>42.08</v>
      </c>
      <c r="EY39" s="339">
        <v>0.33</v>
      </c>
      <c r="EZ39" s="340">
        <v>49.457000000000001</v>
      </c>
      <c r="FA39" s="340">
        <v>41.12</v>
      </c>
      <c r="FB39" s="515">
        <v>0.33</v>
      </c>
      <c r="FC39" s="339">
        <v>49.52</v>
      </c>
      <c r="FD39" s="339">
        <v>42.41</v>
      </c>
      <c r="FE39" s="339">
        <v>0.3</v>
      </c>
      <c r="FF39" s="339">
        <v>49.42</v>
      </c>
      <c r="FG39" s="339">
        <v>37.78</v>
      </c>
      <c r="FH39" s="339">
        <v>0.3</v>
      </c>
      <c r="FI39" s="339">
        <v>49.29</v>
      </c>
      <c r="FJ39" s="339">
        <v>39.5</v>
      </c>
      <c r="FK39" s="339">
        <v>0.3</v>
      </c>
      <c r="FL39" s="339">
        <v>49.021000000000001</v>
      </c>
      <c r="FM39" s="339">
        <v>38.1</v>
      </c>
      <c r="FN39" s="339">
        <v>0.3</v>
      </c>
      <c r="FO39" s="339">
        <v>48.085999999999999</v>
      </c>
      <c r="FP39" s="339">
        <v>36.979999999999997</v>
      </c>
      <c r="FQ39" s="339">
        <v>0.3</v>
      </c>
      <c r="FR39" s="339">
        <v>47.887999999999998</v>
      </c>
      <c r="FS39" s="339">
        <v>35.92</v>
      </c>
      <c r="FT39" s="339">
        <v>0.3</v>
      </c>
      <c r="FU39" s="339">
        <v>47.773000000000003</v>
      </c>
      <c r="FV39" s="339">
        <v>33.270000000000003</v>
      </c>
      <c r="FW39" s="339">
        <v>0.3</v>
      </c>
      <c r="FX39" s="339">
        <v>47.637</v>
      </c>
      <c r="FY39" s="339">
        <v>34.619999999999997</v>
      </c>
      <c r="FZ39" s="339">
        <v>0.3</v>
      </c>
      <c r="GA39" s="339">
        <v>47.067999999999998</v>
      </c>
      <c r="GB39" s="339">
        <v>31.95</v>
      </c>
      <c r="GC39" s="339">
        <v>0.3</v>
      </c>
      <c r="GD39" s="339">
        <v>46.957999999999998</v>
      </c>
      <c r="GE39" s="339">
        <v>28.79</v>
      </c>
      <c r="GF39" s="339">
        <v>0.3</v>
      </c>
      <c r="GG39" s="339">
        <v>46.831000000000003</v>
      </c>
      <c r="GH39" s="339">
        <v>26.14</v>
      </c>
      <c r="GI39" s="339">
        <v>0.3</v>
      </c>
      <c r="GJ39" s="339">
        <v>45.81</v>
      </c>
      <c r="GK39" s="339">
        <v>23.36</v>
      </c>
      <c r="GL39" s="339">
        <v>0.3</v>
      </c>
      <c r="GM39" s="339">
        <v>44.997999999999998</v>
      </c>
      <c r="GN39" s="339">
        <v>29.45</v>
      </c>
      <c r="GO39" s="339">
        <v>0.3</v>
      </c>
      <c r="GP39" s="339">
        <v>44.923999999999999</v>
      </c>
      <c r="GQ39" s="339">
        <v>29.09</v>
      </c>
      <c r="GR39" s="339">
        <v>0.3</v>
      </c>
      <c r="GS39" s="339">
        <v>44.847000000000001</v>
      </c>
      <c r="GT39" s="339">
        <v>28.89</v>
      </c>
      <c r="GU39" s="339">
        <v>0.3</v>
      </c>
      <c r="GV39" s="339">
        <v>44.151000000000003</v>
      </c>
      <c r="GW39" s="339">
        <v>32.11</v>
      </c>
      <c r="GX39" s="339">
        <v>0.3</v>
      </c>
      <c r="GY39" s="339">
        <v>44.417000000000002</v>
      </c>
      <c r="GZ39" s="339">
        <v>35.22</v>
      </c>
      <c r="HA39" s="339">
        <v>0.3</v>
      </c>
      <c r="HB39" s="339">
        <v>43.750999999999998</v>
      </c>
      <c r="HC39" s="339">
        <v>32.74</v>
      </c>
      <c r="HD39" s="339">
        <v>0.3</v>
      </c>
      <c r="HE39" s="339">
        <v>43.686999999999998</v>
      </c>
      <c r="HF39" s="339">
        <v>32.04</v>
      </c>
      <c r="HG39" s="339">
        <v>0.3</v>
      </c>
      <c r="HH39" s="339">
        <v>42.713000000000001</v>
      </c>
      <c r="HI39" s="505">
        <v>33.840000000000003</v>
      </c>
      <c r="HJ39" s="339">
        <v>0.3</v>
      </c>
      <c r="HK39" s="339">
        <v>42.677999999999997</v>
      </c>
      <c r="HL39" s="339">
        <v>38.65</v>
      </c>
      <c r="HM39" s="339">
        <v>0.3</v>
      </c>
      <c r="HN39" s="339">
        <v>42.557000000000002</v>
      </c>
      <c r="HO39" s="339">
        <v>37.81</v>
      </c>
      <c r="HP39" s="339">
        <v>0.3</v>
      </c>
      <c r="HQ39" s="339">
        <v>42.473457000000003</v>
      </c>
      <c r="HR39" s="339">
        <v>34.29</v>
      </c>
      <c r="HS39" s="339">
        <v>0.3</v>
      </c>
      <c r="HT39" s="339">
        <v>42.374000000000002</v>
      </c>
      <c r="HU39" s="339">
        <v>32.520000000000003</v>
      </c>
      <c r="HV39" s="339">
        <v>0.3</v>
      </c>
      <c r="HW39" s="339">
        <v>42.286999999999999</v>
      </c>
      <c r="HX39" s="506">
        <v>29.3</v>
      </c>
      <c r="HY39" s="513">
        <f>1.2/4</f>
        <v>0.3</v>
      </c>
      <c r="HZ39" s="339">
        <v>42.23</v>
      </c>
      <c r="IA39" s="339">
        <v>30.13</v>
      </c>
      <c r="IB39" s="339">
        <v>0.3</v>
      </c>
      <c r="IC39" s="339">
        <v>42.21</v>
      </c>
      <c r="ID39" s="339">
        <v>30.63</v>
      </c>
      <c r="IE39" s="339">
        <v>0.3</v>
      </c>
      <c r="IF39" s="339">
        <v>38.191000000000003</v>
      </c>
      <c r="IG39" s="339">
        <v>28.37</v>
      </c>
      <c r="IH39" s="339">
        <v>0.3</v>
      </c>
      <c r="II39" s="339">
        <v>38.191000000000003</v>
      </c>
      <c r="IJ39" s="505">
        <v>30.57</v>
      </c>
      <c r="IK39" s="339">
        <v>0.3</v>
      </c>
      <c r="IL39" s="339">
        <v>38.189</v>
      </c>
      <c r="IM39" s="339">
        <v>29.06</v>
      </c>
      <c r="IN39" s="339">
        <v>0.3</v>
      </c>
      <c r="IO39" s="339">
        <v>38.200000000000003</v>
      </c>
      <c r="IP39" s="339">
        <v>27</v>
      </c>
      <c r="IQ39" s="339">
        <v>0.3</v>
      </c>
      <c r="IR39" s="339">
        <v>38.200000000000003</v>
      </c>
      <c r="IS39" s="339">
        <v>29.9</v>
      </c>
      <c r="IT39" s="339">
        <v>0.3</v>
      </c>
      <c r="IU39" s="339">
        <v>38.200000000000003</v>
      </c>
      <c r="IV39" s="339">
        <v>29.92</v>
      </c>
      <c r="IW39" s="339">
        <v>0.3</v>
      </c>
      <c r="IX39" s="339">
        <v>38.195999999999998</v>
      </c>
      <c r="IY39" s="339">
        <v>25.5</v>
      </c>
      <c r="IZ39" s="339">
        <v>0.46500000000000002</v>
      </c>
      <c r="JA39" s="339">
        <v>38.140999999999998</v>
      </c>
      <c r="JB39" s="339">
        <v>26.25</v>
      </c>
      <c r="JC39" s="339">
        <v>0.46500000000000002</v>
      </c>
      <c r="JD39" s="339">
        <v>37.918999999999997</v>
      </c>
      <c r="JE39" s="339">
        <v>22.8</v>
      </c>
      <c r="JF39" s="339">
        <v>0.46500000000000002</v>
      </c>
      <c r="JG39" s="339">
        <v>37.771000000000001</v>
      </c>
      <c r="JH39" s="339">
        <v>24.83</v>
      </c>
      <c r="JI39" s="339">
        <v>0.46500000000000002</v>
      </c>
      <c r="JJ39" s="339">
        <v>37.664999999999999</v>
      </c>
      <c r="JK39" s="339">
        <v>24.33</v>
      </c>
      <c r="JL39" s="339">
        <v>0.46500000000000002</v>
      </c>
      <c r="JM39" s="339">
        <v>37.56</v>
      </c>
      <c r="JN39" s="339">
        <v>27.7</v>
      </c>
      <c r="JO39" s="339">
        <v>0.46500000000000002</v>
      </c>
      <c r="JP39" s="339">
        <v>37.479999999999997</v>
      </c>
      <c r="JQ39" s="339">
        <v>40.5</v>
      </c>
      <c r="JR39" s="339">
        <v>0.46500000000000002</v>
      </c>
      <c r="JS39" s="339">
        <v>37.409999999999997</v>
      </c>
      <c r="JT39" s="339">
        <v>40.6</v>
      </c>
      <c r="JU39" s="339">
        <v>0.46500000000000002</v>
      </c>
      <c r="JV39" s="339">
        <v>37.411999999999999</v>
      </c>
      <c r="JW39" s="339">
        <v>35.76</v>
      </c>
      <c r="JX39" s="339">
        <v>0.46500000000000002</v>
      </c>
      <c r="JY39" s="339">
        <v>37.414999999999999</v>
      </c>
      <c r="JZ39" s="339">
        <v>34.880000000000003</v>
      </c>
      <c r="KA39" s="339">
        <v>0.46500000000000002</v>
      </c>
      <c r="KB39" s="339">
        <v>37.517000000000003</v>
      </c>
      <c r="KC39" s="339">
        <v>38.21</v>
      </c>
      <c r="KD39" s="339">
        <v>0.46500000000000002</v>
      </c>
      <c r="KE39" s="339">
        <v>37.524000000000001</v>
      </c>
      <c r="KF39" s="339">
        <v>49.0625</v>
      </c>
      <c r="KG39" s="339">
        <v>0.46500000000000002</v>
      </c>
      <c r="KH39" s="339">
        <v>37.612000000000002</v>
      </c>
      <c r="KI39" s="339">
        <v>46.25</v>
      </c>
      <c r="KJ39" s="339">
        <v>0.46500000000000002</v>
      </c>
      <c r="KK39" s="339">
        <v>37.612000000000002</v>
      </c>
      <c r="KL39" s="339">
        <v>32.25</v>
      </c>
      <c r="KM39" s="339">
        <v>0.46500000000000002</v>
      </c>
      <c r="KN39" s="339">
        <v>37.612000000000002</v>
      </c>
      <c r="KO39" s="339">
        <v>34.75</v>
      </c>
      <c r="KP39" s="339">
        <v>0.46500000000000002</v>
      </c>
      <c r="KQ39" s="339">
        <v>37.612000000000002</v>
      </c>
      <c r="KR39" s="339">
        <v>26.8125</v>
      </c>
      <c r="KS39" s="339">
        <v>0.46500000000000002</v>
      </c>
      <c r="KT39" s="339">
        <v>37.612000000000002</v>
      </c>
      <c r="KU39" s="339">
        <v>30.125</v>
      </c>
      <c r="KV39" s="339">
        <v>0.46500000000000002</v>
      </c>
      <c r="KW39" s="334">
        <v>37.61</v>
      </c>
      <c r="KX39" s="334">
        <v>31.5</v>
      </c>
      <c r="KY39" s="334">
        <v>0.46500000000000002</v>
      </c>
      <c r="KZ39" s="334">
        <v>37.61</v>
      </c>
      <c r="LA39" s="334">
        <v>29.4375</v>
      </c>
      <c r="LB39" s="334">
        <v>0.46500000000000002</v>
      </c>
      <c r="LC39" s="334">
        <v>37.61</v>
      </c>
      <c r="LD39" s="334">
        <v>36.188000000000002</v>
      </c>
      <c r="LE39" s="334">
        <v>0.46500000000000002</v>
      </c>
      <c r="LF39" s="334">
        <v>37.61</v>
      </c>
      <c r="LG39" s="334">
        <v>33.813000000000002</v>
      </c>
      <c r="LH39" s="334">
        <v>0.46500000000000002</v>
      </c>
      <c r="LI39" s="334">
        <v>37.61</v>
      </c>
      <c r="LJ39" s="334">
        <v>34.625</v>
      </c>
      <c r="LK39" s="334">
        <v>0.46500000000000002</v>
      </c>
      <c r="LL39" s="334">
        <v>37.61</v>
      </c>
      <c r="LM39" s="334">
        <v>37.6875</v>
      </c>
      <c r="LN39" s="334">
        <v>0.46500000000000002</v>
      </c>
      <c r="LO39" s="334">
        <v>37.612000000000002</v>
      </c>
      <c r="LP39" s="334">
        <v>37.625</v>
      </c>
      <c r="LQ39" s="334">
        <v>0.46500000000000002</v>
      </c>
      <c r="LR39" s="334">
        <v>37.612000000000002</v>
      </c>
      <c r="LS39" s="334">
        <v>31.5625</v>
      </c>
      <c r="LT39" s="334">
        <v>0.46500000000000002</v>
      </c>
      <c r="LU39" s="334">
        <v>37.612000000000002</v>
      </c>
      <c r="LV39" s="334">
        <v>31.375</v>
      </c>
      <c r="LW39" s="334">
        <v>0.46500000000000002</v>
      </c>
      <c r="LX39" s="334">
        <v>37.612000000000002</v>
      </c>
      <c r="LY39" s="334">
        <v>29.75</v>
      </c>
      <c r="LZ39" s="334">
        <v>0.46500000000000002</v>
      </c>
      <c r="MA39" s="334">
        <v>37.612000000000002</v>
      </c>
      <c r="MB39" s="334">
        <v>31.125</v>
      </c>
      <c r="MC39" s="334">
        <v>0.46500000000000002</v>
      </c>
      <c r="MD39" s="334">
        <v>37.612000000000002</v>
      </c>
      <c r="ME39" s="334">
        <v>31.375</v>
      </c>
      <c r="MF39" s="334">
        <v>0.46500000000000002</v>
      </c>
      <c r="MG39" s="334">
        <v>37.612000000000002</v>
      </c>
      <c r="MH39" s="334">
        <v>31.125</v>
      </c>
      <c r="MI39" s="334">
        <v>0.46500000000000002</v>
      </c>
      <c r="MJ39" s="334">
        <v>37.612000000000002</v>
      </c>
      <c r="MK39" s="334">
        <v>29</v>
      </c>
      <c r="ML39" s="334">
        <v>0.46500000000000002</v>
      </c>
      <c r="MM39" s="334">
        <v>37.612000000000002</v>
      </c>
      <c r="MN39" s="334">
        <v>30</v>
      </c>
      <c r="MO39" s="334">
        <v>0.46500000000000002</v>
      </c>
      <c r="MP39" s="334">
        <v>37.612000000000002</v>
      </c>
      <c r="MQ39" s="334">
        <v>27.25</v>
      </c>
      <c r="MR39" s="334">
        <v>0.46500000000000002</v>
      </c>
      <c r="MS39" s="334">
        <v>37.612000000000002</v>
      </c>
      <c r="MT39" s="334">
        <v>25.25</v>
      </c>
      <c r="MU39" s="334">
        <v>0.46500000000000002</v>
      </c>
      <c r="MV39" s="334">
        <v>37.612000000000002</v>
      </c>
      <c r="MW39" s="334">
        <v>23.75</v>
      </c>
      <c r="MX39" s="334">
        <v>0.46500000000000002</v>
      </c>
      <c r="MY39" s="334">
        <v>37.347999999999999</v>
      </c>
      <c r="MZ39" s="334">
        <v>23.5</v>
      </c>
      <c r="NA39" s="334">
        <v>0.46500000000000002</v>
      </c>
      <c r="NB39" s="334">
        <v>37.347999999999999</v>
      </c>
      <c r="NC39" s="334">
        <v>23.875</v>
      </c>
      <c r="ND39" s="334">
        <v>0.46500000000000002</v>
      </c>
      <c r="NE39" s="334">
        <v>37.140999999999998</v>
      </c>
      <c r="NF39" s="334">
        <v>22.75</v>
      </c>
      <c r="NG39" s="334">
        <v>0.46500000000000002</v>
      </c>
      <c r="NH39" s="334">
        <v>36.784999999999997</v>
      </c>
      <c r="NI39" s="334">
        <v>27.5</v>
      </c>
      <c r="NJ39" s="334">
        <v>0.46500000000000002</v>
      </c>
      <c r="NK39" s="334">
        <v>36.784999999999997</v>
      </c>
      <c r="NL39" s="334">
        <v>30.375</v>
      </c>
      <c r="NM39" s="334">
        <v>0.46500000000000002</v>
      </c>
      <c r="NN39" s="334">
        <v>36.784999999999997</v>
      </c>
      <c r="NO39" s="334">
        <v>32.75</v>
      </c>
      <c r="NP39" s="334">
        <v>0.46500000000000002</v>
      </c>
      <c r="NQ39" s="334">
        <v>36.566000000000003</v>
      </c>
      <c r="NR39" s="334">
        <v>31</v>
      </c>
      <c r="NS39" s="334">
        <v>0.46500000000000002</v>
      </c>
      <c r="NT39" s="334">
        <v>36.338000000000001</v>
      </c>
      <c r="NU39" s="334">
        <v>30.25</v>
      </c>
      <c r="NV39" s="334">
        <v>0.46500000000000002</v>
      </c>
      <c r="NW39" s="334">
        <v>34.786000000000001</v>
      </c>
      <c r="NX39" s="334">
        <v>27.5</v>
      </c>
      <c r="NY39" s="334">
        <v>0.47</v>
      </c>
      <c r="NZ39" s="334">
        <v>34.786000000000001</v>
      </c>
      <c r="OA39" s="334">
        <v>27</v>
      </c>
      <c r="OB39" s="334">
        <v>0.47</v>
      </c>
      <c r="OC39" s="334">
        <v>34.246000000000002</v>
      </c>
      <c r="OD39" s="334">
        <v>25.38</v>
      </c>
      <c r="OE39" s="334">
        <v>0.47</v>
      </c>
      <c r="OF39" s="334">
        <v>34.124000000000002</v>
      </c>
      <c r="OG39" s="334">
        <v>24.88</v>
      </c>
      <c r="OH39" s="334">
        <v>0.47</v>
      </c>
      <c r="OI39" s="334">
        <v>33.976999999999997</v>
      </c>
      <c r="OJ39" s="334">
        <v>28.75</v>
      </c>
      <c r="OK39" s="334">
        <v>0.47</v>
      </c>
      <c r="OL39" s="334">
        <v>33.976999999999997</v>
      </c>
      <c r="OM39" s="334">
        <v>26.75</v>
      </c>
      <c r="ON39" s="334">
        <v>0.47</v>
      </c>
      <c r="OO39" s="334">
        <v>33.976999999999997</v>
      </c>
      <c r="OP39" s="334">
        <v>24.63</v>
      </c>
      <c r="OQ39" s="334">
        <v>0.47</v>
      </c>
      <c r="OR39" s="334">
        <v>33.976999999999997</v>
      </c>
      <c r="OS39" s="334">
        <v>26.63</v>
      </c>
      <c r="OT39" s="334">
        <v>0.47</v>
      </c>
      <c r="OU39" s="334">
        <v>33.976999999999997</v>
      </c>
      <c r="OV39" s="334">
        <v>25.75</v>
      </c>
    </row>
    <row r="40" spans="1:412">
      <c r="B40" s="333" t="s">
        <v>239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503"/>
      <c r="AZ40" s="503"/>
      <c r="BA40" s="503"/>
      <c r="BB40" s="503"/>
      <c r="BC40" s="503"/>
      <c r="BD40" s="503"/>
      <c r="BE40" s="503"/>
      <c r="BF40" s="503"/>
      <c r="BG40" s="503"/>
      <c r="BH40" s="503"/>
      <c r="BI40" s="503"/>
      <c r="BJ40" s="503"/>
      <c r="BK40" s="503"/>
      <c r="BL40" s="503"/>
      <c r="BM40" s="503"/>
      <c r="BN40" s="503"/>
      <c r="BO40" s="503"/>
      <c r="BP40" s="503"/>
      <c r="BQ40" s="504"/>
      <c r="BR40" s="504"/>
      <c r="BS40" s="504"/>
      <c r="BT40" s="504"/>
      <c r="BU40" s="504"/>
      <c r="BV40" s="504"/>
      <c r="BW40" s="504"/>
      <c r="BX40" s="504"/>
      <c r="BY40" s="504"/>
      <c r="BZ40" s="503"/>
      <c r="CA40" s="503"/>
      <c r="CB40" s="503"/>
      <c r="CC40" s="503"/>
      <c r="CD40" s="503"/>
      <c r="CE40" s="503"/>
      <c r="CF40" s="503"/>
      <c r="CG40" s="503"/>
      <c r="CH40" s="503"/>
      <c r="CI40" s="503"/>
      <c r="CJ40" s="503"/>
      <c r="CK40" s="503"/>
      <c r="CL40" s="503"/>
      <c r="CM40" s="503"/>
      <c r="CN40" s="503"/>
      <c r="CO40" s="503"/>
      <c r="CP40" s="503"/>
      <c r="CQ40" s="503"/>
      <c r="CR40" s="504"/>
      <c r="CS40" s="504"/>
      <c r="CT40" s="504"/>
      <c r="CU40" s="503"/>
      <c r="CV40" s="503"/>
      <c r="CW40" s="503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40"/>
      <c r="EC40" s="340"/>
      <c r="ED40" s="340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339"/>
      <c r="FB40" s="339"/>
      <c r="FC40" s="339"/>
      <c r="FD40" s="339"/>
      <c r="FE40" s="339"/>
      <c r="FF40" s="339"/>
      <c r="FG40" s="339"/>
      <c r="FH40" s="342"/>
      <c r="FI40" s="339"/>
      <c r="FJ40" s="339"/>
      <c r="FK40" s="339"/>
      <c r="FL40" s="339"/>
      <c r="FM40" s="339"/>
      <c r="FN40" s="339"/>
      <c r="FO40" s="339"/>
      <c r="FP40" s="339"/>
      <c r="FQ40" s="339"/>
      <c r="FR40" s="339"/>
      <c r="FS40" s="339"/>
      <c r="FT40" s="339"/>
      <c r="FU40" s="339"/>
      <c r="FV40" s="339"/>
      <c r="FW40" s="339"/>
      <c r="FX40" s="339"/>
      <c r="FY40" s="339"/>
      <c r="FZ40" s="339"/>
      <c r="GA40" s="339"/>
      <c r="GB40" s="339"/>
      <c r="GC40" s="339"/>
      <c r="GD40" s="339"/>
      <c r="GE40" s="339"/>
      <c r="GF40" s="339"/>
      <c r="GG40" s="339"/>
      <c r="GH40" s="339"/>
      <c r="GI40" s="339"/>
      <c r="GJ40" s="339"/>
      <c r="GK40" s="339"/>
      <c r="GL40" s="339"/>
      <c r="GM40" s="339"/>
      <c r="GN40" s="339"/>
      <c r="GO40" s="339"/>
      <c r="GP40" s="339"/>
      <c r="GQ40" s="339"/>
      <c r="GR40" s="339"/>
      <c r="GS40" s="339"/>
      <c r="GT40" s="339"/>
      <c r="GU40" s="339"/>
      <c r="GV40" s="339"/>
      <c r="GW40" s="339"/>
      <c r="GX40" s="339"/>
      <c r="GY40" s="339"/>
      <c r="GZ40" s="339"/>
      <c r="HA40" s="339"/>
      <c r="HB40" s="339"/>
      <c r="HC40" s="339"/>
      <c r="HD40" s="339"/>
      <c r="HE40" s="339"/>
      <c r="HF40" s="339"/>
      <c r="HG40" s="339"/>
      <c r="HH40" s="339"/>
      <c r="HI40" s="505"/>
      <c r="HJ40" s="339"/>
      <c r="HK40" s="339"/>
      <c r="HL40" s="339"/>
      <c r="HM40" s="339"/>
      <c r="HN40" s="339"/>
      <c r="HO40" s="339"/>
      <c r="HP40" s="339"/>
      <c r="HQ40" s="339"/>
      <c r="HR40" s="339"/>
      <c r="HS40" s="339"/>
      <c r="HT40" s="339"/>
      <c r="HU40" s="339"/>
      <c r="HV40" s="339"/>
      <c r="HW40" s="339"/>
      <c r="HX40" s="506"/>
      <c r="HY40" s="513"/>
      <c r="HZ40" s="339"/>
      <c r="IA40" s="339"/>
      <c r="IB40" s="339"/>
      <c r="IC40" s="339"/>
      <c r="ID40" s="339"/>
      <c r="IE40" s="339"/>
      <c r="IF40" s="339"/>
      <c r="IG40" s="339"/>
      <c r="IH40" s="339"/>
      <c r="II40" s="339"/>
      <c r="IJ40" s="505"/>
      <c r="IK40" s="339"/>
      <c r="IL40" s="339"/>
      <c r="IM40" s="339"/>
      <c r="IN40" s="339"/>
      <c r="IO40" s="339"/>
      <c r="IP40" s="339"/>
      <c r="IQ40" s="339"/>
      <c r="IR40" s="339"/>
      <c r="IS40" s="339"/>
      <c r="IT40" s="339"/>
      <c r="IU40" s="339"/>
      <c r="IV40" s="339"/>
      <c r="IW40" s="339"/>
      <c r="IX40" s="339"/>
      <c r="IY40" s="339"/>
      <c r="IZ40" s="342"/>
      <c r="JA40" s="339"/>
      <c r="JB40" s="339"/>
      <c r="JC40" s="339"/>
      <c r="JD40" s="339"/>
      <c r="JE40" s="339"/>
      <c r="JF40" s="339"/>
      <c r="JG40" s="339"/>
      <c r="JH40" s="339"/>
      <c r="JI40" s="339"/>
      <c r="JJ40" s="339"/>
      <c r="JK40" s="339"/>
      <c r="JL40" s="339"/>
      <c r="JM40" s="339"/>
      <c r="JN40" s="339"/>
      <c r="JO40" s="339"/>
      <c r="JP40" s="339"/>
      <c r="JQ40" s="339"/>
      <c r="JR40" s="339"/>
      <c r="JS40" s="339"/>
      <c r="JT40" s="342"/>
      <c r="JU40" s="342"/>
      <c r="JV40" s="339"/>
      <c r="JW40" s="339"/>
      <c r="JX40" s="339"/>
      <c r="JY40" s="339"/>
      <c r="JZ40" s="339"/>
      <c r="KA40" s="339"/>
      <c r="KB40" s="339"/>
      <c r="KC40" s="339"/>
      <c r="KD40" s="339"/>
      <c r="KE40" s="339">
        <v>87.926569000000001</v>
      </c>
      <c r="KF40" s="339">
        <v>24.1875</v>
      </c>
      <c r="KG40" s="339">
        <v>0.16250000000000001</v>
      </c>
      <c r="KH40" s="339">
        <v>86.600999999999999</v>
      </c>
      <c r="KI40" s="339">
        <v>22.875</v>
      </c>
      <c r="KJ40" s="339">
        <v>0.16250000000000001</v>
      </c>
      <c r="KK40" s="339">
        <v>85.701999999999998</v>
      </c>
      <c r="KL40" s="339">
        <v>20.125</v>
      </c>
      <c r="KM40" s="339">
        <v>0.16250000000000001</v>
      </c>
      <c r="KN40" s="339">
        <v>85.727999999999994</v>
      </c>
      <c r="KO40" s="339">
        <v>19.5</v>
      </c>
      <c r="KP40" s="339">
        <v>0.16250000000000001</v>
      </c>
      <c r="KQ40" s="339">
        <v>85.72</v>
      </c>
      <c r="KR40" s="339">
        <v>17.0625</v>
      </c>
      <c r="KS40" s="339">
        <v>0.15</v>
      </c>
      <c r="KT40" s="339">
        <v>85.718000000000004</v>
      </c>
      <c r="KU40" s="339">
        <v>19.4375</v>
      </c>
      <c r="KV40" s="339">
        <v>0.15</v>
      </c>
      <c r="KW40" s="334">
        <v>89.98</v>
      </c>
      <c r="KX40" s="334">
        <v>21.1875</v>
      </c>
      <c r="KY40" s="334">
        <v>0.15</v>
      </c>
      <c r="KZ40" s="334">
        <f>44.93*2</f>
        <v>89.86</v>
      </c>
      <c r="LA40" s="334">
        <v>21.9375</v>
      </c>
      <c r="LB40" s="334">
        <v>0.15</v>
      </c>
      <c r="LC40" s="334">
        <f>44.93*2</f>
        <v>89.86</v>
      </c>
      <c r="LD40" s="334">
        <f>55.625/2</f>
        <v>27.8125</v>
      </c>
      <c r="LE40" s="334">
        <f>0.275/2</f>
        <v>0.13750000000000001</v>
      </c>
      <c r="LF40" s="334">
        <f>44.93*2</f>
        <v>89.86</v>
      </c>
      <c r="LG40" s="334">
        <f>47.063/2</f>
        <v>23.531500000000001</v>
      </c>
      <c r="LH40" s="334">
        <f>0.275/2</f>
        <v>0.13750000000000001</v>
      </c>
      <c r="LI40" s="334">
        <f>44.93*2</f>
        <v>89.86</v>
      </c>
      <c r="LJ40" s="334">
        <f>44.438/2</f>
        <v>22.219000000000001</v>
      </c>
      <c r="LK40" s="334">
        <f>0.275/2</f>
        <v>0.13750000000000001</v>
      </c>
      <c r="LL40" s="334">
        <f>44.58*2</f>
        <v>89.16</v>
      </c>
      <c r="LM40" s="334">
        <f>45.0625/2</f>
        <v>22.53125</v>
      </c>
      <c r="LN40" s="334">
        <f>0.275/2</f>
        <v>0.13750000000000001</v>
      </c>
      <c r="LO40" s="334">
        <f>44.582*2</f>
        <v>89.164000000000001</v>
      </c>
      <c r="LP40" s="334">
        <f>41.9375/2</f>
        <v>20.96875</v>
      </c>
      <c r="LQ40" s="334">
        <f>0.25/2</f>
        <v>0.125</v>
      </c>
      <c r="LR40" s="334">
        <f>44.582*2</f>
        <v>89.164000000000001</v>
      </c>
      <c r="LS40" s="334">
        <f>34.25/2</f>
        <v>17.125</v>
      </c>
      <c r="LT40" s="334">
        <f>0.25/2</f>
        <v>0.125</v>
      </c>
      <c r="LU40" s="334">
        <f>44.582*2</f>
        <v>89.164000000000001</v>
      </c>
      <c r="LV40" s="334">
        <f>31.25/2</f>
        <v>15.625</v>
      </c>
      <c r="LW40" s="334">
        <f>0.25/2</f>
        <v>0.125</v>
      </c>
      <c r="LX40" s="334">
        <f>44.93*2</f>
        <v>89.86</v>
      </c>
      <c r="LY40" s="334">
        <f>30.375/2</f>
        <v>15.1875</v>
      </c>
      <c r="LZ40" s="334">
        <f>0.25/2</f>
        <v>0.125</v>
      </c>
      <c r="MA40" s="334">
        <f>44.93*2</f>
        <v>89.86</v>
      </c>
      <c r="MB40" s="334">
        <f>27.25/2</f>
        <v>13.625</v>
      </c>
      <c r="MC40" s="334">
        <f>0.37/2</f>
        <v>0.185</v>
      </c>
      <c r="MD40" s="334">
        <f>56.721*2</f>
        <v>113.44199999999999</v>
      </c>
      <c r="ME40" s="334">
        <f>26.25/2</f>
        <v>13.125</v>
      </c>
      <c r="MF40" s="334">
        <f>0.37/2</f>
        <v>0.185</v>
      </c>
      <c r="MG40" s="334">
        <f>56.721*2</f>
        <v>113.44199999999999</v>
      </c>
      <c r="MH40" s="334">
        <f>26.25/2</f>
        <v>13.125</v>
      </c>
      <c r="MI40" s="334">
        <f>0.37/2</f>
        <v>0.185</v>
      </c>
      <c r="MJ40" s="334">
        <f>56.721*2</f>
        <v>113.44199999999999</v>
      </c>
      <c r="MK40" s="334">
        <f>26.375/2</f>
        <v>13.1875</v>
      </c>
      <c r="ML40" s="334">
        <f>0.37/2</f>
        <v>0.185</v>
      </c>
      <c r="MM40" s="334">
        <f>56.721*2</f>
        <v>113.44199999999999</v>
      </c>
      <c r="MN40" s="334">
        <f>25.417/2</f>
        <v>12.708500000000001</v>
      </c>
      <c r="MO40" s="334">
        <v>0.18</v>
      </c>
      <c r="MP40" s="334">
        <f>56.721*2</f>
        <v>113.44199999999999</v>
      </c>
      <c r="MQ40" s="334">
        <f>23.917/2</f>
        <v>11.958500000000001</v>
      </c>
      <c r="MR40" s="334">
        <v>0.18</v>
      </c>
      <c r="MS40" s="334">
        <f>56.721*2</f>
        <v>113.44199999999999</v>
      </c>
      <c r="MT40" s="334">
        <f>21.25/2</f>
        <v>10.625</v>
      </c>
      <c r="MU40" s="334">
        <v>0.18</v>
      </c>
      <c r="MV40" s="334">
        <f>56.721*2</f>
        <v>113.44199999999999</v>
      </c>
      <c r="MW40" s="334">
        <f>21.3333333333333/2</f>
        <v>10.66666666666665</v>
      </c>
      <c r="MX40" s="334">
        <v>0.18</v>
      </c>
      <c r="MY40" s="334">
        <f>56.583*2</f>
        <v>113.166</v>
      </c>
      <c r="MZ40" s="334">
        <v>10</v>
      </c>
      <c r="NA40" s="334">
        <f>0.353333333333333/2</f>
        <v>0.1766666666666665</v>
      </c>
      <c r="NB40" s="334">
        <f>56.583*2</f>
        <v>113.166</v>
      </c>
      <c r="NC40" s="334">
        <v>9.75</v>
      </c>
      <c r="ND40" s="334">
        <f>0.353333333333333/2</f>
        <v>0.1766666666666665</v>
      </c>
      <c r="NE40" s="334">
        <f>56.5875*2</f>
        <v>113.175</v>
      </c>
      <c r="NF40" s="334">
        <f>19.25/2</f>
        <v>9.625</v>
      </c>
      <c r="NG40" s="334">
        <f>0.353333333333333/2</f>
        <v>0.1766666666666665</v>
      </c>
      <c r="NH40" s="334">
        <f>56.496*2</f>
        <v>112.992</v>
      </c>
      <c r="NI40" s="334">
        <f>21.25/2</f>
        <v>10.625</v>
      </c>
      <c r="NJ40" s="334">
        <f>0.353333333333333/2</f>
        <v>0.1766666666666665</v>
      </c>
      <c r="NK40" s="334">
        <f>56.496*2</f>
        <v>112.992</v>
      </c>
      <c r="NL40" s="334">
        <f>23.6666666666666/2</f>
        <v>11.8333333333333</v>
      </c>
      <c r="NM40" s="334">
        <v>0.17</v>
      </c>
      <c r="NN40" s="334">
        <f>56.496*2</f>
        <v>112.992</v>
      </c>
      <c r="NO40" s="334">
        <f>25.3333333333333/2</f>
        <v>12.66666666666665</v>
      </c>
      <c r="NP40" s="334">
        <v>0.17</v>
      </c>
      <c r="NQ40" s="334">
        <f>56.496*2</f>
        <v>112.992</v>
      </c>
      <c r="NR40" s="334">
        <f>24.5833333333333/2</f>
        <v>12.29166666666665</v>
      </c>
      <c r="NS40" s="334">
        <v>0.17</v>
      </c>
      <c r="NT40" s="334">
        <f>56.496*2</f>
        <v>112.992</v>
      </c>
      <c r="NU40" s="334">
        <f>25.1666666666666/2</f>
        <v>12.5833333333333</v>
      </c>
      <c r="NV40" s="334">
        <v>0.17</v>
      </c>
      <c r="NW40" s="334">
        <f>56.372*2</f>
        <v>112.744</v>
      </c>
      <c r="NX40" s="334">
        <v>12</v>
      </c>
      <c r="NY40" s="334">
        <v>0.16500000000000001</v>
      </c>
      <c r="NZ40" s="334">
        <f>56.372*2</f>
        <v>112.744</v>
      </c>
      <c r="OA40" s="334">
        <f>23.42/2</f>
        <v>11.71</v>
      </c>
      <c r="OB40" s="334">
        <v>0.16500000000000001</v>
      </c>
      <c r="OC40" s="334">
        <f>56.331*2</f>
        <v>112.66200000000001</v>
      </c>
      <c r="OD40" s="334">
        <f>23.33/2</f>
        <v>11.664999999999999</v>
      </c>
      <c r="OE40" s="334">
        <v>0.16500000000000001</v>
      </c>
      <c r="OF40" s="334">
        <f>56.331*2</f>
        <v>112.66200000000001</v>
      </c>
      <c r="OG40" s="334">
        <f>21.5/2</f>
        <v>10.75</v>
      </c>
      <c r="OH40" s="334">
        <v>0.155</v>
      </c>
      <c r="OI40" s="334">
        <f>56.331*2</f>
        <v>112.66200000000001</v>
      </c>
      <c r="OJ40" s="334">
        <f>22.25/2</f>
        <v>11.125</v>
      </c>
      <c r="OK40" s="334">
        <v>0.155</v>
      </c>
      <c r="OL40" s="334">
        <f>56.331*2</f>
        <v>112.66200000000001</v>
      </c>
      <c r="OM40" s="334">
        <f>20.58/2</f>
        <v>10.29</v>
      </c>
      <c r="ON40" s="334">
        <v>0.155</v>
      </c>
      <c r="OO40" s="334">
        <f>56.331*2</f>
        <v>112.66200000000001</v>
      </c>
      <c r="OP40" s="334">
        <f>18.33/2</f>
        <v>9.1649999999999991</v>
      </c>
      <c r="OQ40" s="334">
        <v>0.155</v>
      </c>
      <c r="OR40" s="334">
        <f>56.331*2</f>
        <v>112.66200000000001</v>
      </c>
      <c r="OS40" s="334">
        <f>18.67/2</f>
        <v>9.3350000000000009</v>
      </c>
      <c r="OT40" s="334">
        <v>0.15</v>
      </c>
      <c r="OU40" s="334">
        <f>56.331*2</f>
        <v>112.66200000000001</v>
      </c>
      <c r="OV40" s="334">
        <f>17.83/2</f>
        <v>8.9149999999999991</v>
      </c>
    </row>
    <row r="41" spans="1:412">
      <c r="B41" s="333" t="s">
        <v>240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503"/>
      <c r="AZ41" s="503"/>
      <c r="BA41" s="503"/>
      <c r="BB41" s="503"/>
      <c r="BC41" s="503"/>
      <c r="BD41" s="503"/>
      <c r="BE41" s="503"/>
      <c r="BF41" s="503"/>
      <c r="BG41" s="503"/>
      <c r="BH41" s="503"/>
      <c r="BI41" s="503"/>
      <c r="BJ41" s="503"/>
      <c r="BK41" s="503"/>
      <c r="BL41" s="503"/>
      <c r="BM41" s="503"/>
      <c r="BN41" s="503"/>
      <c r="BO41" s="503"/>
      <c r="BP41" s="503"/>
      <c r="BQ41" s="504"/>
      <c r="BR41" s="504"/>
      <c r="BS41" s="504"/>
      <c r="BT41" s="504"/>
      <c r="BU41" s="504"/>
      <c r="BV41" s="504"/>
      <c r="BW41" s="504"/>
      <c r="BX41" s="504"/>
      <c r="BY41" s="504"/>
      <c r="BZ41" s="503"/>
      <c r="CA41" s="503"/>
      <c r="CB41" s="503"/>
      <c r="CC41" s="503"/>
      <c r="CD41" s="503"/>
      <c r="CE41" s="503"/>
      <c r="CF41" s="503"/>
      <c r="CG41" s="503"/>
      <c r="CH41" s="503"/>
      <c r="CI41" s="503"/>
      <c r="CJ41" s="503"/>
      <c r="CK41" s="503"/>
      <c r="CL41" s="503"/>
      <c r="CM41" s="503"/>
      <c r="CN41" s="503"/>
      <c r="CO41" s="503"/>
      <c r="CP41" s="503"/>
      <c r="CQ41" s="503"/>
      <c r="CR41" s="504"/>
      <c r="CS41" s="504"/>
      <c r="CT41" s="504"/>
      <c r="CU41" s="503"/>
      <c r="CV41" s="503"/>
      <c r="CW41" s="503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40"/>
      <c r="EC41" s="340"/>
      <c r="ED41" s="340"/>
      <c r="EE41" s="339"/>
      <c r="EF41" s="339"/>
      <c r="EG41" s="339"/>
      <c r="EH41" s="339"/>
      <c r="EI41" s="339"/>
      <c r="EJ41" s="339"/>
      <c r="EK41" s="339"/>
      <c r="EL41" s="339"/>
      <c r="EM41" s="339"/>
      <c r="EN41" s="339"/>
      <c r="EO41" s="339"/>
      <c r="EP41" s="339"/>
      <c r="EQ41" s="339"/>
      <c r="ER41" s="339"/>
      <c r="ES41" s="339"/>
      <c r="ET41" s="339"/>
      <c r="EU41" s="339"/>
      <c r="EV41" s="339"/>
      <c r="EW41" s="339"/>
      <c r="EX41" s="339"/>
      <c r="EY41" s="339"/>
      <c r="EZ41" s="339"/>
      <c r="FA41" s="339"/>
      <c r="FB41" s="339"/>
      <c r="FC41" s="339"/>
      <c r="FD41" s="339"/>
      <c r="FE41" s="339"/>
      <c r="FF41" s="339"/>
      <c r="FG41" s="339"/>
      <c r="FH41" s="342"/>
      <c r="FI41" s="339"/>
      <c r="FJ41" s="339"/>
      <c r="FK41" s="339"/>
      <c r="FL41" s="339"/>
      <c r="FM41" s="339"/>
      <c r="FN41" s="339"/>
      <c r="FO41" s="339"/>
      <c r="FP41" s="339"/>
      <c r="FQ41" s="339"/>
      <c r="FR41" s="339"/>
      <c r="FS41" s="339"/>
      <c r="FT41" s="339"/>
      <c r="FU41" s="339"/>
      <c r="FV41" s="339"/>
      <c r="FW41" s="339"/>
      <c r="FX41" s="339"/>
      <c r="FY41" s="339"/>
      <c r="FZ41" s="339"/>
      <c r="GA41" s="339"/>
      <c r="GB41" s="339"/>
      <c r="GC41" s="339"/>
      <c r="GD41" s="339"/>
      <c r="GE41" s="339"/>
      <c r="GF41" s="339"/>
      <c r="GG41" s="339"/>
      <c r="GH41" s="339"/>
      <c r="GI41" s="339"/>
      <c r="GJ41" s="339"/>
      <c r="GK41" s="339"/>
      <c r="GL41" s="339"/>
      <c r="GM41" s="339"/>
      <c r="GN41" s="339"/>
      <c r="GO41" s="339"/>
      <c r="GP41" s="339"/>
      <c r="GQ41" s="339"/>
      <c r="GR41" s="339"/>
      <c r="GS41" s="339"/>
      <c r="GT41" s="339"/>
      <c r="GU41" s="339"/>
      <c r="GV41" s="339"/>
      <c r="GW41" s="339"/>
      <c r="GX41" s="339"/>
      <c r="GY41" s="339"/>
      <c r="GZ41" s="339"/>
      <c r="HA41" s="339"/>
      <c r="HB41" s="339"/>
      <c r="HC41" s="339"/>
      <c r="HD41" s="339"/>
      <c r="HE41" s="339"/>
      <c r="HF41" s="339"/>
      <c r="HG41" s="339"/>
      <c r="HH41" s="339"/>
      <c r="HI41" s="505"/>
      <c r="HJ41" s="339"/>
      <c r="HK41" s="339"/>
      <c r="HL41" s="339"/>
      <c r="HM41" s="339"/>
      <c r="HN41" s="339"/>
      <c r="HO41" s="339"/>
      <c r="HP41" s="339"/>
      <c r="HQ41" s="339"/>
      <c r="HR41" s="339"/>
      <c r="HS41" s="339"/>
      <c r="HT41" s="339"/>
      <c r="HU41" s="339"/>
      <c r="HV41" s="339"/>
      <c r="HW41" s="339"/>
      <c r="HX41" s="506"/>
      <c r="HY41" s="513"/>
      <c r="HZ41" s="339"/>
      <c r="IA41" s="339"/>
      <c r="IB41" s="339"/>
      <c r="IC41" s="339"/>
      <c r="ID41" s="339"/>
      <c r="IE41" s="339"/>
      <c r="IF41" s="339"/>
      <c r="IG41" s="339"/>
      <c r="IH41" s="339"/>
      <c r="II41" s="339"/>
      <c r="IJ41" s="505"/>
      <c r="IK41" s="339"/>
      <c r="IL41" s="339"/>
      <c r="IM41" s="339"/>
      <c r="IN41" s="339"/>
      <c r="IO41" s="339"/>
      <c r="IP41" s="339"/>
      <c r="IQ41" s="339"/>
      <c r="IR41" s="339"/>
      <c r="IS41" s="339"/>
      <c r="IT41" s="339"/>
      <c r="IU41" s="339"/>
      <c r="IV41" s="339"/>
      <c r="IW41" s="339"/>
      <c r="IX41" s="339"/>
      <c r="IY41" s="339"/>
      <c r="IZ41" s="342"/>
      <c r="JA41" s="339"/>
      <c r="JB41" s="339"/>
      <c r="JC41" s="339"/>
      <c r="JD41" s="339"/>
      <c r="JE41" s="339"/>
      <c r="JF41" s="339"/>
      <c r="JG41" s="339"/>
      <c r="JH41" s="339"/>
      <c r="JI41" s="339"/>
      <c r="JJ41" s="339"/>
      <c r="JK41" s="339"/>
      <c r="JL41" s="339"/>
      <c r="JM41" s="339"/>
      <c r="JN41" s="339"/>
      <c r="JO41" s="339"/>
      <c r="JP41" s="339"/>
      <c r="JQ41" s="339"/>
      <c r="JR41" s="339"/>
      <c r="JS41" s="339"/>
      <c r="JT41" s="342"/>
      <c r="JU41" s="342"/>
      <c r="JV41" s="339"/>
      <c r="JW41" s="339"/>
      <c r="JX41" s="339"/>
      <c r="JY41" s="339"/>
      <c r="JZ41" s="339"/>
      <c r="KA41" s="339"/>
      <c r="KB41" s="339"/>
      <c r="KC41" s="339"/>
      <c r="KD41" s="339"/>
      <c r="KE41" s="339"/>
      <c r="KF41" s="339"/>
      <c r="KG41" s="339"/>
      <c r="KH41" s="339"/>
      <c r="KI41" s="339"/>
      <c r="KJ41" s="339"/>
      <c r="KK41" s="339"/>
      <c r="KL41" s="339"/>
      <c r="KM41" s="339"/>
      <c r="KN41" s="339"/>
      <c r="KO41" s="339"/>
      <c r="KP41" s="339"/>
      <c r="KQ41" s="339"/>
      <c r="KR41" s="339"/>
      <c r="KS41" s="339"/>
      <c r="KT41" s="339"/>
      <c r="KU41" s="339"/>
      <c r="KV41" s="339"/>
      <c r="KW41" s="334"/>
      <c r="KX41" s="334"/>
      <c r="KY41" s="334"/>
      <c r="KZ41" s="334"/>
      <c r="LA41" s="334"/>
      <c r="LB41" s="334"/>
      <c r="LC41" s="334"/>
      <c r="LD41" s="334"/>
      <c r="LE41" s="334"/>
      <c r="LF41" s="334"/>
      <c r="LG41" s="334"/>
      <c r="LH41" s="334"/>
      <c r="LI41" s="334"/>
      <c r="LJ41" s="334"/>
      <c r="LK41" s="334"/>
      <c r="LL41" s="334">
        <v>37.82</v>
      </c>
      <c r="LM41" s="334">
        <v>42.8125</v>
      </c>
      <c r="LN41" s="334">
        <v>0.44</v>
      </c>
      <c r="LO41" s="334">
        <v>37.817999999999998</v>
      </c>
      <c r="LP41" s="334">
        <v>39.25</v>
      </c>
      <c r="LQ41" s="334">
        <v>0.44</v>
      </c>
      <c r="LR41" s="334">
        <v>37.817999999999998</v>
      </c>
      <c r="LS41" s="334">
        <v>34.6875</v>
      </c>
      <c r="LT41" s="334">
        <v>0.44</v>
      </c>
      <c r="LU41" s="334">
        <v>37.817999999999998</v>
      </c>
      <c r="LV41" s="334">
        <v>34.125</v>
      </c>
      <c r="LW41" s="334">
        <v>0.44</v>
      </c>
      <c r="LX41" s="334">
        <v>37.817999999999998</v>
      </c>
      <c r="LY41" s="334">
        <v>30</v>
      </c>
      <c r="LZ41" s="334">
        <v>0.44</v>
      </c>
      <c r="MA41" s="334">
        <v>37.817999999999998</v>
      </c>
      <c r="MB41" s="334">
        <v>30</v>
      </c>
      <c r="MC41" s="334">
        <v>0.43</v>
      </c>
      <c r="MD41" s="334">
        <v>37.817999999999998</v>
      </c>
      <c r="ME41" s="334">
        <v>28.75</v>
      </c>
      <c r="MF41" s="334">
        <v>0.43</v>
      </c>
      <c r="MG41" s="334">
        <v>37.817999999999998</v>
      </c>
      <c r="MH41" s="334">
        <v>29.875</v>
      </c>
      <c r="MI41" s="334">
        <v>0.43</v>
      </c>
      <c r="MJ41" s="334">
        <v>37.817999999999998</v>
      </c>
      <c r="MK41" s="334">
        <v>28.375</v>
      </c>
      <c r="ML41" s="334">
        <v>0.42</v>
      </c>
      <c r="MM41" s="334">
        <v>37.817999999999998</v>
      </c>
      <c r="MN41" s="334">
        <v>30</v>
      </c>
      <c r="MO41" s="334">
        <v>0.42</v>
      </c>
      <c r="MP41" s="334">
        <v>37.817999999999998</v>
      </c>
      <c r="MQ41" s="334">
        <v>29</v>
      </c>
      <c r="MR41" s="334">
        <v>0.42</v>
      </c>
      <c r="MS41" s="334">
        <v>37.817999999999998</v>
      </c>
      <c r="MT41" s="334">
        <v>27.875</v>
      </c>
      <c r="MU41" s="334">
        <v>0.42</v>
      </c>
      <c r="MV41" s="334">
        <v>37.817999999999998</v>
      </c>
      <c r="MW41" s="334">
        <v>27.625</v>
      </c>
      <c r="MX41" s="334">
        <v>0.41</v>
      </c>
      <c r="MY41" s="334">
        <v>37.817999999999998</v>
      </c>
      <c r="MZ41" s="334">
        <v>27</v>
      </c>
      <c r="NA41" s="334">
        <v>0.41</v>
      </c>
      <c r="NB41" s="334">
        <v>37.817999999999998</v>
      </c>
      <c r="NC41" s="334">
        <v>27.125</v>
      </c>
      <c r="ND41" s="334">
        <v>0.41</v>
      </c>
      <c r="NE41" s="334">
        <v>37.817999999999998</v>
      </c>
      <c r="NF41" s="334">
        <v>25.125</v>
      </c>
      <c r="NG41" s="334">
        <v>0.41</v>
      </c>
      <c r="NH41" s="334">
        <v>37.817999999999998</v>
      </c>
      <c r="NI41" s="334">
        <v>28.625</v>
      </c>
      <c r="NJ41" s="334">
        <v>0.41</v>
      </c>
      <c r="NK41" s="334">
        <v>37.817999999999998</v>
      </c>
      <c r="NL41" s="334">
        <v>29</v>
      </c>
      <c r="NM41" s="334">
        <v>0.4</v>
      </c>
      <c r="NN41" s="334">
        <v>37.817999999999998</v>
      </c>
      <c r="NO41" s="334">
        <v>31.875</v>
      </c>
      <c r="NP41" s="334">
        <v>0.4</v>
      </c>
      <c r="NQ41" s="334">
        <v>37.817999999999998</v>
      </c>
      <c r="NR41" s="334">
        <v>30.5</v>
      </c>
      <c r="NS41" s="334">
        <v>0.4</v>
      </c>
      <c r="NT41" s="334">
        <v>37.817999999999998</v>
      </c>
      <c r="NU41" s="334">
        <v>30.625</v>
      </c>
      <c r="NV41" s="334">
        <v>0.4</v>
      </c>
      <c r="NW41" s="334">
        <v>37.817999999999998</v>
      </c>
      <c r="NX41" s="334">
        <v>28.13</v>
      </c>
      <c r="NY41" s="334">
        <v>0.39</v>
      </c>
      <c r="NZ41" s="334">
        <v>37.817999999999998</v>
      </c>
      <c r="OA41" s="334">
        <v>28.25</v>
      </c>
      <c r="OB41" s="334">
        <v>0.39</v>
      </c>
      <c r="OC41" s="334">
        <v>37.817999999999998</v>
      </c>
      <c r="OD41" s="334">
        <v>26.5</v>
      </c>
      <c r="OE41" s="334">
        <v>0.39</v>
      </c>
      <c r="OF41" s="334">
        <v>37.817999999999998</v>
      </c>
      <c r="OG41" s="334">
        <v>24.63</v>
      </c>
      <c r="OH41" s="334">
        <v>0.39</v>
      </c>
      <c r="OI41" s="334">
        <v>37.817999999999998</v>
      </c>
      <c r="OJ41" s="334">
        <v>27.63</v>
      </c>
      <c r="OK41" s="334">
        <v>0.38</v>
      </c>
      <c r="OL41" s="334">
        <v>37.817999999999998</v>
      </c>
      <c r="OM41" s="334">
        <v>25.63</v>
      </c>
      <c r="ON41" s="334">
        <v>0.38</v>
      </c>
      <c r="OO41" s="334">
        <v>37.817999999999998</v>
      </c>
      <c r="OP41" s="334">
        <v>22.63</v>
      </c>
      <c r="OQ41" s="334">
        <v>0.38</v>
      </c>
      <c r="OR41" s="334">
        <v>37.817999999999998</v>
      </c>
      <c r="OS41" s="334">
        <v>21.25</v>
      </c>
      <c r="OT41" s="334">
        <v>0.38</v>
      </c>
      <c r="OU41" s="334">
        <v>37.817999999999998</v>
      </c>
      <c r="OV41" s="334">
        <v>20.75</v>
      </c>
    </row>
    <row r="42" spans="1:412" ht="15">
      <c r="A42" s="294" t="s">
        <v>558</v>
      </c>
      <c r="B42" s="335" t="s">
        <v>557</v>
      </c>
      <c r="C42" s="335">
        <v>230.3</v>
      </c>
      <c r="D42" s="335">
        <v>61.55</v>
      </c>
      <c r="E42" s="335">
        <v>0.66749999999999998</v>
      </c>
      <c r="F42" s="335">
        <v>230.3</v>
      </c>
      <c r="G42" s="335">
        <v>62.01</v>
      </c>
      <c r="H42" s="335">
        <v>0.64249999999999996</v>
      </c>
      <c r="I42" s="335">
        <v>230.2</v>
      </c>
      <c r="J42" s="335">
        <v>52.97</v>
      </c>
      <c r="K42" s="335">
        <v>0.64249999999999996</v>
      </c>
      <c r="L42" s="335">
        <v>230.1</v>
      </c>
      <c r="M42" s="335">
        <v>53.38</v>
      </c>
      <c r="N42" s="335">
        <v>0.64249999999999996</v>
      </c>
      <c r="O42" s="335">
        <v>230.1</v>
      </c>
      <c r="P42" s="335">
        <v>52.2</v>
      </c>
      <c r="Q42" s="335">
        <v>0.64249999999999996</v>
      </c>
      <c r="R42" s="340">
        <v>230.1</v>
      </c>
      <c r="S42" s="340">
        <v>50.7</v>
      </c>
      <c r="T42" s="340">
        <v>0.61250000000000004</v>
      </c>
      <c r="U42" s="340">
        <v>230</v>
      </c>
      <c r="V42" s="340">
        <v>58.42</v>
      </c>
      <c r="W42" s="340">
        <v>0.61250000000000004</v>
      </c>
      <c r="X42" s="340">
        <v>229.9</v>
      </c>
      <c r="Y42" s="340">
        <v>61.12</v>
      </c>
      <c r="Z42" s="340">
        <v>0.61250000000000004</v>
      </c>
      <c r="AA42" s="340">
        <v>229.9</v>
      </c>
      <c r="AB42" s="340">
        <v>62.93</v>
      </c>
      <c r="AC42" s="340">
        <v>0.61250000000000004</v>
      </c>
      <c r="AD42" s="340">
        <v>229.9</v>
      </c>
      <c r="AE42" s="340">
        <v>59.4</v>
      </c>
      <c r="AF42" s="340">
        <v>0.57250000000000001</v>
      </c>
      <c r="AG42" s="340">
        <v>229.8</v>
      </c>
      <c r="AH42" s="340">
        <v>65.25</v>
      </c>
      <c r="AI42" s="340">
        <v>0.57250000000000001</v>
      </c>
      <c r="AJ42" s="340">
        <v>229</v>
      </c>
      <c r="AK42" s="340">
        <v>68.34</v>
      </c>
      <c r="AL42" s="340">
        <v>0.57250000000000001</v>
      </c>
      <c r="AM42" s="340">
        <v>229.7</v>
      </c>
      <c r="AN42" s="340">
        <v>68.61</v>
      </c>
      <c r="AO42" s="340">
        <v>0.57250000000000001</v>
      </c>
      <c r="AP42" s="340">
        <v>229.3</v>
      </c>
      <c r="AQ42" s="340">
        <v>62.2</v>
      </c>
      <c r="AR42" s="340">
        <v>0.53500000000000003</v>
      </c>
      <c r="AS42" s="340">
        <v>227.3</v>
      </c>
      <c r="AT42" s="340">
        <v>60.43</v>
      </c>
      <c r="AU42" s="340">
        <v>0.53500000000000003</v>
      </c>
      <c r="AV42" s="340">
        <v>227.2</v>
      </c>
      <c r="AW42" s="340">
        <v>59.53</v>
      </c>
      <c r="AX42" s="340">
        <v>0.53500000000000003</v>
      </c>
      <c r="AY42" s="503">
        <v>227.3</v>
      </c>
      <c r="AZ42" s="503">
        <v>55.51</v>
      </c>
      <c r="BA42" s="503">
        <v>0.53500000000000003</v>
      </c>
      <c r="BB42" s="504">
        <v>227.2</v>
      </c>
      <c r="BC42" s="504">
        <v>50.82</v>
      </c>
      <c r="BD42" s="504">
        <v>0.505</v>
      </c>
      <c r="BE42" s="504">
        <v>227.1</v>
      </c>
      <c r="BF42" s="504">
        <v>59.29</v>
      </c>
      <c r="BG42" s="504">
        <v>0.505</v>
      </c>
      <c r="BH42" s="504">
        <v>239.5</v>
      </c>
      <c r="BI42" s="504">
        <v>55.05</v>
      </c>
      <c r="BJ42" s="504">
        <v>0.505</v>
      </c>
      <c r="BK42" s="504">
        <v>234.6</v>
      </c>
      <c r="BL42" s="504">
        <v>65.09</v>
      </c>
      <c r="BM42" s="504">
        <v>0.505</v>
      </c>
      <c r="BN42" s="504">
        <v>243.2</v>
      </c>
      <c r="BO42" s="504">
        <v>66.56</v>
      </c>
      <c r="BP42" s="504">
        <v>0.47499999999999998</v>
      </c>
      <c r="BQ42" s="504">
        <v>252.8</v>
      </c>
      <c r="BR42" s="504">
        <v>60.15</v>
      </c>
      <c r="BS42" s="504">
        <v>0.47499999999999998</v>
      </c>
      <c r="BT42" s="523">
        <v>268.60000000000002</v>
      </c>
      <c r="BU42" s="504">
        <v>58.05</v>
      </c>
      <c r="BV42" s="504">
        <v>0.47499999999999998</v>
      </c>
      <c r="BW42" s="504">
        <v>268.60000000000002</v>
      </c>
      <c r="BX42" s="504">
        <v>56.77</v>
      </c>
      <c r="BY42" s="507">
        <v>0.47499999999999998</v>
      </c>
      <c r="BZ42" s="523">
        <v>271.71037000000001</v>
      </c>
      <c r="CA42" s="504">
        <v>54.92</v>
      </c>
      <c r="CB42" s="514">
        <v>0.46</v>
      </c>
      <c r="CC42" s="523">
        <v>271.71037000000001</v>
      </c>
      <c r="CD42" s="503">
        <v>56.15</v>
      </c>
      <c r="CE42" s="503">
        <v>0.4</v>
      </c>
      <c r="CF42" s="524">
        <v>272.80708073664198</v>
      </c>
      <c r="CG42" s="503">
        <v>52.59</v>
      </c>
      <c r="CH42" s="503">
        <v>0.4</v>
      </c>
      <c r="CI42" s="523">
        <v>274.11965366666664</v>
      </c>
      <c r="CJ42" s="503">
        <v>52.8</v>
      </c>
      <c r="CK42" s="503">
        <v>0.4</v>
      </c>
      <c r="CL42" s="523">
        <v>274.11191835483868</v>
      </c>
      <c r="CM42" s="503">
        <v>49.6</v>
      </c>
      <c r="CN42" s="503">
        <v>0.4</v>
      </c>
      <c r="CO42" s="503">
        <v>142.436622</v>
      </c>
      <c r="CP42" s="503">
        <v>53.02</v>
      </c>
      <c r="CQ42" s="503">
        <v>0.4</v>
      </c>
      <c r="CR42" s="504">
        <v>142.06755799999999</v>
      </c>
      <c r="CS42" s="504">
        <v>54.27</v>
      </c>
      <c r="CT42" s="514">
        <v>0.4</v>
      </c>
      <c r="CU42" s="503">
        <v>142.09070600000001</v>
      </c>
      <c r="CV42" s="503">
        <v>56.35</v>
      </c>
      <c r="CW42" s="503">
        <v>0.38</v>
      </c>
      <c r="CX42" s="339">
        <v>142.03384199999999</v>
      </c>
      <c r="CY42" s="339">
        <v>56.75</v>
      </c>
      <c r="CZ42" s="339">
        <v>0.38</v>
      </c>
      <c r="DA42" s="339">
        <v>141.99284599999999</v>
      </c>
      <c r="DB42" s="339">
        <v>56.09</v>
      </c>
      <c r="DC42" s="339">
        <v>0.38</v>
      </c>
      <c r="DD42" s="339">
        <v>137.957515</v>
      </c>
      <c r="DE42" s="339">
        <v>49.61</v>
      </c>
      <c r="DF42" s="511">
        <v>0.38</v>
      </c>
      <c r="DG42" s="339">
        <v>141.62269699999999</v>
      </c>
      <c r="DH42" s="339">
        <v>42.41</v>
      </c>
      <c r="DI42" s="339">
        <v>0.36</v>
      </c>
      <c r="DJ42" s="339">
        <v>135.93919700000001</v>
      </c>
      <c r="DK42" s="339">
        <v>38.44</v>
      </c>
      <c r="DL42" s="339">
        <v>0.36</v>
      </c>
      <c r="DM42" s="339">
        <v>132.39549700000001</v>
      </c>
      <c r="DN42" s="339">
        <v>34.22</v>
      </c>
      <c r="DO42" s="339">
        <v>0.36</v>
      </c>
      <c r="DP42" s="340">
        <v>131.48291</v>
      </c>
      <c r="DQ42" s="340">
        <v>38.76</v>
      </c>
      <c r="DR42" s="515">
        <v>0.36</v>
      </c>
      <c r="DS42" s="339">
        <v>130.19619299999999</v>
      </c>
      <c r="DT42" s="339">
        <v>41.24</v>
      </c>
      <c r="DU42" s="339">
        <v>0.35</v>
      </c>
      <c r="DV42" s="339">
        <v>129.363382</v>
      </c>
      <c r="DW42" s="339">
        <v>34.119999999999997</v>
      </c>
      <c r="DX42" s="339">
        <v>0.35</v>
      </c>
      <c r="DY42" s="339">
        <v>129.00411199999999</v>
      </c>
      <c r="DZ42" s="339">
        <v>38.19</v>
      </c>
      <c r="EA42" s="339">
        <v>0.35</v>
      </c>
      <c r="EB42" s="340">
        <v>127.46299399999999</v>
      </c>
      <c r="EC42" s="340">
        <v>35.159999999999997</v>
      </c>
      <c r="ED42" s="515">
        <v>0.35</v>
      </c>
      <c r="EE42" s="339">
        <v>127.44479200000001</v>
      </c>
      <c r="EF42" s="339">
        <v>32.17</v>
      </c>
      <c r="EG42" s="339">
        <v>0.34</v>
      </c>
      <c r="EH42" s="339">
        <v>127.31141100000001</v>
      </c>
      <c r="EI42" s="339">
        <v>30.65</v>
      </c>
      <c r="EJ42" s="339">
        <v>0.34</v>
      </c>
      <c r="EK42" s="339">
        <v>127.196454</v>
      </c>
      <c r="EL42" s="339">
        <v>31.96</v>
      </c>
      <c r="EM42" s="339">
        <v>0.34</v>
      </c>
      <c r="EN42" s="340">
        <v>126.71186899999999</v>
      </c>
      <c r="EO42" s="340">
        <v>33.18</v>
      </c>
      <c r="EP42" s="515">
        <v>0.34</v>
      </c>
      <c r="EQ42" s="339">
        <v>126.783248</v>
      </c>
      <c r="ER42" s="339">
        <v>28.62</v>
      </c>
      <c r="ES42" s="339">
        <v>0.33</v>
      </c>
      <c r="ET42" s="339">
        <v>126.637067</v>
      </c>
      <c r="EU42" s="339">
        <v>29.66</v>
      </c>
      <c r="EV42" s="339">
        <v>0.33</v>
      </c>
      <c r="EW42" s="339">
        <v>126.495075</v>
      </c>
      <c r="EX42" s="339">
        <v>29.95</v>
      </c>
      <c r="EY42" s="339">
        <v>0.33</v>
      </c>
      <c r="EZ42" s="340">
        <v>116.890552</v>
      </c>
      <c r="FA42" s="340">
        <v>27.94</v>
      </c>
      <c r="FB42" s="515">
        <v>0.33</v>
      </c>
      <c r="FC42" s="339">
        <v>116.806596</v>
      </c>
      <c r="FD42" s="339">
        <v>28.8</v>
      </c>
      <c r="FE42" s="339">
        <v>0.32</v>
      </c>
      <c r="FF42" s="339">
        <v>114.908123</v>
      </c>
      <c r="FG42" s="339">
        <v>26.42</v>
      </c>
      <c r="FH42" s="339">
        <v>0.32</v>
      </c>
      <c r="FI42" s="339">
        <v>113.875389</v>
      </c>
      <c r="FJ42" s="339">
        <v>26.91</v>
      </c>
      <c r="FK42" s="339">
        <v>0.32</v>
      </c>
      <c r="FL42" s="339">
        <v>112.348</v>
      </c>
      <c r="FM42" s="339">
        <v>26.42</v>
      </c>
      <c r="FN42" s="511">
        <v>0.32</v>
      </c>
      <c r="FO42" s="339">
        <v>111.706541</v>
      </c>
      <c r="FP42" s="339">
        <v>25.16</v>
      </c>
      <c r="FQ42" s="339">
        <v>0.31</v>
      </c>
      <c r="FR42" s="339">
        <v>111.522803</v>
      </c>
      <c r="FS42" s="339">
        <v>24.23</v>
      </c>
      <c r="FT42" s="339">
        <v>0.31</v>
      </c>
      <c r="FU42" s="339">
        <v>110.925146</v>
      </c>
      <c r="FV42" s="339">
        <v>21.61</v>
      </c>
      <c r="FW42" s="339">
        <v>0.31</v>
      </c>
      <c r="FX42" s="339">
        <v>109.96</v>
      </c>
      <c r="FY42" s="339">
        <v>22.3</v>
      </c>
      <c r="FZ42" s="339">
        <v>0.31</v>
      </c>
      <c r="GA42" s="339">
        <v>109.75303599999999</v>
      </c>
      <c r="GB42" s="339">
        <v>21.72</v>
      </c>
      <c r="GC42" s="339">
        <v>0.3</v>
      </c>
      <c r="GD42" s="339">
        <v>109.538854</v>
      </c>
      <c r="GE42" s="339">
        <v>19.510000000000002</v>
      </c>
      <c r="GF42" s="339">
        <v>0.3</v>
      </c>
      <c r="GG42" s="339">
        <v>109.331</v>
      </c>
      <c r="GH42" s="339">
        <v>18.77</v>
      </c>
      <c r="GI42" s="339">
        <v>0.3</v>
      </c>
      <c r="GJ42" s="339">
        <v>108.9</v>
      </c>
      <c r="GK42" s="339">
        <v>17.53</v>
      </c>
      <c r="GL42" s="339">
        <v>0.3</v>
      </c>
      <c r="GM42" s="519">
        <v>108.714778</v>
      </c>
      <c r="GN42" s="339">
        <v>20.51</v>
      </c>
      <c r="GO42" s="339">
        <v>0.28999999999999998</v>
      </c>
      <c r="GP42" s="339">
        <v>100.73381500000001</v>
      </c>
      <c r="GQ42" s="339">
        <v>23.04</v>
      </c>
      <c r="GR42" s="339">
        <v>0.28999999999999998</v>
      </c>
      <c r="GS42" s="339">
        <v>97.415865999999994</v>
      </c>
      <c r="GT42" s="339">
        <v>21.51</v>
      </c>
      <c r="GU42" s="339">
        <v>0.28999999999999998</v>
      </c>
      <c r="GV42" s="339">
        <v>90.675511</v>
      </c>
      <c r="GW42" s="339">
        <v>22.77</v>
      </c>
      <c r="GX42" s="339">
        <v>0.28999999999999998</v>
      </c>
      <c r="GY42" s="339">
        <v>91.940878999999995</v>
      </c>
      <c r="GZ42" s="339">
        <v>25.94</v>
      </c>
      <c r="HA42" s="339">
        <v>0.27</v>
      </c>
      <c r="HB42" s="339">
        <v>89.781651999999994</v>
      </c>
      <c r="HC42" s="339">
        <v>24.56</v>
      </c>
      <c r="HD42" s="339">
        <v>0.27</v>
      </c>
      <c r="HE42" s="339">
        <v>87.947281000000004</v>
      </c>
      <c r="HF42" s="339">
        <v>24.28</v>
      </c>
      <c r="HG42" s="339">
        <v>0.27</v>
      </c>
      <c r="HH42" s="339">
        <v>87.509799999999998</v>
      </c>
      <c r="HI42" s="505">
        <v>27.52</v>
      </c>
      <c r="HJ42" s="339">
        <v>0.27</v>
      </c>
      <c r="HK42" s="339">
        <v>87.578092999999996</v>
      </c>
      <c r="HL42" s="339">
        <v>25.96</v>
      </c>
      <c r="HM42" s="339">
        <v>0.25</v>
      </c>
      <c r="HN42" s="339">
        <v>87.461995999999999</v>
      </c>
      <c r="HO42" s="339">
        <v>23.51</v>
      </c>
      <c r="HP42" s="339">
        <v>0.25</v>
      </c>
      <c r="HQ42" s="339">
        <v>87.279334000000006</v>
      </c>
      <c r="HR42" s="339">
        <v>21.05</v>
      </c>
      <c r="HS42" s="339">
        <v>0.25</v>
      </c>
      <c r="HT42" s="339">
        <v>87.069000000000003</v>
      </c>
      <c r="HU42" s="339">
        <v>20.81</v>
      </c>
      <c r="HV42" s="339">
        <v>0.25</v>
      </c>
      <c r="HW42" s="339">
        <v>86.949725999999998</v>
      </c>
      <c r="HX42" s="506">
        <v>21.5</v>
      </c>
      <c r="HY42" s="513">
        <f>0.92/4</f>
        <v>0.23</v>
      </c>
      <c r="HZ42" s="339">
        <v>86.827477000000002</v>
      </c>
      <c r="IA42" s="339">
        <v>24.13</v>
      </c>
      <c r="IB42" s="339">
        <v>0.23</v>
      </c>
      <c r="IC42" s="339">
        <v>86.569148999999996</v>
      </c>
      <c r="ID42" s="339">
        <v>24.03</v>
      </c>
      <c r="IE42" s="339">
        <v>0.23</v>
      </c>
      <c r="IF42" s="339">
        <v>86.059209999999993</v>
      </c>
      <c r="IG42" s="339">
        <v>21.64</v>
      </c>
      <c r="IH42" s="339">
        <v>0.23</v>
      </c>
      <c r="II42" s="339">
        <v>86.059209999999993</v>
      </c>
      <c r="IJ42" s="505">
        <v>22.87</v>
      </c>
      <c r="IK42" s="339">
        <v>0.23</v>
      </c>
      <c r="IL42" s="339">
        <v>85.833950000000002</v>
      </c>
      <c r="IM42" s="339">
        <v>20.2</v>
      </c>
      <c r="IN42" s="339">
        <v>0.19</v>
      </c>
      <c r="IO42" s="339">
        <v>73.609221000000005</v>
      </c>
      <c r="IP42" s="339">
        <v>19.91</v>
      </c>
      <c r="IQ42" s="339">
        <v>0.19</v>
      </c>
      <c r="IR42" s="339">
        <v>72.817132000000001</v>
      </c>
      <c r="IS42" s="339">
        <v>20.96</v>
      </c>
      <c r="IT42" s="339">
        <v>0.19</v>
      </c>
      <c r="IU42" s="339">
        <v>72.571600000000004</v>
      </c>
      <c r="IV42" s="339">
        <v>20.25</v>
      </c>
      <c r="IW42" s="339">
        <v>0.19</v>
      </c>
      <c r="IX42" s="339">
        <v>72.207472999999993</v>
      </c>
      <c r="IY42" s="339">
        <v>18.45</v>
      </c>
      <c r="IZ42" s="339">
        <v>0.19</v>
      </c>
      <c r="JA42" s="339">
        <v>72.038854000000001</v>
      </c>
      <c r="JB42" s="339">
        <v>16.23</v>
      </c>
      <c r="JC42" s="339">
        <v>0.19</v>
      </c>
      <c r="JD42" s="339">
        <v>71.442584999999994</v>
      </c>
      <c r="JE42" s="339">
        <v>12.12</v>
      </c>
      <c r="JF42" s="339">
        <v>0.19</v>
      </c>
      <c r="JG42" s="339">
        <v>71.442584999999994</v>
      </c>
      <c r="JH42" s="339">
        <v>9.9</v>
      </c>
      <c r="JI42" s="339">
        <v>0.3</v>
      </c>
      <c r="JJ42" s="339">
        <v>71.645655000000005</v>
      </c>
      <c r="JK42" s="339">
        <v>10.06</v>
      </c>
      <c r="JL42" s="339">
        <v>0.3</v>
      </c>
      <c r="JM42" s="339">
        <v>71.368921999999998</v>
      </c>
      <c r="JN42" s="339">
        <v>15.35</v>
      </c>
      <c r="JO42" s="339">
        <v>0.3</v>
      </c>
      <c r="JP42" s="339">
        <v>70.650000000000006</v>
      </c>
      <c r="JQ42" s="339">
        <v>17.149999999999999</v>
      </c>
      <c r="JR42" s="339">
        <v>0.3</v>
      </c>
      <c r="JS42" s="339">
        <v>70.736000000000004</v>
      </c>
      <c r="JT42" s="339">
        <v>17.2</v>
      </c>
      <c r="JU42" s="339">
        <v>0.3</v>
      </c>
      <c r="JV42" s="339">
        <v>70.409000000000006</v>
      </c>
      <c r="JW42" s="339">
        <v>16.55</v>
      </c>
      <c r="JX42" s="339">
        <v>0.3</v>
      </c>
      <c r="JY42" s="339">
        <v>70.359297999999995</v>
      </c>
      <c r="JZ42" s="339">
        <v>21.5</v>
      </c>
      <c r="KA42" s="339">
        <v>0.3</v>
      </c>
      <c r="KB42" s="339">
        <v>69.984999999999999</v>
      </c>
      <c r="KC42" s="339">
        <v>23.85</v>
      </c>
      <c r="KD42" s="339">
        <v>0.3</v>
      </c>
      <c r="KE42" s="339">
        <v>69.382000000000005</v>
      </c>
      <c r="KF42" s="339">
        <v>24.8125</v>
      </c>
      <c r="KG42" s="339">
        <v>0.3</v>
      </c>
      <c r="KH42" s="339">
        <v>68.730999999999995</v>
      </c>
      <c r="KI42" s="339">
        <v>21.625</v>
      </c>
      <c r="KJ42" s="339">
        <v>0.3</v>
      </c>
      <c r="KK42" s="339">
        <v>67.733999999999995</v>
      </c>
      <c r="KL42" s="339">
        <v>15.5</v>
      </c>
      <c r="KM42" s="339">
        <v>0.3</v>
      </c>
      <c r="KN42" s="339">
        <v>68.012</v>
      </c>
      <c r="KO42" s="339">
        <v>15.8125</v>
      </c>
      <c r="KP42" s="339">
        <v>0.53500000000000003</v>
      </c>
      <c r="KQ42" s="339">
        <v>67.554000000000002</v>
      </c>
      <c r="KR42" s="339">
        <v>16.9375</v>
      </c>
      <c r="KS42" s="339">
        <v>0.53500000000000003</v>
      </c>
      <c r="KT42" s="339">
        <v>67.2</v>
      </c>
      <c r="KU42" s="339">
        <v>21.375</v>
      </c>
      <c r="KV42" s="339">
        <v>0.53500000000000003</v>
      </c>
      <c r="KW42" s="334">
        <v>65.63</v>
      </c>
      <c r="KX42" s="334">
        <v>26.625</v>
      </c>
      <c r="KY42" s="334">
        <v>0.53500000000000003</v>
      </c>
      <c r="KZ42" s="334">
        <v>65.7</v>
      </c>
      <c r="LA42" s="334">
        <v>26.6875</v>
      </c>
      <c r="LB42" s="334">
        <v>0.53500000000000003</v>
      </c>
      <c r="LC42" s="334">
        <v>65.7</v>
      </c>
      <c r="LD42" s="334">
        <v>33.25</v>
      </c>
      <c r="LE42" s="334">
        <v>0.53500000000000003</v>
      </c>
      <c r="LF42" s="334">
        <v>65.41</v>
      </c>
      <c r="LG42" s="334">
        <v>41.375</v>
      </c>
      <c r="LH42" s="334">
        <v>0.53500000000000003</v>
      </c>
      <c r="LI42" s="334">
        <v>65.41</v>
      </c>
      <c r="LJ42" s="334">
        <v>38.813000000000002</v>
      </c>
      <c r="LK42" s="334">
        <v>0.53500000000000003</v>
      </c>
      <c r="LL42" s="334">
        <v>65.239999999999995</v>
      </c>
      <c r="LM42" s="334">
        <v>42.75</v>
      </c>
      <c r="LN42" s="334">
        <v>0.52500000000000002</v>
      </c>
      <c r="LO42" s="334">
        <v>65.242999999999995</v>
      </c>
      <c r="LP42" s="334">
        <v>43</v>
      </c>
      <c r="LQ42" s="334">
        <v>0.52500000000000002</v>
      </c>
      <c r="LR42" s="334">
        <v>64.807000000000002</v>
      </c>
      <c r="LS42" s="334">
        <v>34.375</v>
      </c>
      <c r="LT42" s="334">
        <v>0.52500000000000002</v>
      </c>
      <c r="LU42" s="334">
        <v>64.807000000000002</v>
      </c>
      <c r="LV42" s="334">
        <v>32.438000000000002</v>
      </c>
      <c r="LW42" s="334">
        <v>0.52500000000000002</v>
      </c>
      <c r="LX42" s="334">
        <v>64.161000000000001</v>
      </c>
      <c r="LY42" s="334">
        <v>30</v>
      </c>
      <c r="LZ42" s="334">
        <v>0.52500000000000002</v>
      </c>
      <c r="MA42" s="334">
        <v>64.161000000000001</v>
      </c>
      <c r="MB42" s="334">
        <v>30.875</v>
      </c>
      <c r="MC42" s="334">
        <v>0.51500000000000001</v>
      </c>
      <c r="MD42" s="334">
        <v>62.244</v>
      </c>
      <c r="ME42" s="334">
        <v>29.125</v>
      </c>
      <c r="MF42" s="334">
        <v>0.51500000000000001</v>
      </c>
      <c r="MG42" s="334">
        <v>62.244</v>
      </c>
      <c r="MH42" s="334">
        <v>29.875</v>
      </c>
      <c r="MI42" s="334">
        <v>0.51500000000000001</v>
      </c>
      <c r="MJ42" s="334">
        <v>62.244</v>
      </c>
      <c r="MK42" s="334">
        <v>30.5</v>
      </c>
      <c r="ML42" s="334">
        <v>0.51500000000000001</v>
      </c>
      <c r="MM42" s="334">
        <v>62.244</v>
      </c>
      <c r="MN42" s="334">
        <v>33.375</v>
      </c>
      <c r="MO42" s="334">
        <v>0.505</v>
      </c>
      <c r="MP42" s="334">
        <v>67.747</v>
      </c>
      <c r="MQ42" s="334">
        <v>32.625</v>
      </c>
      <c r="MR42" s="334">
        <v>0.505</v>
      </c>
      <c r="MS42" s="334">
        <v>67.747</v>
      </c>
      <c r="MT42" s="334">
        <v>30.875</v>
      </c>
      <c r="MU42" s="334">
        <v>0.505</v>
      </c>
      <c r="MV42" s="334">
        <v>67.747</v>
      </c>
      <c r="MW42" s="334">
        <v>31.125</v>
      </c>
      <c r="MX42" s="334">
        <v>0.505</v>
      </c>
      <c r="MY42" s="334">
        <v>67.671000000000006</v>
      </c>
      <c r="MZ42" s="334">
        <v>28.625</v>
      </c>
      <c r="NA42" s="334">
        <v>0.495</v>
      </c>
      <c r="NB42" s="334">
        <v>67.671000000000006</v>
      </c>
      <c r="NC42" s="334">
        <v>28.375</v>
      </c>
      <c r="ND42" s="334">
        <v>0.495</v>
      </c>
      <c r="NE42" s="334">
        <v>61.618000000000002</v>
      </c>
      <c r="NF42" s="334">
        <v>26.875</v>
      </c>
      <c r="NG42" s="334">
        <v>0.495</v>
      </c>
      <c r="NH42" s="334">
        <v>59.441000000000003</v>
      </c>
      <c r="NI42" s="334">
        <v>28.625</v>
      </c>
      <c r="NJ42" s="334">
        <v>0.495</v>
      </c>
      <c r="NK42" s="334">
        <v>59.441000000000003</v>
      </c>
      <c r="NL42" s="334">
        <v>34.875</v>
      </c>
      <c r="NM42" s="334">
        <v>0.48499999999999999</v>
      </c>
      <c r="NN42" s="334">
        <v>59.441000000000003</v>
      </c>
      <c r="NO42" s="334">
        <v>35.75</v>
      </c>
      <c r="NP42" s="334">
        <v>0.48499999999999999</v>
      </c>
      <c r="NQ42" s="334">
        <v>58.045999999999999</v>
      </c>
      <c r="NR42" s="334">
        <v>34.875</v>
      </c>
      <c r="NS42" s="334">
        <v>0.48499999999999999</v>
      </c>
      <c r="NT42" s="334">
        <v>58.045999999999999</v>
      </c>
      <c r="NU42" s="334">
        <v>34.75</v>
      </c>
      <c r="NV42" s="334">
        <v>0.48499999999999999</v>
      </c>
      <c r="NW42" s="334">
        <v>50.219000000000001</v>
      </c>
      <c r="NX42" s="334">
        <v>31.5</v>
      </c>
      <c r="NY42" s="334">
        <v>0.47499999999999998</v>
      </c>
      <c r="NZ42" s="334">
        <v>50.219000000000001</v>
      </c>
      <c r="OA42" s="334">
        <v>29.625</v>
      </c>
      <c r="OB42" s="334">
        <v>0.47499999999999998</v>
      </c>
      <c r="OC42" s="334">
        <v>46.435000000000002</v>
      </c>
      <c r="OD42" s="334">
        <v>26.375</v>
      </c>
      <c r="OE42" s="334">
        <v>0.47499999999999998</v>
      </c>
      <c r="OF42" s="334">
        <v>34.566000000000003</v>
      </c>
      <c r="OG42" s="334">
        <v>25.625</v>
      </c>
      <c r="OH42" s="334">
        <v>0.46500000000000002</v>
      </c>
      <c r="OI42" s="334">
        <v>34.566000000000003</v>
      </c>
      <c r="OJ42" s="334">
        <v>23.875</v>
      </c>
      <c r="OK42" s="334">
        <v>0.46500000000000002</v>
      </c>
      <c r="OL42" s="334">
        <v>34.566000000000003</v>
      </c>
      <c r="OM42" s="334">
        <v>26</v>
      </c>
      <c r="ON42" s="334">
        <v>0.46500000000000002</v>
      </c>
      <c r="OO42" s="334">
        <v>34.566000000000003</v>
      </c>
      <c r="OP42" s="334">
        <v>23.875</v>
      </c>
      <c r="OQ42" s="334">
        <v>0.46500000000000002</v>
      </c>
      <c r="OR42" s="334">
        <v>34.566000000000003</v>
      </c>
      <c r="OS42" s="334">
        <v>23.875</v>
      </c>
      <c r="OT42" s="334">
        <v>0.63</v>
      </c>
      <c r="OU42" s="334">
        <v>34.566000000000003</v>
      </c>
      <c r="OV42" s="334">
        <v>21.13</v>
      </c>
    </row>
    <row r="43" spans="1:412">
      <c r="A43" s="294" t="s">
        <v>36</v>
      </c>
      <c r="B43" s="335" t="s">
        <v>127</v>
      </c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503"/>
      <c r="AZ43" s="503"/>
      <c r="BA43" s="503"/>
      <c r="BB43" s="503"/>
      <c r="BC43" s="503"/>
      <c r="BD43" s="503"/>
      <c r="BE43" s="503"/>
      <c r="BF43" s="503"/>
      <c r="BG43" s="503"/>
      <c r="BH43" s="503"/>
      <c r="BI43" s="503"/>
      <c r="BJ43" s="503"/>
      <c r="BK43" s="503"/>
      <c r="BL43" s="503"/>
      <c r="BM43" s="503"/>
      <c r="BN43" s="503"/>
      <c r="BO43" s="503"/>
      <c r="BP43" s="503"/>
      <c r="BQ43" s="504"/>
      <c r="BR43" s="504"/>
      <c r="BS43" s="504"/>
      <c r="BT43" s="504"/>
      <c r="BU43" s="504"/>
      <c r="BV43" s="504"/>
      <c r="BW43" s="504"/>
      <c r="BX43" s="504"/>
      <c r="BY43" s="504"/>
      <c r="BZ43" s="503"/>
      <c r="CA43" s="503"/>
      <c r="CB43" s="503"/>
      <c r="CC43" s="503"/>
      <c r="CD43" s="503"/>
      <c r="CE43" s="503"/>
      <c r="CF43" s="503">
        <v>215.6</v>
      </c>
      <c r="CG43" s="503">
        <v>31.79</v>
      </c>
      <c r="CH43" s="503">
        <v>0.27500000000000002</v>
      </c>
      <c r="CI43" s="503">
        <v>215.6</v>
      </c>
      <c r="CJ43" s="503">
        <v>32.24</v>
      </c>
      <c r="CK43" s="503">
        <v>0.27500000000000002</v>
      </c>
      <c r="CL43" s="503">
        <v>215.5</v>
      </c>
      <c r="CM43" s="503">
        <v>30.3</v>
      </c>
      <c r="CN43" s="503">
        <v>0.27500000000000002</v>
      </c>
      <c r="CO43" s="503">
        <v>215.3</v>
      </c>
      <c r="CP43" s="503">
        <v>29.28</v>
      </c>
      <c r="CQ43" s="503">
        <v>0.27500000000000002</v>
      </c>
      <c r="CR43" s="504">
        <v>169.4</v>
      </c>
      <c r="CS43" s="504">
        <v>29.22</v>
      </c>
      <c r="CT43" s="504">
        <v>0.27500000000000002</v>
      </c>
      <c r="CU43" s="503">
        <v>154.6</v>
      </c>
      <c r="CV43" s="503">
        <v>27.35</v>
      </c>
      <c r="CW43" s="509">
        <v>0.27500000000000002</v>
      </c>
      <c r="CX43" s="339">
        <v>154.6</v>
      </c>
      <c r="CY43" s="339">
        <v>27.29</v>
      </c>
      <c r="CZ43" s="339">
        <v>0.26250000000000001</v>
      </c>
      <c r="DA43" s="339">
        <v>154.4</v>
      </c>
      <c r="DB43" s="339">
        <v>30.4</v>
      </c>
      <c r="DC43" s="339">
        <v>0.26250000000000001</v>
      </c>
      <c r="DD43" s="339">
        <v>154.19999999999999</v>
      </c>
      <c r="DE43" s="339">
        <v>32.25</v>
      </c>
      <c r="DF43" s="339">
        <v>0.26250000000000001</v>
      </c>
      <c r="DG43" s="339">
        <v>154.19999999999999</v>
      </c>
      <c r="DH43" s="339">
        <v>27.31</v>
      </c>
      <c r="DI43" s="339">
        <v>0.26250000000000001</v>
      </c>
      <c r="DJ43" s="339">
        <v>154.1</v>
      </c>
      <c r="DK43" s="339">
        <v>27.02</v>
      </c>
      <c r="DL43" s="339">
        <v>0.245</v>
      </c>
      <c r="DM43" s="339">
        <v>154</v>
      </c>
      <c r="DN43" s="339">
        <v>24.16</v>
      </c>
      <c r="DO43" s="339">
        <v>0.245</v>
      </c>
      <c r="DP43" s="340">
        <v>154</v>
      </c>
      <c r="DQ43" s="340">
        <v>26.68</v>
      </c>
      <c r="DR43" s="340">
        <v>0.245</v>
      </c>
      <c r="DS43" s="339">
        <v>153.9</v>
      </c>
      <c r="DT43" s="339">
        <v>28.41</v>
      </c>
      <c r="DU43" s="510">
        <v>0.245</v>
      </c>
      <c r="DV43" s="339">
        <v>153.80000000000001</v>
      </c>
      <c r="DW43" s="339">
        <v>24.17</v>
      </c>
      <c r="DX43" s="339">
        <v>0.23</v>
      </c>
      <c r="DY43" s="339">
        <v>153.69999999999999</v>
      </c>
      <c r="DZ43" s="339">
        <v>26.87</v>
      </c>
      <c r="EA43" s="339">
        <v>0.23</v>
      </c>
      <c r="EB43" s="340">
        <v>153.5</v>
      </c>
      <c r="EC43" s="340">
        <v>27.04</v>
      </c>
      <c r="ED43" s="340">
        <v>0.23</v>
      </c>
      <c r="EE43" s="339">
        <v>153.6</v>
      </c>
      <c r="EF43" s="339">
        <v>24.24</v>
      </c>
      <c r="EG43" s="510">
        <v>0.23</v>
      </c>
      <c r="EH43" s="339">
        <v>153.5</v>
      </c>
      <c r="EI43" s="339">
        <v>22.2</v>
      </c>
      <c r="EJ43" s="339">
        <v>0.2175</v>
      </c>
      <c r="EK43" s="339">
        <v>153.4</v>
      </c>
      <c r="EL43" s="339">
        <v>22.54</v>
      </c>
      <c r="EM43" s="339">
        <v>0.2175</v>
      </c>
      <c r="EN43" s="340">
        <v>145.5</v>
      </c>
      <c r="EO43" s="340">
        <v>23.19</v>
      </c>
      <c r="EP43" s="340">
        <v>0.2175</v>
      </c>
      <c r="EQ43" s="339">
        <v>153.19999999999999</v>
      </c>
      <c r="ER43" s="339">
        <v>20.309999999999999</v>
      </c>
      <c r="ES43" s="510">
        <v>0.2175</v>
      </c>
      <c r="ET43" s="339">
        <v>139.6</v>
      </c>
      <c r="EU43" s="339">
        <v>22.26</v>
      </c>
      <c r="EV43" s="339">
        <v>0.21249999999999999</v>
      </c>
      <c r="EW43" s="339">
        <v>135.9</v>
      </c>
      <c r="EX43" s="339">
        <v>21.39</v>
      </c>
      <c r="EY43" s="339">
        <v>0.21249999999999999</v>
      </c>
      <c r="EZ43" s="340">
        <v>135.6</v>
      </c>
      <c r="FA43" s="340">
        <v>20.27</v>
      </c>
      <c r="FB43" s="340">
        <v>0.21249999999999999</v>
      </c>
      <c r="FC43" s="339">
        <v>135.69999999999999</v>
      </c>
      <c r="FD43" s="339">
        <v>21.78</v>
      </c>
      <c r="FE43" s="339">
        <v>0.21249999999999999</v>
      </c>
      <c r="FF43" s="339">
        <v>135.6</v>
      </c>
      <c r="FG43" s="339">
        <v>19.3</v>
      </c>
      <c r="FH43" s="339">
        <v>0.20749999999999999</v>
      </c>
      <c r="FI43" s="339">
        <v>135.4</v>
      </c>
      <c r="FJ43" s="339">
        <v>20.73</v>
      </c>
      <c r="FK43" s="339">
        <v>0.20749999999999999</v>
      </c>
      <c r="FL43" s="339">
        <v>135.1</v>
      </c>
      <c r="FM43" s="339">
        <v>20.02</v>
      </c>
      <c r="FN43" s="339">
        <v>0.20749999999999999</v>
      </c>
      <c r="FO43" s="339">
        <v>135.19999999999999</v>
      </c>
      <c r="FP43" s="339">
        <v>19.39</v>
      </c>
      <c r="FQ43" s="339">
        <v>0.20749999999999999</v>
      </c>
      <c r="FR43" s="339">
        <v>135.1</v>
      </c>
      <c r="FS43" s="339">
        <v>18.899999999999999</v>
      </c>
      <c r="FT43" s="339">
        <v>0.20749999999999999</v>
      </c>
      <c r="FU43" s="339">
        <v>134.9</v>
      </c>
      <c r="FV43" s="339">
        <v>17.02</v>
      </c>
      <c r="FW43" s="339">
        <v>0.20749999999999999</v>
      </c>
      <c r="FX43" s="339">
        <v>134.69999999999999</v>
      </c>
      <c r="FY43" s="339">
        <v>18.57</v>
      </c>
      <c r="FZ43" s="339">
        <v>0.20749999999999999</v>
      </c>
      <c r="GA43" s="339">
        <v>134.6</v>
      </c>
      <c r="GB43" s="339">
        <v>19.39</v>
      </c>
      <c r="GC43" s="339">
        <v>0.20749999999999999</v>
      </c>
      <c r="GD43" s="339">
        <v>128.5</v>
      </c>
      <c r="GE43" s="339">
        <v>17.95</v>
      </c>
      <c r="GF43" s="339">
        <v>0.20749999999999999</v>
      </c>
      <c r="GG43" s="339">
        <v>119.2</v>
      </c>
      <c r="GH43" s="339">
        <v>15.55</v>
      </c>
      <c r="GI43" s="339">
        <v>0.20749999999999999</v>
      </c>
      <c r="GJ43" s="339">
        <v>118.5</v>
      </c>
      <c r="GK43" s="339">
        <v>13.47</v>
      </c>
      <c r="GL43" s="339">
        <v>0.20749999999999999</v>
      </c>
      <c r="GM43" s="519">
        <v>113.8</v>
      </c>
      <c r="GN43" s="339">
        <v>19.329999999999998</v>
      </c>
      <c r="GO43" s="339">
        <v>0.41499999999999998</v>
      </c>
      <c r="GP43" s="339">
        <v>86</v>
      </c>
      <c r="GQ43" s="339">
        <v>22.22</v>
      </c>
      <c r="GR43" s="339">
        <v>0.41499999999999998</v>
      </c>
      <c r="GS43" s="339">
        <v>85.9</v>
      </c>
      <c r="GT43" s="339">
        <v>25.28</v>
      </c>
      <c r="GU43" s="339">
        <v>0.41499999999999998</v>
      </c>
      <c r="GV43" s="339">
        <v>84.9</v>
      </c>
      <c r="GW43" s="339">
        <v>24.65</v>
      </c>
      <c r="GX43" s="339">
        <v>0.41499999999999998</v>
      </c>
      <c r="GY43" s="339">
        <v>85.649000000000001</v>
      </c>
      <c r="GZ43" s="339">
        <v>29.32</v>
      </c>
      <c r="HA43" s="339">
        <v>0.41499999999999998</v>
      </c>
      <c r="HB43" s="339">
        <v>85.555999999999997</v>
      </c>
      <c r="HC43" s="339">
        <v>28.81</v>
      </c>
      <c r="HD43" s="339">
        <v>0.41499999999999998</v>
      </c>
      <c r="HE43" s="339">
        <v>82.813000000000002</v>
      </c>
      <c r="HF43" s="339">
        <v>29.12</v>
      </c>
      <c r="HG43" s="339">
        <v>0.41499999999999998</v>
      </c>
      <c r="HH43" s="339">
        <v>78.003</v>
      </c>
      <c r="HI43" s="505">
        <v>32.450000000000003</v>
      </c>
      <c r="HJ43" s="339">
        <v>0.41499999999999998</v>
      </c>
      <c r="HK43" s="339">
        <v>80.081000000000003</v>
      </c>
      <c r="HL43" s="339">
        <v>31.8</v>
      </c>
      <c r="HM43" s="339">
        <v>0.41499999999999998</v>
      </c>
      <c r="HN43" s="339">
        <v>76.997</v>
      </c>
      <c r="HO43" s="339">
        <v>31.02</v>
      </c>
      <c r="HP43" s="339">
        <v>0.41499999999999998</v>
      </c>
      <c r="HQ43" s="339">
        <v>74.659000000000006</v>
      </c>
      <c r="HR43" s="339">
        <v>27.86</v>
      </c>
      <c r="HS43" s="339">
        <v>0.41499999999999998</v>
      </c>
      <c r="HT43" s="339">
        <v>74.703999999999994</v>
      </c>
      <c r="HU43" s="339">
        <v>28.15</v>
      </c>
      <c r="HV43" s="339">
        <v>0.41499999999999998</v>
      </c>
      <c r="HW43" s="339">
        <v>74.653000000000006</v>
      </c>
      <c r="HX43" s="506">
        <v>27.96</v>
      </c>
      <c r="HY43" s="513">
        <f>1.66/4</f>
        <v>0.41499999999999998</v>
      </c>
      <c r="HZ43" s="339">
        <v>74.591999999999999</v>
      </c>
      <c r="IA43" s="339">
        <v>29.91</v>
      </c>
      <c r="IB43" s="339">
        <v>0.41499999999999998</v>
      </c>
      <c r="IC43" s="339">
        <v>74.436000000000007</v>
      </c>
      <c r="ID43" s="339">
        <v>31.89</v>
      </c>
      <c r="IE43" s="339">
        <v>0.41499999999999998</v>
      </c>
      <c r="IF43" s="339">
        <v>74.27</v>
      </c>
      <c r="IG43" s="339">
        <v>30.58</v>
      </c>
      <c r="IH43" s="339">
        <v>0.41499999999999998</v>
      </c>
      <c r="II43" s="339">
        <v>74.27</v>
      </c>
      <c r="IJ43" s="505">
        <v>30.28</v>
      </c>
      <c r="IK43" s="339">
        <v>0.41499999999999998</v>
      </c>
      <c r="IL43" s="339">
        <v>70.192999999999998</v>
      </c>
      <c r="IM43" s="339">
        <v>29.15</v>
      </c>
      <c r="IN43" s="339">
        <v>0.41499999999999998</v>
      </c>
      <c r="IO43" s="339">
        <v>69.257000000000005</v>
      </c>
      <c r="IP43" s="339">
        <v>29.7</v>
      </c>
      <c r="IQ43" s="339">
        <v>0.41499999999999998</v>
      </c>
      <c r="IR43" s="339">
        <v>69.206000000000003</v>
      </c>
      <c r="IS43" s="339">
        <v>33.79</v>
      </c>
      <c r="IT43" s="339">
        <v>0.41499999999999998</v>
      </c>
      <c r="IU43" s="339">
        <v>69.188999999999993</v>
      </c>
      <c r="IV43" s="339">
        <v>31.82</v>
      </c>
      <c r="IW43" s="339">
        <v>0.41499999999999998</v>
      </c>
      <c r="IX43" s="339">
        <v>69.186000000000007</v>
      </c>
      <c r="IY43" s="339">
        <v>30.32</v>
      </c>
      <c r="IZ43" s="339">
        <v>0.41499999999999998</v>
      </c>
      <c r="JA43" s="339">
        <v>69.19</v>
      </c>
      <c r="JB43" s="339">
        <v>28.88</v>
      </c>
      <c r="JC43" s="339">
        <v>0.41499999999999998</v>
      </c>
      <c r="JD43" s="339">
        <v>62.622999999999998</v>
      </c>
      <c r="JE43" s="339">
        <v>23.87</v>
      </c>
      <c r="JF43" s="339">
        <v>0.41499999999999998</v>
      </c>
      <c r="JG43" s="339">
        <v>61.908999999999999</v>
      </c>
      <c r="JH43" s="339">
        <v>22.88</v>
      </c>
      <c r="JI43" s="339">
        <v>0.41499999999999998</v>
      </c>
      <c r="JJ43" s="339">
        <v>61.908999999999999</v>
      </c>
      <c r="JK43" s="339">
        <v>19.149999999999999</v>
      </c>
      <c r="JL43" s="339">
        <v>0.41499999999999998</v>
      </c>
      <c r="JM43" s="339">
        <v>61.884</v>
      </c>
      <c r="JN43" s="339">
        <v>20.350000000000001</v>
      </c>
      <c r="JO43" s="339">
        <v>0.41499999999999998</v>
      </c>
      <c r="JP43" s="339">
        <v>61.877000000000002</v>
      </c>
      <c r="JQ43" s="339">
        <v>24.95</v>
      </c>
      <c r="JR43" s="339">
        <v>0.41499999999999998</v>
      </c>
      <c r="JS43" s="339">
        <v>61.87</v>
      </c>
      <c r="JT43" s="339">
        <v>25.2</v>
      </c>
      <c r="JU43" s="339">
        <v>0.41499999999999998</v>
      </c>
      <c r="JV43" s="339">
        <v>61.854999999999997</v>
      </c>
      <c r="JW43" s="339">
        <v>26.09</v>
      </c>
      <c r="JX43" s="339">
        <v>0.41499999999999998</v>
      </c>
      <c r="JY43" s="339">
        <v>61.853000000000002</v>
      </c>
      <c r="JZ43" s="339">
        <v>24.55</v>
      </c>
      <c r="KA43" s="339">
        <v>0.41499999999999998</v>
      </c>
      <c r="KB43" s="339">
        <v>61.908726000000001</v>
      </c>
      <c r="KC43" s="339">
        <v>24.6</v>
      </c>
      <c r="KD43" s="339">
        <v>0.41499999999999998</v>
      </c>
      <c r="KE43" s="339">
        <v>61.845999999999997</v>
      </c>
      <c r="KF43" s="339">
        <v>27.4375</v>
      </c>
      <c r="KG43" s="339">
        <v>0.41499999999999998</v>
      </c>
      <c r="KH43" s="339">
        <v>61.863999999999997</v>
      </c>
      <c r="KI43" s="339">
        <v>26.6875</v>
      </c>
      <c r="KJ43" s="339">
        <v>0.41499999999999998</v>
      </c>
      <c r="KK43" s="339">
        <v>61.898000000000003</v>
      </c>
      <c r="KL43" s="339">
        <v>22.5</v>
      </c>
      <c r="KM43" s="339">
        <v>0.41499999999999998</v>
      </c>
      <c r="KN43" s="339">
        <v>61.898000000000003</v>
      </c>
      <c r="KO43" s="339">
        <v>29</v>
      </c>
      <c r="KP43" s="339">
        <v>0.41499999999999998</v>
      </c>
      <c r="KQ43" s="339">
        <v>61.898000000000003</v>
      </c>
      <c r="KR43" s="339">
        <v>22.0625</v>
      </c>
      <c r="KS43" s="339">
        <v>0.41499999999999998</v>
      </c>
      <c r="KT43" s="339">
        <v>61.898000000000003</v>
      </c>
      <c r="KU43" s="339">
        <v>24.1875</v>
      </c>
      <c r="KV43" s="339">
        <v>0.41499999999999998</v>
      </c>
      <c r="KW43" s="334">
        <v>61.88</v>
      </c>
      <c r="KX43" s="334">
        <v>25.5</v>
      </c>
      <c r="KY43" s="334">
        <v>0.41499999999999998</v>
      </c>
      <c r="KZ43" s="334">
        <v>61.88</v>
      </c>
      <c r="LA43" s="334">
        <v>24.625</v>
      </c>
      <c r="LB43" s="334">
        <v>0.41499999999999998</v>
      </c>
      <c r="LC43" s="334">
        <v>61.88</v>
      </c>
      <c r="LD43" s="334">
        <v>29.625</v>
      </c>
      <c r="LE43" s="334">
        <v>0.41499999999999998</v>
      </c>
      <c r="LF43" s="334">
        <v>61.87</v>
      </c>
      <c r="LG43" s="334">
        <v>30.437999999999999</v>
      </c>
      <c r="LH43" s="334">
        <v>0.41499999999999998</v>
      </c>
      <c r="LI43" s="334">
        <v>61.87</v>
      </c>
      <c r="LJ43" s="334">
        <v>29</v>
      </c>
      <c r="LK43" s="334">
        <v>0.40500000000000003</v>
      </c>
      <c r="LL43" s="334">
        <v>61.9</v>
      </c>
      <c r="LM43" s="334">
        <v>31.5</v>
      </c>
      <c r="LN43" s="334">
        <v>0.40500000000000003</v>
      </c>
      <c r="LO43" s="334">
        <v>61.896000000000001</v>
      </c>
      <c r="LP43" s="334">
        <v>29.5625</v>
      </c>
      <c r="LQ43" s="334">
        <v>0.40500000000000003</v>
      </c>
      <c r="LR43" s="334">
        <v>61.896000000000001</v>
      </c>
      <c r="LS43" s="334">
        <v>29.3125</v>
      </c>
      <c r="LT43" s="334">
        <v>0.40500000000000003</v>
      </c>
      <c r="LU43" s="334">
        <v>61.896000000000001</v>
      </c>
      <c r="LV43" s="334">
        <v>28.562999999999999</v>
      </c>
      <c r="LW43" s="334">
        <v>0.40500000000000003</v>
      </c>
      <c r="LX43" s="334">
        <v>61.901000000000003</v>
      </c>
      <c r="LY43" s="334">
        <v>28</v>
      </c>
      <c r="LZ43" s="334">
        <v>0.40500000000000003</v>
      </c>
      <c r="MA43" s="334">
        <v>61.901000000000003</v>
      </c>
      <c r="MB43" s="334">
        <v>28.5</v>
      </c>
      <c r="MC43" s="334">
        <v>0.40500000000000003</v>
      </c>
      <c r="MD43" s="334">
        <v>61.901000000000003</v>
      </c>
      <c r="ME43" s="334">
        <v>26.75</v>
      </c>
      <c r="MF43" s="334">
        <v>0.40500000000000003</v>
      </c>
      <c r="MG43" s="334">
        <v>61.901000000000003</v>
      </c>
      <c r="MH43" s="334">
        <v>27.5</v>
      </c>
      <c r="MI43" s="334">
        <v>0.39</v>
      </c>
      <c r="MJ43" s="334">
        <v>61.901000000000003</v>
      </c>
      <c r="MK43" s="334">
        <v>25.5</v>
      </c>
      <c r="ML43" s="334">
        <v>0.39</v>
      </c>
      <c r="MM43" s="334">
        <v>61.901000000000003</v>
      </c>
      <c r="MN43" s="334">
        <v>26.25</v>
      </c>
      <c r="MO43" s="334">
        <v>0.39</v>
      </c>
      <c r="MP43" s="334">
        <v>61.901000000000003</v>
      </c>
      <c r="MQ43" s="334">
        <v>23.875</v>
      </c>
      <c r="MR43" s="334">
        <v>0.39</v>
      </c>
      <c r="MS43" s="334">
        <v>61.901000000000003</v>
      </c>
      <c r="MT43" s="334">
        <v>22.875</v>
      </c>
      <c r="MU43" s="334">
        <v>0.38</v>
      </c>
      <c r="MV43" s="334">
        <v>61.901000000000003</v>
      </c>
      <c r="MW43" s="334">
        <v>22.75</v>
      </c>
      <c r="MX43" s="334">
        <v>0.38</v>
      </c>
      <c r="MY43" s="334">
        <v>61.901000000000003</v>
      </c>
      <c r="MZ43" s="334">
        <v>23.375</v>
      </c>
      <c r="NA43" s="334">
        <v>0.38</v>
      </c>
      <c r="NB43" s="334">
        <v>61.901000000000003</v>
      </c>
      <c r="NC43" s="334">
        <v>21.25</v>
      </c>
      <c r="ND43" s="334">
        <v>0.38</v>
      </c>
      <c r="NE43" s="334">
        <v>61.906999999999996</v>
      </c>
      <c r="NF43" s="334">
        <v>19.125</v>
      </c>
      <c r="NG43" s="334">
        <v>0.37</v>
      </c>
      <c r="NH43" s="334">
        <v>61.908999999999999</v>
      </c>
      <c r="NI43" s="334">
        <v>21.125</v>
      </c>
      <c r="NJ43" s="334">
        <v>0.37</v>
      </c>
      <c r="NK43" s="334">
        <v>61.908999999999999</v>
      </c>
      <c r="NL43" s="334">
        <v>23</v>
      </c>
      <c r="NM43" s="334">
        <v>0.37</v>
      </c>
      <c r="NN43" s="334">
        <v>61.908999999999999</v>
      </c>
      <c r="NO43" s="334">
        <v>24.75</v>
      </c>
      <c r="NP43" s="334">
        <v>0.37</v>
      </c>
      <c r="NQ43" s="334">
        <v>61.908999999999999</v>
      </c>
      <c r="NR43" s="334">
        <v>24.75</v>
      </c>
      <c r="NS43" s="334">
        <v>0.36</v>
      </c>
      <c r="NT43" s="334">
        <v>61.908999999999999</v>
      </c>
      <c r="NU43" s="334">
        <v>24.5</v>
      </c>
      <c r="NV43" s="334">
        <v>0.36</v>
      </c>
      <c r="NW43" s="334">
        <v>61.908999999999999</v>
      </c>
      <c r="NX43" s="334">
        <v>22.75</v>
      </c>
      <c r="NY43" s="334">
        <v>0.36</v>
      </c>
      <c r="NZ43" s="334">
        <v>61.908999999999999</v>
      </c>
      <c r="OA43" s="334">
        <v>23.13</v>
      </c>
      <c r="OB43" s="334">
        <v>0.36</v>
      </c>
      <c r="OC43" s="334">
        <v>61.908999999999999</v>
      </c>
      <c r="OD43" s="334">
        <v>22</v>
      </c>
      <c r="OE43" s="334">
        <v>0.36</v>
      </c>
      <c r="OF43" s="334">
        <v>61.908000000000001</v>
      </c>
      <c r="OG43" s="334">
        <v>20.75</v>
      </c>
      <c r="OH43" s="334">
        <v>0.35</v>
      </c>
      <c r="OI43" s="334">
        <v>61.908000000000001</v>
      </c>
      <c r="OJ43" s="334">
        <v>23.69</v>
      </c>
      <c r="OK43" s="334">
        <v>0.35</v>
      </c>
      <c r="OL43" s="334">
        <v>61.908000000000001</v>
      </c>
      <c r="OM43" s="334">
        <v>22.38</v>
      </c>
      <c r="ON43" s="334">
        <v>0.35</v>
      </c>
      <c r="OO43" s="334">
        <v>61.908000000000001</v>
      </c>
      <c r="OP43" s="334">
        <v>18.5</v>
      </c>
      <c r="OQ43" s="334">
        <v>0.34</v>
      </c>
      <c r="OR43" s="334">
        <v>61.908000000000001</v>
      </c>
      <c r="OS43" s="334">
        <v>17.940000000000001</v>
      </c>
      <c r="OT43" s="334">
        <v>0.34</v>
      </c>
      <c r="OU43" s="334">
        <v>61.9</v>
      </c>
      <c r="OV43" s="334">
        <v>17.63</v>
      </c>
    </row>
    <row r="44" spans="1:412">
      <c r="B44" s="333" t="s">
        <v>241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503"/>
      <c r="AZ44" s="503"/>
      <c r="BA44" s="503"/>
      <c r="BB44" s="503"/>
      <c r="BC44" s="503"/>
      <c r="BD44" s="503"/>
      <c r="BE44" s="503"/>
      <c r="BF44" s="503"/>
      <c r="BG44" s="503"/>
      <c r="BH44" s="503"/>
      <c r="BI44" s="503"/>
      <c r="BJ44" s="503"/>
      <c r="BK44" s="503"/>
      <c r="BL44" s="503"/>
      <c r="BM44" s="503"/>
      <c r="BN44" s="503"/>
      <c r="BO44" s="503"/>
      <c r="BP44" s="503"/>
      <c r="BQ44" s="504"/>
      <c r="BR44" s="504"/>
      <c r="BS44" s="504"/>
      <c r="BT44" s="504"/>
      <c r="BU44" s="504"/>
      <c r="BV44" s="504"/>
      <c r="BW44" s="504"/>
      <c r="BX44" s="504"/>
      <c r="BY44" s="504"/>
      <c r="BZ44" s="503"/>
      <c r="CA44" s="503"/>
      <c r="CB44" s="503"/>
      <c r="CC44" s="503"/>
      <c r="CD44" s="503"/>
      <c r="CE44" s="503"/>
      <c r="CF44" s="503"/>
      <c r="CG44" s="503"/>
      <c r="CH44" s="503"/>
      <c r="CI44" s="503"/>
      <c r="CJ44" s="503"/>
      <c r="CK44" s="503"/>
      <c r="CL44" s="503"/>
      <c r="CM44" s="503"/>
      <c r="CN44" s="503"/>
      <c r="CO44" s="503"/>
      <c r="CP44" s="503"/>
      <c r="CQ44" s="503"/>
      <c r="CR44" s="504"/>
      <c r="CS44" s="504"/>
      <c r="CT44" s="504"/>
      <c r="CU44" s="503"/>
      <c r="CV44" s="503"/>
      <c r="CW44" s="503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  <c r="DJ44" s="339"/>
      <c r="DK44" s="339"/>
      <c r="DL44" s="339"/>
      <c r="DM44" s="339"/>
      <c r="DN44" s="339"/>
      <c r="DO44" s="339"/>
      <c r="DP44" s="339"/>
      <c r="DQ44" s="339"/>
      <c r="DR44" s="339"/>
      <c r="DS44" s="339"/>
      <c r="DT44" s="339"/>
      <c r="DU44" s="339"/>
      <c r="DV44" s="339"/>
      <c r="DW44" s="339"/>
      <c r="DX44" s="339"/>
      <c r="DY44" s="339"/>
      <c r="DZ44" s="339"/>
      <c r="EA44" s="339"/>
      <c r="EB44" s="340"/>
      <c r="EC44" s="340"/>
      <c r="ED44" s="340"/>
      <c r="EE44" s="339"/>
      <c r="EF44" s="339"/>
      <c r="EG44" s="339"/>
      <c r="EH44" s="339"/>
      <c r="EI44" s="339"/>
      <c r="EJ44" s="339"/>
      <c r="EK44" s="339"/>
      <c r="EL44" s="339"/>
      <c r="EM44" s="339"/>
      <c r="EN44" s="339"/>
      <c r="EO44" s="339"/>
      <c r="EP44" s="339"/>
      <c r="EQ44" s="339"/>
      <c r="ER44" s="339"/>
      <c r="ES44" s="339"/>
      <c r="ET44" s="339"/>
      <c r="EU44" s="339"/>
      <c r="EV44" s="339"/>
      <c r="EW44" s="339"/>
      <c r="EX44" s="339"/>
      <c r="EY44" s="339"/>
      <c r="EZ44" s="339"/>
      <c r="FA44" s="339"/>
      <c r="FB44" s="339"/>
      <c r="FC44" s="339"/>
      <c r="FD44" s="339"/>
      <c r="FE44" s="339"/>
      <c r="FF44" s="339"/>
      <c r="FG44" s="339"/>
      <c r="FH44" s="342"/>
      <c r="FI44" s="339"/>
      <c r="FJ44" s="339"/>
      <c r="FK44" s="339"/>
      <c r="FL44" s="339"/>
      <c r="FM44" s="339"/>
      <c r="FN44" s="339"/>
      <c r="FO44" s="339"/>
      <c r="FP44" s="339"/>
      <c r="FQ44" s="339"/>
      <c r="FR44" s="339"/>
      <c r="FS44" s="339"/>
      <c r="FT44" s="339"/>
      <c r="FU44" s="339"/>
      <c r="FV44" s="339"/>
      <c r="FW44" s="339"/>
      <c r="FX44" s="339"/>
      <c r="FY44" s="339"/>
      <c r="FZ44" s="339"/>
      <c r="GA44" s="339"/>
      <c r="GB44" s="339"/>
      <c r="GC44" s="339"/>
      <c r="GD44" s="339"/>
      <c r="GE44" s="339"/>
      <c r="GF44" s="339"/>
      <c r="GG44" s="339"/>
      <c r="GH44" s="339"/>
      <c r="GI44" s="339"/>
      <c r="GJ44" s="339"/>
      <c r="GK44" s="339"/>
      <c r="GL44" s="339"/>
      <c r="GM44" s="339"/>
      <c r="GN44" s="339"/>
      <c r="GO44" s="339"/>
      <c r="GP44" s="339"/>
      <c r="GQ44" s="339"/>
      <c r="GR44" s="339"/>
      <c r="GS44" s="339"/>
      <c r="GT44" s="339"/>
      <c r="GU44" s="339"/>
      <c r="GV44" s="339"/>
      <c r="GW44" s="339"/>
      <c r="GX44" s="339"/>
      <c r="GY44" s="339"/>
      <c r="GZ44" s="339"/>
      <c r="HA44" s="339"/>
      <c r="HB44" s="339"/>
      <c r="HC44" s="339"/>
      <c r="HD44" s="339"/>
      <c r="HE44" s="339"/>
      <c r="HF44" s="339"/>
      <c r="HG44" s="339"/>
      <c r="HH44" s="339"/>
      <c r="HI44" s="505"/>
      <c r="HJ44" s="339"/>
      <c r="HK44" s="339"/>
      <c r="HL44" s="339"/>
      <c r="HM44" s="339"/>
      <c r="HN44" s="339"/>
      <c r="HO44" s="339"/>
      <c r="HP44" s="339"/>
      <c r="HQ44" s="339"/>
      <c r="HR44" s="339"/>
      <c r="HS44" s="339"/>
      <c r="HT44" s="339"/>
      <c r="HU44" s="339"/>
      <c r="HV44" s="339"/>
      <c r="HW44" s="339"/>
      <c r="HX44" s="506"/>
      <c r="HY44" s="513"/>
      <c r="HZ44" s="339"/>
      <c r="IA44" s="339"/>
      <c r="IB44" s="339"/>
      <c r="IC44" s="339"/>
      <c r="ID44" s="339"/>
      <c r="IE44" s="339"/>
      <c r="IF44" s="339"/>
      <c r="IG44" s="339"/>
      <c r="IH44" s="339"/>
      <c r="II44" s="339"/>
      <c r="IJ44" s="505"/>
      <c r="IK44" s="339"/>
      <c r="IL44" s="339"/>
      <c r="IM44" s="339"/>
      <c r="IN44" s="339"/>
      <c r="IO44" s="339"/>
      <c r="IP44" s="339"/>
      <c r="IQ44" s="339"/>
      <c r="IR44" s="339"/>
      <c r="IS44" s="339"/>
      <c r="IT44" s="339"/>
      <c r="IU44" s="339"/>
      <c r="IV44" s="339"/>
      <c r="IW44" s="339"/>
      <c r="IX44" s="339"/>
      <c r="IY44" s="339"/>
      <c r="IZ44" s="342"/>
      <c r="JA44" s="339"/>
      <c r="JB44" s="339"/>
      <c r="JC44" s="339"/>
      <c r="JD44" s="339"/>
      <c r="JE44" s="339"/>
      <c r="JF44" s="339"/>
      <c r="JG44" s="339"/>
      <c r="JH44" s="339"/>
      <c r="JI44" s="339"/>
      <c r="JJ44" s="339"/>
      <c r="JK44" s="339"/>
      <c r="JL44" s="339"/>
      <c r="JM44" s="339"/>
      <c r="JN44" s="339"/>
      <c r="JO44" s="339"/>
      <c r="JP44" s="339"/>
      <c r="JQ44" s="339"/>
      <c r="JR44" s="339"/>
      <c r="JS44" s="339"/>
      <c r="JT44" s="342"/>
      <c r="JU44" s="342"/>
      <c r="JV44" s="339"/>
      <c r="JW44" s="339"/>
      <c r="JX44" s="339"/>
      <c r="JY44" s="339"/>
      <c r="JZ44" s="339"/>
      <c r="KA44" s="339"/>
      <c r="KB44" s="339"/>
      <c r="KC44" s="339"/>
      <c r="KD44" s="339"/>
      <c r="KE44" s="339"/>
      <c r="KF44" s="339"/>
      <c r="KG44" s="339"/>
      <c r="KH44" s="339"/>
      <c r="KI44" s="339"/>
      <c r="KJ44" s="339"/>
      <c r="KK44" s="339"/>
      <c r="KL44" s="339"/>
      <c r="KM44" s="339"/>
      <c r="KN44" s="339"/>
      <c r="KO44" s="339"/>
      <c r="KP44" s="339"/>
      <c r="KQ44" s="339"/>
      <c r="KR44" s="339"/>
      <c r="KS44" s="339"/>
      <c r="KT44" s="339"/>
      <c r="KU44" s="339"/>
      <c r="KV44" s="339"/>
      <c r="KW44" s="334"/>
      <c r="KX44" s="334"/>
      <c r="KY44" s="334"/>
      <c r="KZ44" s="334"/>
      <c r="LA44" s="334"/>
      <c r="LB44" s="334"/>
      <c r="LC44" s="334"/>
      <c r="LD44" s="334"/>
      <c r="LE44" s="334"/>
      <c r="LF44" s="334"/>
      <c r="LG44" s="334"/>
      <c r="LH44" s="334"/>
      <c r="LI44" s="334"/>
      <c r="LJ44" s="334"/>
      <c r="LK44" s="334"/>
      <c r="LL44" s="334"/>
      <c r="LM44" s="334"/>
      <c r="LN44" s="334"/>
      <c r="LO44" s="334"/>
      <c r="LP44" s="334"/>
      <c r="LQ44" s="334"/>
      <c r="LR44" s="334"/>
      <c r="LS44" s="334"/>
      <c r="LT44" s="334"/>
      <c r="LU44" s="334"/>
      <c r="LV44" s="334"/>
      <c r="LW44" s="334"/>
      <c r="LX44" s="334"/>
      <c r="LY44" s="334"/>
      <c r="LZ44" s="334"/>
      <c r="MA44" s="334"/>
      <c r="MB44" s="334"/>
      <c r="MC44" s="334"/>
      <c r="MD44" s="334"/>
      <c r="ME44" s="334"/>
      <c r="MF44" s="334"/>
      <c r="MG44" s="334"/>
      <c r="MH44" s="334"/>
      <c r="MI44" s="334"/>
      <c r="MJ44" s="334"/>
      <c r="MK44" s="334"/>
      <c r="ML44" s="334"/>
      <c r="MM44" s="334"/>
      <c r="MN44" s="334"/>
      <c r="MO44" s="334"/>
      <c r="MP44" s="334"/>
      <c r="MQ44" s="334"/>
      <c r="MR44" s="334"/>
      <c r="MS44" s="334"/>
      <c r="MT44" s="334"/>
      <c r="MU44" s="334"/>
      <c r="MV44" s="334"/>
      <c r="MW44" s="334"/>
      <c r="MX44" s="334"/>
      <c r="MY44" s="334"/>
      <c r="MZ44" s="334"/>
      <c r="NA44" s="334"/>
      <c r="NB44" s="334"/>
      <c r="NC44" s="334"/>
      <c r="ND44" s="334"/>
      <c r="NE44" s="334"/>
      <c r="NF44" s="334"/>
      <c r="NG44" s="334"/>
      <c r="NH44" s="334"/>
      <c r="NI44" s="334"/>
      <c r="NJ44" s="334"/>
      <c r="NK44" s="334"/>
      <c r="NL44" s="334"/>
      <c r="NM44" s="334"/>
      <c r="NN44" s="334"/>
      <c r="NO44" s="334"/>
      <c r="NP44" s="334"/>
      <c r="NQ44" s="334"/>
      <c r="NR44" s="334"/>
      <c r="NS44" s="334"/>
      <c r="NT44" s="334"/>
      <c r="NU44" s="334"/>
      <c r="NV44" s="334"/>
      <c r="NW44" s="334"/>
      <c r="NX44" s="334"/>
      <c r="NY44" s="334"/>
      <c r="NZ44" s="334"/>
      <c r="OA44" s="334"/>
      <c r="OB44" s="334"/>
      <c r="OC44" s="334"/>
      <c r="OD44" s="334"/>
      <c r="OE44" s="334"/>
      <c r="OF44" s="334">
        <v>31.001000000000001</v>
      </c>
      <c r="OG44" s="334">
        <v>33.125</v>
      </c>
      <c r="OH44" s="334">
        <v>0.43</v>
      </c>
      <c r="OI44" s="334">
        <v>31.001000000000001</v>
      </c>
      <c r="OJ44" s="334">
        <v>34.125</v>
      </c>
      <c r="OK44" s="334">
        <v>0.43</v>
      </c>
      <c r="OL44" s="334">
        <v>31.001000000000001</v>
      </c>
      <c r="OM44" s="334">
        <v>32</v>
      </c>
      <c r="ON44" s="334">
        <v>0.43</v>
      </c>
      <c r="OO44" s="334">
        <v>31.001000000000001</v>
      </c>
      <c r="OP44" s="334">
        <v>27.625</v>
      </c>
      <c r="OQ44" s="334">
        <v>0.43</v>
      </c>
      <c r="OR44" s="334">
        <v>31.001000000000001</v>
      </c>
      <c r="OS44" s="334">
        <v>27.625</v>
      </c>
      <c r="OT44" s="334">
        <v>0.43</v>
      </c>
      <c r="OU44" s="334">
        <v>31</v>
      </c>
      <c r="OV44" s="334">
        <v>27</v>
      </c>
    </row>
    <row r="45" spans="1:412">
      <c r="A45" s="294" t="s">
        <v>333</v>
      </c>
      <c r="B45" s="333" t="s">
        <v>242</v>
      </c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504"/>
      <c r="AZ45" s="504"/>
      <c r="BA45" s="504"/>
      <c r="BB45" s="503"/>
      <c r="BC45" s="503"/>
      <c r="BD45" s="503"/>
      <c r="BE45" s="503"/>
      <c r="BF45" s="503"/>
      <c r="BG45" s="503"/>
      <c r="BH45" s="503"/>
      <c r="BI45" s="503"/>
      <c r="BJ45" s="503"/>
      <c r="BK45" s="503"/>
      <c r="BL45" s="503"/>
      <c r="BM45" s="503"/>
      <c r="BN45" s="503"/>
      <c r="BO45" s="503"/>
      <c r="BP45" s="503"/>
      <c r="BQ45" s="504"/>
      <c r="BR45" s="504"/>
      <c r="BS45" s="504"/>
      <c r="BT45" s="504"/>
      <c r="BU45" s="504"/>
      <c r="BV45" s="504"/>
      <c r="BW45" s="504"/>
      <c r="BX45" s="504"/>
      <c r="BY45" s="504"/>
      <c r="BZ45" s="503"/>
      <c r="CA45" s="503"/>
      <c r="CB45" s="503"/>
      <c r="CC45" s="503"/>
      <c r="CD45" s="503"/>
      <c r="CE45" s="503"/>
      <c r="CF45" s="503"/>
      <c r="CG45" s="503"/>
      <c r="CH45" s="503"/>
      <c r="CI45" s="503"/>
      <c r="CJ45" s="503"/>
      <c r="CK45" s="503"/>
      <c r="CL45" s="503"/>
      <c r="CM45" s="503"/>
      <c r="CN45" s="503"/>
      <c r="CO45" s="503"/>
      <c r="CP45" s="503"/>
      <c r="CQ45" s="503"/>
      <c r="CR45" s="504"/>
      <c r="CS45" s="504"/>
      <c r="CT45" s="504"/>
      <c r="CU45" s="503"/>
      <c r="CV45" s="503"/>
      <c r="CW45" s="503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40"/>
      <c r="EC45" s="340"/>
      <c r="ED45" s="340"/>
      <c r="EE45" s="339"/>
      <c r="EF45" s="339"/>
      <c r="EG45" s="339"/>
      <c r="EH45" s="339"/>
      <c r="EI45" s="339"/>
      <c r="EJ45" s="339"/>
      <c r="EK45" s="339"/>
      <c r="EL45" s="339"/>
      <c r="EM45" s="339"/>
      <c r="EN45" s="339"/>
      <c r="EO45" s="339"/>
      <c r="EP45" s="339"/>
      <c r="EQ45" s="339"/>
      <c r="ER45" s="339"/>
      <c r="ES45" s="339"/>
      <c r="ET45" s="339"/>
      <c r="EU45" s="339"/>
      <c r="EV45" s="339"/>
      <c r="EW45" s="339"/>
      <c r="EX45" s="339"/>
      <c r="EY45" s="339"/>
      <c r="EZ45" s="339"/>
      <c r="FA45" s="339"/>
      <c r="FB45" s="339"/>
      <c r="FC45" s="339"/>
      <c r="FD45" s="339"/>
      <c r="FE45" s="339"/>
      <c r="FF45" s="339"/>
      <c r="FG45" s="339"/>
      <c r="FH45" s="342"/>
      <c r="FI45" s="339"/>
      <c r="FJ45" s="339"/>
      <c r="FK45" s="339"/>
      <c r="FL45" s="339"/>
      <c r="FM45" s="339"/>
      <c r="FN45" s="339"/>
      <c r="FO45" s="339"/>
      <c r="FP45" s="339"/>
      <c r="FQ45" s="339"/>
      <c r="FR45" s="339">
        <v>1.6832739999999999</v>
      </c>
      <c r="FS45" s="339">
        <v>44.9</v>
      </c>
      <c r="FT45" s="339">
        <v>0.05</v>
      </c>
      <c r="FU45" s="339">
        <v>1.682599</v>
      </c>
      <c r="FV45" s="339">
        <v>44.31</v>
      </c>
      <c r="FW45" s="339">
        <v>0.05</v>
      </c>
      <c r="FX45" s="339">
        <v>1.681924</v>
      </c>
      <c r="FY45" s="339">
        <v>44.05</v>
      </c>
      <c r="FZ45" s="339">
        <v>0.05</v>
      </c>
      <c r="GA45" s="339">
        <v>1.681249</v>
      </c>
      <c r="GB45" s="339">
        <v>34.799999999999997</v>
      </c>
      <c r="GC45" s="339">
        <v>0.05</v>
      </c>
      <c r="GD45" s="339">
        <v>1.680574</v>
      </c>
      <c r="GE45" s="339">
        <v>35.950000000000003</v>
      </c>
      <c r="GF45" s="339">
        <v>0.05</v>
      </c>
      <c r="GG45" s="339">
        <v>1.6797</v>
      </c>
      <c r="GH45" s="339">
        <v>34.75</v>
      </c>
      <c r="GI45" s="339">
        <v>0.05</v>
      </c>
      <c r="GJ45" s="339">
        <v>1.68</v>
      </c>
      <c r="GK45" s="339">
        <v>35.369999999999997</v>
      </c>
      <c r="GL45" s="339">
        <v>0.05</v>
      </c>
      <c r="GM45" s="339">
        <v>1.6782490000000001</v>
      </c>
      <c r="GN45" s="339">
        <v>38.49</v>
      </c>
      <c r="GO45" s="519">
        <v>0.05</v>
      </c>
      <c r="GP45" s="339">
        <v>1.678096</v>
      </c>
      <c r="GQ45" s="339">
        <v>32.950000000000003</v>
      </c>
      <c r="GR45" s="339">
        <v>0</v>
      </c>
      <c r="GS45" s="339">
        <v>1.677862</v>
      </c>
      <c r="GT45" s="339">
        <v>42.75</v>
      </c>
      <c r="GU45" s="339">
        <v>0</v>
      </c>
      <c r="GV45" s="339">
        <v>1.6697759999999999</v>
      </c>
      <c r="GW45" s="339">
        <v>27.8</v>
      </c>
      <c r="GX45" s="339">
        <v>0</v>
      </c>
      <c r="GY45" s="339">
        <v>1.67743</v>
      </c>
      <c r="GZ45" s="339">
        <v>33.25</v>
      </c>
      <c r="HA45" s="339">
        <v>0</v>
      </c>
      <c r="HB45" s="339">
        <v>1.677187</v>
      </c>
      <c r="HC45" s="339">
        <v>28.2</v>
      </c>
      <c r="HD45" s="339">
        <v>0</v>
      </c>
      <c r="HE45" s="339">
        <v>1.6468229999999999</v>
      </c>
      <c r="HF45" s="339">
        <v>26.85</v>
      </c>
      <c r="HG45" s="339">
        <v>0</v>
      </c>
      <c r="HH45" s="339">
        <v>1.638379</v>
      </c>
      <c r="HI45" s="505">
        <v>19</v>
      </c>
      <c r="HJ45" s="339">
        <v>0</v>
      </c>
      <c r="HK45" s="339">
        <v>1.6380269999999999</v>
      </c>
      <c r="HL45" s="339">
        <v>15.18</v>
      </c>
      <c r="HM45" s="339">
        <v>0</v>
      </c>
      <c r="HN45" s="339">
        <v>1.637211</v>
      </c>
      <c r="HO45" s="339">
        <v>16.75</v>
      </c>
      <c r="HP45" s="339">
        <v>0</v>
      </c>
      <c r="HQ45" s="339">
        <v>1.637211</v>
      </c>
      <c r="HR45" s="339">
        <v>15.6</v>
      </c>
      <c r="HS45" s="339">
        <v>0</v>
      </c>
      <c r="HT45" s="339">
        <v>1.6364369999999999</v>
      </c>
      <c r="HU45" s="339">
        <v>15.36</v>
      </c>
      <c r="HV45" s="339">
        <v>0</v>
      </c>
      <c r="HW45" s="339">
        <v>1.6364369999999999</v>
      </c>
      <c r="HX45" s="506">
        <v>15.49</v>
      </c>
      <c r="HY45" s="513">
        <f>1/4</f>
        <v>0.25</v>
      </c>
      <c r="HZ45" s="339">
        <v>1.6361669999999999</v>
      </c>
      <c r="IA45" s="339">
        <v>19.7</v>
      </c>
      <c r="IB45" s="339">
        <v>0.25</v>
      </c>
      <c r="IC45" s="339">
        <v>1.6359060000000001</v>
      </c>
      <c r="ID45" s="339">
        <v>24.5</v>
      </c>
      <c r="IE45" s="339">
        <v>0.25</v>
      </c>
      <c r="IF45" s="339">
        <v>1.635</v>
      </c>
      <c r="IG45" s="339">
        <v>25.25</v>
      </c>
      <c r="IH45" s="339">
        <v>0.25</v>
      </c>
      <c r="II45" s="339">
        <v>1.635</v>
      </c>
      <c r="IJ45" s="505">
        <v>26.35</v>
      </c>
      <c r="IK45" s="339">
        <v>0.2</v>
      </c>
      <c r="IL45" s="339">
        <v>1.599</v>
      </c>
      <c r="IM45" s="339">
        <v>29</v>
      </c>
      <c r="IN45" s="339">
        <v>0.38</v>
      </c>
      <c r="IO45" s="339">
        <v>1.5807009999999999</v>
      </c>
      <c r="IP45" s="339">
        <v>32</v>
      </c>
      <c r="IQ45" s="339">
        <v>0.38</v>
      </c>
      <c r="IR45" s="339">
        <v>1.5746560000000001</v>
      </c>
      <c r="IS45" s="339">
        <v>34.15</v>
      </c>
      <c r="IT45" s="339">
        <v>0.38</v>
      </c>
      <c r="IU45" s="339">
        <v>1.5746560000000001</v>
      </c>
      <c r="IV45" s="339">
        <v>35.01</v>
      </c>
      <c r="IW45" s="339">
        <v>0.38</v>
      </c>
      <c r="IX45" s="505">
        <v>1.5745819999999999</v>
      </c>
      <c r="IY45" s="339">
        <v>36</v>
      </c>
      <c r="IZ45" s="339">
        <v>0.37</v>
      </c>
      <c r="JA45" s="339">
        <v>1.574322</v>
      </c>
      <c r="JB45" s="339">
        <v>32.51</v>
      </c>
      <c r="JC45" s="339">
        <v>0.37</v>
      </c>
      <c r="JD45" s="339">
        <v>1.5740000000000001</v>
      </c>
      <c r="JE45" s="339">
        <v>27.85</v>
      </c>
      <c r="JF45" s="339">
        <v>0.37</v>
      </c>
      <c r="JG45" s="339">
        <v>1.5740000000000001</v>
      </c>
      <c r="JH45" s="339">
        <v>32</v>
      </c>
      <c r="JI45" s="339">
        <v>0.37</v>
      </c>
      <c r="JJ45" s="339">
        <v>1.5740000000000001</v>
      </c>
      <c r="JK45" s="339">
        <v>27</v>
      </c>
      <c r="JL45" s="339">
        <v>0.37</v>
      </c>
      <c r="JM45" s="339">
        <v>1.5740000000000001</v>
      </c>
      <c r="JN45" s="339">
        <v>29.84</v>
      </c>
      <c r="JO45" s="339">
        <v>0.35</v>
      </c>
      <c r="JP45" s="339">
        <v>1.573</v>
      </c>
      <c r="JQ45" s="339">
        <v>29.7</v>
      </c>
      <c r="JR45" s="339">
        <v>0.35</v>
      </c>
      <c r="JS45" s="339">
        <v>1.573</v>
      </c>
      <c r="JT45" s="339">
        <v>29.56</v>
      </c>
      <c r="JU45" s="339">
        <v>0.35</v>
      </c>
      <c r="JV45" s="339">
        <v>1.573</v>
      </c>
      <c r="JW45" s="339">
        <v>27.85</v>
      </c>
      <c r="JX45" s="339">
        <v>0.32</v>
      </c>
      <c r="JY45" s="339">
        <v>1.5730599999999999</v>
      </c>
      <c r="JZ45" s="339">
        <v>28.9</v>
      </c>
      <c r="KA45" s="339">
        <v>0.32</v>
      </c>
      <c r="KB45" s="339">
        <v>1.5728979999999999</v>
      </c>
      <c r="KC45" s="339">
        <v>26.2</v>
      </c>
      <c r="KD45" s="339">
        <v>0.32</v>
      </c>
      <c r="KE45" s="339">
        <v>1.5727180000000001</v>
      </c>
      <c r="KF45" s="339">
        <v>26.375</v>
      </c>
      <c r="KG45" s="339">
        <v>0.32</v>
      </c>
      <c r="KH45" s="339">
        <v>1.594085</v>
      </c>
      <c r="KI45" s="339">
        <v>24.5</v>
      </c>
      <c r="KJ45" s="339">
        <v>0.32</v>
      </c>
      <c r="KK45" s="339">
        <v>1.6</v>
      </c>
      <c r="KL45" s="339">
        <v>20.375</v>
      </c>
      <c r="KM45" s="339">
        <v>0.3</v>
      </c>
      <c r="KN45" s="339">
        <v>1.6172500000000001</v>
      </c>
      <c r="KO45" s="339">
        <v>17.4375</v>
      </c>
      <c r="KP45" s="339">
        <v>0.3</v>
      </c>
      <c r="KQ45" s="339">
        <v>1.6172500000000001</v>
      </c>
      <c r="KR45" s="339">
        <v>17.375</v>
      </c>
      <c r="KS45" s="339">
        <v>0.3</v>
      </c>
      <c r="KT45" s="339">
        <v>1.617</v>
      </c>
      <c r="KU45" s="339">
        <v>18</v>
      </c>
      <c r="KV45" s="339">
        <v>0.3</v>
      </c>
      <c r="KW45" s="334">
        <v>1.62</v>
      </c>
      <c r="KX45" s="334">
        <v>17.75</v>
      </c>
      <c r="KY45" s="334">
        <v>0.25</v>
      </c>
      <c r="KZ45" s="334">
        <v>1.62</v>
      </c>
      <c r="LA45" s="334">
        <v>13.125</v>
      </c>
      <c r="LB45" s="334">
        <v>0.25</v>
      </c>
      <c r="LC45" s="334">
        <v>1.62</v>
      </c>
      <c r="LD45" s="334">
        <v>15.25</v>
      </c>
      <c r="LE45" s="334">
        <v>0.25</v>
      </c>
      <c r="LF45" s="334">
        <v>1.62</v>
      </c>
      <c r="LG45" s="334">
        <v>14.438000000000001</v>
      </c>
      <c r="LH45" s="334">
        <v>0.25</v>
      </c>
      <c r="LI45" s="334">
        <v>1.62</v>
      </c>
      <c r="LJ45" s="334">
        <v>14.25</v>
      </c>
      <c r="LK45" s="334">
        <v>0.25</v>
      </c>
      <c r="LL45" s="334">
        <v>1.62</v>
      </c>
      <c r="LM45" s="334">
        <v>14.0625</v>
      </c>
      <c r="LN45" s="334">
        <v>0.25</v>
      </c>
      <c r="LO45" s="334">
        <v>1.617</v>
      </c>
      <c r="LP45" s="334">
        <v>12.125</v>
      </c>
      <c r="LQ45" s="334">
        <v>0.25</v>
      </c>
      <c r="LR45" s="334">
        <v>1.62</v>
      </c>
      <c r="LS45" s="334">
        <v>11.5</v>
      </c>
      <c r="LT45" s="334">
        <v>0.25</v>
      </c>
      <c r="LU45" s="334">
        <v>1.62</v>
      </c>
      <c r="LV45" s="334">
        <v>12.25</v>
      </c>
      <c r="LW45" s="334">
        <v>0.25</v>
      </c>
      <c r="LX45" s="334">
        <v>1.62</v>
      </c>
      <c r="LY45" s="334">
        <v>14.75</v>
      </c>
      <c r="LZ45" s="334">
        <v>0.25</v>
      </c>
      <c r="MA45" s="334">
        <v>1.62</v>
      </c>
      <c r="MB45" s="334">
        <v>18.125</v>
      </c>
      <c r="MC45" s="334">
        <v>0.46</v>
      </c>
      <c r="MD45" s="334">
        <v>1.62</v>
      </c>
      <c r="ME45" s="334">
        <v>18.75</v>
      </c>
      <c r="MF45" s="334">
        <v>0.46</v>
      </c>
      <c r="MG45" s="334">
        <v>1.62</v>
      </c>
      <c r="MH45" s="334">
        <v>18.25</v>
      </c>
      <c r="MI45" s="334">
        <v>0.46</v>
      </c>
      <c r="MJ45" s="334">
        <v>1.62</v>
      </c>
      <c r="MK45" s="334">
        <v>20.375</v>
      </c>
      <c r="ML45" s="334">
        <v>0.46</v>
      </c>
      <c r="MM45" s="334">
        <v>1.62</v>
      </c>
      <c r="MN45" s="334">
        <v>21.375</v>
      </c>
      <c r="MO45" s="334">
        <v>0.46</v>
      </c>
      <c r="MP45" s="334">
        <v>1.62</v>
      </c>
      <c r="MQ45" s="334">
        <v>22.5</v>
      </c>
      <c r="MR45" s="334">
        <v>0.46</v>
      </c>
      <c r="MS45" s="334">
        <v>1.62</v>
      </c>
      <c r="MT45" s="334">
        <v>21.125</v>
      </c>
      <c r="MU45" s="334">
        <v>0.46</v>
      </c>
      <c r="MV45" s="334">
        <v>1.62</v>
      </c>
      <c r="MW45" s="334">
        <v>22.75</v>
      </c>
      <c r="MX45" s="334">
        <v>0.46</v>
      </c>
      <c r="MY45" s="334">
        <v>1.62</v>
      </c>
      <c r="MZ45" s="334">
        <v>20.75</v>
      </c>
      <c r="NA45" s="334">
        <v>0.46</v>
      </c>
      <c r="NB45" s="334">
        <v>1.62</v>
      </c>
      <c r="NC45" s="334">
        <v>23.125</v>
      </c>
      <c r="ND45" s="334">
        <v>0.46</v>
      </c>
      <c r="NE45" s="334">
        <v>1.62</v>
      </c>
      <c r="NF45" s="334">
        <v>25.875</v>
      </c>
      <c r="NG45" s="334">
        <v>0.46</v>
      </c>
      <c r="NH45" s="334">
        <v>1.66</v>
      </c>
      <c r="NI45" s="334">
        <v>26.375</v>
      </c>
      <c r="NJ45" s="334">
        <v>0.46</v>
      </c>
      <c r="NK45" s="334">
        <v>1.66</v>
      </c>
      <c r="NL45" s="334">
        <v>25.875</v>
      </c>
      <c r="NM45" s="334">
        <v>0.46</v>
      </c>
      <c r="NN45" s="334">
        <v>1.66</v>
      </c>
      <c r="NO45" s="334">
        <v>30</v>
      </c>
      <c r="NP45" s="334">
        <v>0.44</v>
      </c>
      <c r="NQ45" s="334">
        <v>1.66</v>
      </c>
      <c r="NR45" s="334">
        <v>29.625</v>
      </c>
      <c r="NS45" s="334">
        <v>0.44</v>
      </c>
      <c r="NT45" s="334">
        <v>1.66</v>
      </c>
      <c r="NU45" s="334">
        <v>30</v>
      </c>
      <c r="NV45" s="334">
        <v>0.44</v>
      </c>
      <c r="NW45" s="334">
        <v>1.66</v>
      </c>
      <c r="NX45" s="334">
        <v>25.88</v>
      </c>
      <c r="NY45" s="334">
        <v>0.44</v>
      </c>
      <c r="NZ45" s="334">
        <v>1.66</v>
      </c>
      <c r="OA45" s="334">
        <v>26.88</v>
      </c>
      <c r="OB45" s="334">
        <v>0.44</v>
      </c>
      <c r="OC45" s="334">
        <v>1.66</v>
      </c>
      <c r="OD45" s="334">
        <v>24.63</v>
      </c>
      <c r="OE45" s="334">
        <v>0.44</v>
      </c>
      <c r="OF45" s="334">
        <v>1.66</v>
      </c>
      <c r="OG45" s="334">
        <v>25.63</v>
      </c>
      <c r="OH45" s="334">
        <v>0.42</v>
      </c>
      <c r="OI45" s="334">
        <v>1.71</v>
      </c>
      <c r="OJ45" s="334">
        <v>26.38</v>
      </c>
      <c r="OK45" s="334">
        <v>0.42</v>
      </c>
      <c r="OL45" s="334">
        <v>1.726</v>
      </c>
      <c r="OM45" s="334">
        <v>23.25</v>
      </c>
      <c r="ON45" s="334">
        <v>0.42</v>
      </c>
      <c r="OO45" s="334">
        <v>1.7370000000000001</v>
      </c>
      <c r="OP45" s="334">
        <v>21.63</v>
      </c>
      <c r="OQ45" s="334">
        <v>0.42</v>
      </c>
      <c r="OR45" s="334">
        <v>1.7509999999999999</v>
      </c>
      <c r="OS45" s="334">
        <v>22.38</v>
      </c>
      <c r="OT45" s="334">
        <v>0.42</v>
      </c>
      <c r="OU45" s="334">
        <v>1.792</v>
      </c>
      <c r="OV45" s="334">
        <v>22.25</v>
      </c>
    </row>
    <row r="46" spans="1:412">
      <c r="A46" s="294" t="s">
        <v>103</v>
      </c>
      <c r="B46" s="333" t="s">
        <v>334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504"/>
      <c r="AZ46" s="504"/>
      <c r="BA46" s="504"/>
      <c r="BB46" s="503"/>
      <c r="BC46" s="503"/>
      <c r="BD46" s="503"/>
      <c r="BE46" s="503"/>
      <c r="BF46" s="503"/>
      <c r="BG46" s="503"/>
      <c r="BH46" s="503"/>
      <c r="BI46" s="503"/>
      <c r="BJ46" s="503"/>
      <c r="BK46" s="503"/>
      <c r="BL46" s="503"/>
      <c r="BM46" s="503"/>
      <c r="BN46" s="503"/>
      <c r="BO46" s="503"/>
      <c r="BP46" s="503"/>
      <c r="BQ46" s="504"/>
      <c r="BR46" s="504"/>
      <c r="BS46" s="504"/>
      <c r="BT46" s="504"/>
      <c r="BU46" s="504"/>
      <c r="BV46" s="504"/>
      <c r="BW46" s="504"/>
      <c r="BX46" s="504"/>
      <c r="BY46" s="504"/>
      <c r="BZ46" s="503"/>
      <c r="CA46" s="503"/>
      <c r="CB46" s="503"/>
      <c r="CC46" s="503"/>
      <c r="CD46" s="503"/>
      <c r="CE46" s="503"/>
      <c r="CF46" s="503"/>
      <c r="CG46" s="503"/>
      <c r="CH46" s="503"/>
      <c r="CI46" s="503"/>
      <c r="CJ46" s="503"/>
      <c r="CK46" s="503"/>
      <c r="CL46" s="503"/>
      <c r="CM46" s="503"/>
      <c r="CN46" s="503"/>
      <c r="CO46" s="503"/>
      <c r="CP46" s="503"/>
      <c r="CQ46" s="503"/>
      <c r="CR46" s="504"/>
      <c r="CS46" s="504"/>
      <c r="CT46" s="504"/>
      <c r="CU46" s="503"/>
      <c r="CV46" s="503"/>
      <c r="CW46" s="503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  <c r="DJ46" s="339"/>
      <c r="DK46" s="339"/>
      <c r="DL46" s="339"/>
      <c r="DM46" s="339"/>
      <c r="DN46" s="339"/>
      <c r="DO46" s="339"/>
      <c r="DP46" s="339"/>
      <c r="DQ46" s="339"/>
      <c r="DR46" s="339"/>
      <c r="DS46" s="339"/>
      <c r="DT46" s="339"/>
      <c r="DU46" s="339"/>
      <c r="DV46" s="339"/>
      <c r="DW46" s="339"/>
      <c r="DX46" s="339"/>
      <c r="DY46" s="339"/>
      <c r="DZ46" s="339"/>
      <c r="EA46" s="339"/>
      <c r="EB46" s="340"/>
      <c r="EC46" s="340"/>
      <c r="ED46" s="340"/>
      <c r="EE46" s="339">
        <v>235.57830999999999</v>
      </c>
      <c r="EF46" s="339"/>
      <c r="EG46" s="339">
        <v>0.19</v>
      </c>
      <c r="EH46" s="339">
        <v>235.48955900000001</v>
      </c>
      <c r="EI46" s="339">
        <v>23.61</v>
      </c>
      <c r="EJ46" s="339">
        <v>0.19</v>
      </c>
      <c r="EK46" s="339">
        <v>235.193702</v>
      </c>
      <c r="EL46" s="339">
        <v>23.46</v>
      </c>
      <c r="EM46" s="339">
        <v>0.19</v>
      </c>
      <c r="EN46" s="340">
        <v>235.84055799999999</v>
      </c>
      <c r="EO46" s="340">
        <v>20.03</v>
      </c>
      <c r="EP46" s="515">
        <v>0.19</v>
      </c>
      <c r="EQ46" s="339">
        <v>235.96140199999999</v>
      </c>
      <c r="ER46" s="339">
        <v>18.14</v>
      </c>
      <c r="ES46" s="339">
        <v>0.17</v>
      </c>
      <c r="ET46" s="339">
        <v>235.99975000000001</v>
      </c>
      <c r="EU46" s="339">
        <v>18.010000000000002</v>
      </c>
      <c r="EV46" s="339">
        <v>0.17</v>
      </c>
      <c r="EW46" s="339">
        <v>235.99975000000001</v>
      </c>
      <c r="EX46" s="339">
        <v>17.579999999999998</v>
      </c>
      <c r="EY46" s="510">
        <v>0.17</v>
      </c>
      <c r="EZ46" s="340">
        <v>235.84759600000001</v>
      </c>
      <c r="FA46" s="340">
        <v>16.12</v>
      </c>
      <c r="FB46" s="340">
        <v>0.13</v>
      </c>
      <c r="FC46" s="339">
        <v>235.99037300000001</v>
      </c>
      <c r="FD46" s="339">
        <v>16.350000000000001</v>
      </c>
      <c r="FE46" s="339">
        <v>0.13</v>
      </c>
      <c r="FF46" s="339">
        <v>235.86706799999999</v>
      </c>
      <c r="FG46" s="339">
        <v>14.71</v>
      </c>
      <c r="FH46" s="339">
        <v>0.12</v>
      </c>
      <c r="FI46" s="339">
        <v>235.52642499999999</v>
      </c>
      <c r="FJ46" s="339">
        <v>15.36</v>
      </c>
      <c r="FK46" s="339">
        <v>0.12</v>
      </c>
      <c r="FL46" s="339">
        <v>235.04834700000001</v>
      </c>
      <c r="FM46" s="339">
        <v>14.89</v>
      </c>
      <c r="FN46" s="339">
        <v>0.12</v>
      </c>
      <c r="FO46" s="339">
        <v>235.11705799999999</v>
      </c>
      <c r="FP46" s="339">
        <v>14.05</v>
      </c>
      <c r="FQ46" s="511">
        <v>0.12</v>
      </c>
      <c r="FR46" s="339">
        <v>234.99508299999999</v>
      </c>
      <c r="FS46" s="339">
        <v>13.15</v>
      </c>
      <c r="FT46" s="339">
        <v>0.11</v>
      </c>
      <c r="FU46" s="339">
        <v>234.858642</v>
      </c>
      <c r="FV46" s="339">
        <v>11.81</v>
      </c>
      <c r="FW46" s="339">
        <v>0.11</v>
      </c>
      <c r="FX46" s="339">
        <v>234.728309</v>
      </c>
      <c r="FY46" s="339">
        <v>12.33</v>
      </c>
      <c r="FZ46" s="339">
        <v>0.11</v>
      </c>
      <c r="GA46" s="339">
        <v>234.629761</v>
      </c>
      <c r="GB46" s="339">
        <v>12.38</v>
      </c>
      <c r="GC46" s="339">
        <v>0.11</v>
      </c>
      <c r="GD46" s="339">
        <v>234.474727</v>
      </c>
      <c r="GE46" s="339">
        <v>11.59</v>
      </c>
      <c r="GF46" s="339">
        <v>0.1</v>
      </c>
      <c r="GG46" s="339">
        <v>234.33099999999999</v>
      </c>
      <c r="GH46" s="339">
        <v>10.79</v>
      </c>
      <c r="GI46" s="339">
        <v>0.1</v>
      </c>
      <c r="GJ46" s="339">
        <v>234.2</v>
      </c>
      <c r="GK46" s="339">
        <v>9.39</v>
      </c>
      <c r="GL46" s="339">
        <v>0.1</v>
      </c>
      <c r="GM46" s="339">
        <v>234.09655900000001</v>
      </c>
      <c r="GN46" s="339">
        <v>9.89</v>
      </c>
      <c r="GO46" s="519">
        <v>0.1</v>
      </c>
      <c r="GP46" s="339">
        <v>233.99272099999999</v>
      </c>
      <c r="GQ46" s="339">
        <v>9.58</v>
      </c>
      <c r="GR46" s="339">
        <v>0.08</v>
      </c>
      <c r="GS46" s="339">
        <v>233.83623399999999</v>
      </c>
      <c r="GT46" s="339">
        <v>12.71</v>
      </c>
      <c r="GU46" s="339">
        <v>0.08</v>
      </c>
      <c r="GV46" s="339">
        <v>222.18044</v>
      </c>
      <c r="GW46" s="339">
        <v>12.63</v>
      </c>
      <c r="GX46" s="339">
        <v>0.08</v>
      </c>
      <c r="GY46" s="339">
        <v>221.61224300000001</v>
      </c>
      <c r="GZ46" s="339">
        <v>16.98</v>
      </c>
      <c r="HA46" s="339">
        <v>0.08</v>
      </c>
      <c r="HB46" s="339">
        <v>221.41234499999999</v>
      </c>
      <c r="HC46" s="339">
        <v>15.73</v>
      </c>
      <c r="HD46" s="339">
        <v>0.08</v>
      </c>
      <c r="HE46" s="339">
        <v>221.24524700000001</v>
      </c>
      <c r="HF46" s="339">
        <v>17.559999999999999</v>
      </c>
      <c r="HG46" s="339">
        <v>0</v>
      </c>
      <c r="HH46" s="339">
        <v>208.53113400000001</v>
      </c>
      <c r="HI46" s="505">
        <v>17.38</v>
      </c>
      <c r="HJ46" s="339">
        <v>0</v>
      </c>
      <c r="HK46" s="339">
        <v>211.14361600000001</v>
      </c>
      <c r="HL46" s="339">
        <v>16.829999999999998</v>
      </c>
      <c r="HM46" s="339">
        <v>0</v>
      </c>
      <c r="HN46" s="339">
        <v>200.89710099999999</v>
      </c>
      <c r="HO46" s="339">
        <v>14.34</v>
      </c>
      <c r="HP46" s="339">
        <v>0</v>
      </c>
      <c r="HQ46" s="339">
        <v>200.86861200000001</v>
      </c>
      <c r="HR46" s="339">
        <v>14</v>
      </c>
      <c r="HS46" s="339">
        <v>0</v>
      </c>
      <c r="HT46" s="339">
        <v>183.37725599999999</v>
      </c>
      <c r="HU46" s="339">
        <v>13.81</v>
      </c>
      <c r="HV46" s="339">
        <v>0</v>
      </c>
      <c r="HW46" s="339">
        <v>183.37725599999999</v>
      </c>
      <c r="HX46" s="506">
        <v>13.04</v>
      </c>
      <c r="HY46" s="513">
        <v>0</v>
      </c>
      <c r="HZ46" s="339">
        <v>183.33815300000001</v>
      </c>
      <c r="IA46" s="339">
        <v>14.85</v>
      </c>
      <c r="IB46" s="339">
        <v>0</v>
      </c>
      <c r="IC46" s="339">
        <v>117.54991200000001</v>
      </c>
      <c r="ID46" s="339">
        <v>12.45</v>
      </c>
      <c r="IE46" s="339">
        <v>0</v>
      </c>
      <c r="IF46" s="339">
        <v>183.11711099999999</v>
      </c>
      <c r="IG46" s="339">
        <v>10.75</v>
      </c>
      <c r="IH46" s="339">
        <v>0</v>
      </c>
      <c r="II46" s="339">
        <v>183.11711099999999</v>
      </c>
      <c r="IJ46" s="506">
        <v>10.5</v>
      </c>
      <c r="IK46" s="339">
        <v>0</v>
      </c>
      <c r="IL46" s="339">
        <v>117.279506</v>
      </c>
      <c r="IM46" s="339">
        <v>8.9499999999999993</v>
      </c>
      <c r="IN46" s="339">
        <v>0</v>
      </c>
      <c r="IO46" s="339">
        <v>117.239947</v>
      </c>
      <c r="IP46" s="339">
        <v>7.71</v>
      </c>
      <c r="IQ46" s="339">
        <v>0</v>
      </c>
      <c r="IR46" s="339">
        <v>182.926433</v>
      </c>
      <c r="IS46" s="339">
        <v>7.4</v>
      </c>
      <c r="IT46" s="339">
        <v>0</v>
      </c>
      <c r="IU46" s="339">
        <v>182.926433</v>
      </c>
      <c r="IV46" s="339">
        <v>7.34</v>
      </c>
      <c r="IW46" s="339">
        <v>0</v>
      </c>
      <c r="IX46" s="339">
        <v>177.144486</v>
      </c>
      <c r="IY46" s="339">
        <v>4.8499999999999996</v>
      </c>
      <c r="IZ46" s="339">
        <v>0</v>
      </c>
      <c r="JA46" s="339">
        <v>111.499881</v>
      </c>
      <c r="JB46" s="339">
        <v>5.94</v>
      </c>
      <c r="JC46" s="339">
        <v>0</v>
      </c>
      <c r="JD46" s="339">
        <v>102.15</v>
      </c>
      <c r="JE46" s="339">
        <v>3.18</v>
      </c>
      <c r="JF46" s="339">
        <v>0</v>
      </c>
      <c r="JG46" s="339">
        <v>102.132465</v>
      </c>
      <c r="JH46" s="339">
        <v>6.5</v>
      </c>
      <c r="JI46" s="339">
        <v>0</v>
      </c>
      <c r="JJ46" s="339">
        <v>102.110536</v>
      </c>
      <c r="JK46" s="339">
        <v>6.1</v>
      </c>
      <c r="JL46" s="339">
        <v>0</v>
      </c>
      <c r="JM46" s="339">
        <v>102.110536</v>
      </c>
      <c r="JN46" s="339">
        <v>7.8</v>
      </c>
      <c r="JO46" s="339">
        <v>0</v>
      </c>
      <c r="JP46" s="339">
        <v>102.099</v>
      </c>
      <c r="JQ46" s="339">
        <v>15.09</v>
      </c>
      <c r="JR46" s="339">
        <v>0.15</v>
      </c>
      <c r="JS46" s="339">
        <v>90.302999999999997</v>
      </c>
      <c r="JT46" s="339">
        <v>15.05</v>
      </c>
      <c r="JU46" s="339">
        <v>0.2</v>
      </c>
      <c r="JV46" s="339">
        <v>78.491</v>
      </c>
      <c r="JW46" s="339">
        <v>15.1</v>
      </c>
      <c r="JX46" s="339">
        <v>0.45</v>
      </c>
      <c r="JY46" s="339">
        <v>78.474999999999994</v>
      </c>
      <c r="JZ46" s="339">
        <v>15.99</v>
      </c>
      <c r="KA46" s="339">
        <v>0</v>
      </c>
      <c r="KB46" s="339">
        <v>78.459000000000003</v>
      </c>
      <c r="KC46" s="339">
        <v>14.8</v>
      </c>
      <c r="KD46" s="339">
        <v>0.25</v>
      </c>
      <c r="KE46" s="339">
        <v>78.445999999999998</v>
      </c>
      <c r="KF46" s="339">
        <v>16.0625</v>
      </c>
      <c r="KG46" s="339">
        <v>0.25</v>
      </c>
      <c r="KH46" s="339">
        <v>78.42</v>
      </c>
      <c r="KI46" s="339">
        <v>18</v>
      </c>
      <c r="KJ46" s="339">
        <v>0.25</v>
      </c>
      <c r="KK46" s="339">
        <v>78.400000000000006</v>
      </c>
      <c r="KL46" s="339">
        <v>12.5625</v>
      </c>
      <c r="KM46" s="339">
        <v>0.25</v>
      </c>
      <c r="KN46" s="339">
        <v>78.400000000000006</v>
      </c>
      <c r="KO46" s="339">
        <v>12.5</v>
      </c>
      <c r="KP46" s="339">
        <v>0.25</v>
      </c>
      <c r="KQ46" s="339">
        <v>69.364999999999995</v>
      </c>
      <c r="KR46" s="339">
        <v>17.375</v>
      </c>
      <c r="KS46" s="339">
        <v>0.25</v>
      </c>
      <c r="KT46" s="339">
        <v>31</v>
      </c>
      <c r="KU46" s="339">
        <v>22.25</v>
      </c>
      <c r="KV46" s="339">
        <v>0.25</v>
      </c>
      <c r="KW46" s="334">
        <v>51.1</v>
      </c>
      <c r="KX46" s="334">
        <v>25</v>
      </c>
      <c r="KY46" s="334">
        <v>0.25</v>
      </c>
      <c r="KZ46" s="334">
        <v>51.2</v>
      </c>
      <c r="LA46" s="334">
        <v>24.75</v>
      </c>
      <c r="LB46" s="334">
        <v>0.25</v>
      </c>
      <c r="LC46" s="334">
        <v>51.2</v>
      </c>
      <c r="LD46" s="334">
        <v>26</v>
      </c>
      <c r="LE46" s="334">
        <v>0.25</v>
      </c>
      <c r="LF46" s="334">
        <v>50.58</v>
      </c>
      <c r="LG46" s="334">
        <v>26.875</v>
      </c>
      <c r="LH46" s="334">
        <v>0.4</v>
      </c>
      <c r="LI46" s="334">
        <v>50.58</v>
      </c>
      <c r="LJ46" s="334">
        <v>25.75</v>
      </c>
      <c r="LK46" s="334">
        <v>0.4</v>
      </c>
      <c r="LL46" s="334">
        <v>49.9</v>
      </c>
      <c r="LM46" s="334">
        <v>26.75</v>
      </c>
      <c r="LN46" s="334">
        <v>0.4</v>
      </c>
      <c r="LO46" s="334">
        <v>49.902000000000001</v>
      </c>
      <c r="LP46" s="334">
        <v>26.5625</v>
      </c>
      <c r="LQ46" s="334">
        <v>0.4</v>
      </c>
      <c r="LR46" s="334">
        <v>49.058999999999997</v>
      </c>
      <c r="LS46" s="334">
        <v>22</v>
      </c>
      <c r="LT46" s="334">
        <v>0.4</v>
      </c>
      <c r="LU46" s="334">
        <v>49.058999999999997</v>
      </c>
      <c r="LV46" s="334">
        <v>21.25</v>
      </c>
      <c r="LW46" s="334">
        <v>0.4</v>
      </c>
      <c r="LX46" s="334">
        <v>48.209000000000003</v>
      </c>
      <c r="LY46" s="334">
        <v>19.875</v>
      </c>
      <c r="LZ46" s="334">
        <v>0.4</v>
      </c>
      <c r="MA46" s="334">
        <v>48.209000000000003</v>
      </c>
      <c r="MB46" s="334">
        <v>20.5</v>
      </c>
      <c r="MC46" s="334">
        <v>0.4</v>
      </c>
      <c r="MD46" s="334">
        <v>41.573</v>
      </c>
      <c r="ME46" s="334">
        <v>20.5</v>
      </c>
      <c r="MF46" s="334">
        <v>0.4</v>
      </c>
      <c r="MG46" s="334">
        <v>41.573</v>
      </c>
      <c r="MH46" s="334">
        <v>22</v>
      </c>
      <c r="MI46" s="334">
        <v>0.4</v>
      </c>
      <c r="MJ46" s="334">
        <v>41.573</v>
      </c>
      <c r="MK46" s="334">
        <v>21.875</v>
      </c>
      <c r="ML46" s="334">
        <v>0.4</v>
      </c>
      <c r="MM46" s="334">
        <v>41.573</v>
      </c>
      <c r="MN46" s="334">
        <v>22.25</v>
      </c>
      <c r="MO46" s="334">
        <v>0.4</v>
      </c>
      <c r="MP46" s="334">
        <v>41.573</v>
      </c>
      <c r="MQ46" s="334">
        <v>22.5</v>
      </c>
      <c r="MR46" s="334">
        <v>0.4</v>
      </c>
      <c r="MS46" s="334">
        <v>41.573</v>
      </c>
      <c r="MT46" s="334">
        <v>20.625</v>
      </c>
      <c r="MU46" s="334">
        <v>0.4</v>
      </c>
      <c r="MV46" s="334">
        <v>41.573</v>
      </c>
      <c r="MW46" s="334">
        <v>20.125</v>
      </c>
      <c r="MX46" s="334">
        <v>0.4</v>
      </c>
      <c r="MY46" s="334">
        <v>41.573</v>
      </c>
      <c r="MZ46" s="334">
        <v>20.375</v>
      </c>
      <c r="NA46" s="334">
        <v>0.4</v>
      </c>
      <c r="NB46" s="334">
        <v>41.573</v>
      </c>
      <c r="NC46" s="334">
        <v>20.125</v>
      </c>
      <c r="ND46" s="334">
        <v>0.4</v>
      </c>
      <c r="NE46" s="334">
        <v>41.573</v>
      </c>
      <c r="NF46" s="334">
        <v>19.125</v>
      </c>
      <c r="NG46" s="334">
        <v>0.4</v>
      </c>
      <c r="NH46" s="334">
        <v>40.904000000000003</v>
      </c>
      <c r="NI46" s="334">
        <v>22.125</v>
      </c>
      <c r="NJ46" s="334">
        <v>0.4</v>
      </c>
      <c r="NK46" s="334">
        <v>40.904000000000003</v>
      </c>
      <c r="NL46" s="334">
        <v>24.125</v>
      </c>
      <c r="NM46" s="334">
        <v>0.4</v>
      </c>
      <c r="NN46" s="334">
        <v>40.904000000000003</v>
      </c>
      <c r="NO46" s="334">
        <v>26.375</v>
      </c>
      <c r="NP46" s="334">
        <v>0.4</v>
      </c>
      <c r="NQ46" s="334">
        <v>38.225999999999999</v>
      </c>
      <c r="NR46" s="334">
        <v>25.125</v>
      </c>
      <c r="NS46" s="334">
        <v>0.4</v>
      </c>
      <c r="NT46" s="334">
        <v>37.381999999999998</v>
      </c>
      <c r="NU46" s="334">
        <v>25</v>
      </c>
      <c r="NV46" s="334">
        <v>0.4</v>
      </c>
      <c r="NW46" s="334">
        <v>35.200000000000003</v>
      </c>
      <c r="NX46" s="334">
        <v>23.63</v>
      </c>
      <c r="NY46" s="334">
        <v>0.4</v>
      </c>
      <c r="NZ46" s="334">
        <v>35.200000000000003</v>
      </c>
      <c r="OA46" s="334">
        <v>22.38</v>
      </c>
      <c r="OB46" s="334">
        <v>0.4</v>
      </c>
      <c r="OC46" s="334">
        <v>34.472999999999999</v>
      </c>
      <c r="OD46" s="334">
        <v>19</v>
      </c>
      <c r="OE46" s="334">
        <v>0.4</v>
      </c>
      <c r="OF46" s="334">
        <v>33.076999999999998</v>
      </c>
      <c r="OG46" s="334">
        <v>19.13</v>
      </c>
      <c r="OH46" s="334">
        <v>0.4</v>
      </c>
      <c r="OI46" s="334">
        <v>30.855</v>
      </c>
      <c r="OJ46" s="334">
        <v>19.38</v>
      </c>
      <c r="OK46" s="334">
        <v>0.4</v>
      </c>
      <c r="OL46" s="334">
        <v>30.263999999999999</v>
      </c>
      <c r="OM46" s="334">
        <v>17.88</v>
      </c>
      <c r="ON46" s="334">
        <v>0.4</v>
      </c>
      <c r="OO46" s="334">
        <v>29.181999999999999</v>
      </c>
      <c r="OP46" s="334">
        <v>18.25</v>
      </c>
      <c r="OQ46" s="334">
        <v>0.4</v>
      </c>
      <c r="OR46" s="334">
        <v>29.015999999999998</v>
      </c>
      <c r="OS46" s="334">
        <v>21.5</v>
      </c>
      <c r="OT46" s="334">
        <v>0.4</v>
      </c>
      <c r="OU46" s="334">
        <v>28.33</v>
      </c>
      <c r="OV46" s="334">
        <v>21.88</v>
      </c>
    </row>
    <row r="47" spans="1:412">
      <c r="B47" s="333" t="s">
        <v>243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504"/>
      <c r="AZ47" s="504"/>
      <c r="BA47" s="504"/>
      <c r="BB47" s="503"/>
      <c r="BC47" s="503"/>
      <c r="BD47" s="503"/>
      <c r="BE47" s="503"/>
      <c r="BF47" s="503"/>
      <c r="BG47" s="503"/>
      <c r="BH47" s="503"/>
      <c r="BI47" s="503"/>
      <c r="BJ47" s="503"/>
      <c r="BK47" s="503"/>
      <c r="BL47" s="503"/>
      <c r="BM47" s="503"/>
      <c r="BN47" s="503"/>
      <c r="BO47" s="503"/>
      <c r="BP47" s="503"/>
      <c r="BQ47" s="504"/>
      <c r="BR47" s="504"/>
      <c r="BS47" s="504"/>
      <c r="BT47" s="504"/>
      <c r="BU47" s="504"/>
      <c r="BV47" s="504"/>
      <c r="BW47" s="504"/>
      <c r="BX47" s="504"/>
      <c r="BY47" s="504"/>
      <c r="BZ47" s="503"/>
      <c r="CA47" s="503"/>
      <c r="CB47" s="503"/>
      <c r="CC47" s="503"/>
      <c r="CD47" s="503"/>
      <c r="CE47" s="503"/>
      <c r="CF47" s="503"/>
      <c r="CG47" s="503"/>
      <c r="CH47" s="503"/>
      <c r="CI47" s="503"/>
      <c r="CJ47" s="503"/>
      <c r="CK47" s="503"/>
      <c r="CL47" s="503"/>
      <c r="CM47" s="503"/>
      <c r="CN47" s="503"/>
      <c r="CO47" s="503"/>
      <c r="CP47" s="503"/>
      <c r="CQ47" s="503"/>
      <c r="CR47" s="504"/>
      <c r="CS47" s="504"/>
      <c r="CT47" s="504"/>
      <c r="CU47" s="503"/>
      <c r="CV47" s="503"/>
      <c r="CW47" s="503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  <c r="DJ47" s="339"/>
      <c r="DK47" s="339"/>
      <c r="DL47" s="339"/>
      <c r="DM47" s="339"/>
      <c r="DN47" s="339"/>
      <c r="DO47" s="339"/>
      <c r="DP47" s="339"/>
      <c r="DQ47" s="339"/>
      <c r="DR47" s="339"/>
      <c r="DS47" s="339"/>
      <c r="DT47" s="339"/>
      <c r="DU47" s="339"/>
      <c r="DV47" s="339"/>
      <c r="DW47" s="339"/>
      <c r="DX47" s="339"/>
      <c r="DY47" s="339"/>
      <c r="DZ47" s="339"/>
      <c r="EA47" s="339"/>
      <c r="EB47" s="340"/>
      <c r="EC47" s="340"/>
      <c r="ED47" s="340"/>
      <c r="EE47" s="339"/>
      <c r="EF47" s="339"/>
      <c r="EG47" s="339"/>
      <c r="EH47" s="339"/>
      <c r="EI47" s="339"/>
      <c r="EJ47" s="339"/>
      <c r="EK47" s="339"/>
      <c r="EL47" s="339"/>
      <c r="EM47" s="339"/>
      <c r="EN47" s="339"/>
      <c r="EO47" s="339"/>
      <c r="EP47" s="339"/>
      <c r="EQ47" s="339"/>
      <c r="ER47" s="339"/>
      <c r="ES47" s="339"/>
      <c r="ET47" s="339"/>
      <c r="EU47" s="339"/>
      <c r="EV47" s="339"/>
      <c r="EW47" s="339"/>
      <c r="EX47" s="339"/>
      <c r="EY47" s="339"/>
      <c r="EZ47" s="339"/>
      <c r="FA47" s="339"/>
      <c r="FB47" s="339"/>
      <c r="FC47" s="339"/>
      <c r="FD47" s="339"/>
      <c r="FE47" s="339"/>
      <c r="FF47" s="339"/>
      <c r="FG47" s="339"/>
      <c r="FH47" s="342"/>
      <c r="FI47" s="339"/>
      <c r="FJ47" s="339"/>
      <c r="FK47" s="339"/>
      <c r="FL47" s="339"/>
      <c r="FM47" s="339"/>
      <c r="FN47" s="339"/>
      <c r="FO47" s="339"/>
      <c r="FP47" s="339"/>
      <c r="FQ47" s="339"/>
      <c r="FR47" s="339"/>
      <c r="FS47" s="339"/>
      <c r="FT47" s="339"/>
      <c r="FU47" s="339"/>
      <c r="FV47" s="339"/>
      <c r="FW47" s="339"/>
      <c r="FX47" s="339"/>
      <c r="FY47" s="339"/>
      <c r="FZ47" s="339"/>
      <c r="GA47" s="339"/>
      <c r="GB47" s="339"/>
      <c r="GC47" s="339"/>
      <c r="GD47" s="339"/>
      <c r="GE47" s="339"/>
      <c r="GF47" s="339"/>
      <c r="GG47" s="339"/>
      <c r="GH47" s="339"/>
      <c r="GI47" s="339"/>
      <c r="GJ47" s="339"/>
      <c r="GK47" s="339"/>
      <c r="GL47" s="339"/>
      <c r="GM47" s="339"/>
      <c r="GN47" s="339"/>
      <c r="GO47" s="339"/>
      <c r="GP47" s="339"/>
      <c r="GQ47" s="339"/>
      <c r="GR47" s="339"/>
      <c r="GS47" s="339"/>
      <c r="GT47" s="339"/>
      <c r="GU47" s="339"/>
      <c r="GV47" s="339"/>
      <c r="GW47" s="339"/>
      <c r="GX47" s="339"/>
      <c r="GY47" s="339"/>
      <c r="GZ47" s="339"/>
      <c r="HA47" s="339"/>
      <c r="HB47" s="339"/>
      <c r="HC47" s="339"/>
      <c r="HD47" s="339"/>
      <c r="HE47" s="339"/>
      <c r="HF47" s="339"/>
      <c r="HG47" s="339"/>
      <c r="HH47" s="339"/>
      <c r="HI47" s="505"/>
      <c r="HJ47" s="339"/>
      <c r="HK47" s="339"/>
      <c r="HL47" s="339"/>
      <c r="HM47" s="339"/>
      <c r="HN47" s="339"/>
      <c r="HO47" s="339"/>
      <c r="HP47" s="339"/>
      <c r="HQ47" s="339"/>
      <c r="HR47" s="339"/>
      <c r="HS47" s="339"/>
      <c r="HT47" s="339"/>
      <c r="HU47" s="339"/>
      <c r="HV47" s="339"/>
      <c r="HW47" s="339"/>
      <c r="HX47" s="506"/>
      <c r="HY47" s="513"/>
      <c r="HZ47" s="339"/>
      <c r="IA47" s="339"/>
      <c r="IB47" s="339"/>
      <c r="IC47" s="339"/>
      <c r="ID47" s="339"/>
      <c r="IE47" s="339"/>
      <c r="IF47" s="339"/>
      <c r="IG47" s="339"/>
      <c r="IH47" s="339"/>
      <c r="II47" s="339"/>
      <c r="IJ47" s="505"/>
      <c r="IK47" s="339"/>
      <c r="IL47" s="339"/>
      <c r="IM47" s="339"/>
      <c r="IN47" s="339"/>
      <c r="IO47" s="339"/>
      <c r="IP47" s="339"/>
      <c r="IQ47" s="339"/>
      <c r="IR47" s="339"/>
      <c r="IS47" s="339"/>
      <c r="IT47" s="339"/>
      <c r="IU47" s="339"/>
      <c r="IV47" s="339"/>
      <c r="IW47" s="339"/>
      <c r="IX47" s="339"/>
      <c r="IY47" s="339"/>
      <c r="IZ47" s="342"/>
      <c r="JA47" s="339"/>
      <c r="JB47" s="339"/>
      <c r="JC47" s="339"/>
      <c r="JD47" s="339"/>
      <c r="JE47" s="339"/>
      <c r="JF47" s="339"/>
      <c r="JG47" s="339"/>
      <c r="JH47" s="339"/>
      <c r="JI47" s="339"/>
      <c r="JJ47" s="339"/>
      <c r="JK47" s="339"/>
      <c r="JL47" s="339"/>
      <c r="JM47" s="339"/>
      <c r="JN47" s="339"/>
      <c r="JO47" s="339"/>
      <c r="JP47" s="339"/>
      <c r="JQ47" s="339"/>
      <c r="JR47" s="339"/>
      <c r="JS47" s="339"/>
      <c r="JT47" s="342"/>
      <c r="JU47" s="342"/>
      <c r="JV47" s="339"/>
      <c r="JW47" s="339"/>
      <c r="JX47" s="339"/>
      <c r="JY47" s="339"/>
      <c r="JZ47" s="339"/>
      <c r="KA47" s="339"/>
      <c r="KB47" s="339"/>
      <c r="KC47" s="339"/>
      <c r="KD47" s="339"/>
      <c r="KE47" s="339"/>
      <c r="KF47" s="339"/>
      <c r="KG47" s="339"/>
      <c r="KH47" s="339"/>
      <c r="KI47" s="339"/>
      <c r="KJ47" s="339"/>
      <c r="KK47" s="339"/>
      <c r="KL47" s="339"/>
      <c r="KM47" s="339"/>
      <c r="KN47" s="339"/>
      <c r="KO47" s="339"/>
      <c r="KP47" s="339"/>
      <c r="KQ47" s="339">
        <v>59.355248000000003</v>
      </c>
      <c r="KR47" s="339">
        <v>51.75</v>
      </c>
      <c r="KS47" s="339">
        <v>0.59</v>
      </c>
      <c r="KT47" s="339">
        <v>59.1</v>
      </c>
      <c r="KU47" s="339">
        <v>51.875</v>
      </c>
      <c r="KV47" s="339">
        <v>0.59</v>
      </c>
      <c r="KW47" s="334">
        <v>62.35</v>
      </c>
      <c r="KX47" s="334">
        <v>50.125</v>
      </c>
      <c r="KY47" s="334">
        <v>0.59</v>
      </c>
      <c r="KZ47" s="334">
        <v>61.81</v>
      </c>
      <c r="LA47" s="334">
        <v>48.5</v>
      </c>
      <c r="LB47" s="334">
        <v>0.59</v>
      </c>
      <c r="LC47" s="334">
        <v>61.81</v>
      </c>
      <c r="LD47" s="334">
        <v>48.125</v>
      </c>
      <c r="LE47" s="334">
        <v>0.59</v>
      </c>
      <c r="LF47" s="334">
        <v>64.53</v>
      </c>
      <c r="LG47" s="334">
        <v>41.5</v>
      </c>
      <c r="LH47" s="334">
        <v>0.59</v>
      </c>
      <c r="LI47" s="334">
        <v>64.53</v>
      </c>
      <c r="LJ47" s="334">
        <v>43.25</v>
      </c>
      <c r="LK47" s="334">
        <v>0.59</v>
      </c>
      <c r="LL47" s="334">
        <v>64.95</v>
      </c>
      <c r="LM47" s="334">
        <v>45.6875</v>
      </c>
      <c r="LN47" s="334">
        <v>0.59</v>
      </c>
      <c r="LO47" s="334">
        <v>64.944999999999993</v>
      </c>
      <c r="LP47" s="334">
        <v>42.75</v>
      </c>
      <c r="LQ47" s="334">
        <v>0.59</v>
      </c>
      <c r="LR47" s="334">
        <v>64.97</v>
      </c>
      <c r="LS47" s="334">
        <v>39.25</v>
      </c>
      <c r="LT47" s="334">
        <v>0.59</v>
      </c>
      <c r="LU47" s="334">
        <v>64.97</v>
      </c>
      <c r="LV47" s="334">
        <v>37</v>
      </c>
      <c r="LW47" s="334">
        <v>0.59</v>
      </c>
      <c r="LX47" s="334">
        <v>64.97</v>
      </c>
      <c r="LY47" s="334">
        <v>34.375</v>
      </c>
      <c r="LZ47" s="334">
        <v>0.59</v>
      </c>
      <c r="MA47" s="334">
        <v>64.97</v>
      </c>
      <c r="MB47" s="334">
        <v>34.875</v>
      </c>
      <c r="MC47" s="334">
        <v>0.59</v>
      </c>
      <c r="MD47" s="334">
        <v>64.97</v>
      </c>
      <c r="ME47" s="334">
        <v>31.125</v>
      </c>
      <c r="MF47" s="334">
        <v>0.59</v>
      </c>
      <c r="MG47" s="334">
        <v>64.97</v>
      </c>
      <c r="MH47" s="334">
        <v>36.375</v>
      </c>
      <c r="MI47" s="334">
        <v>0.59</v>
      </c>
      <c r="MJ47" s="334">
        <v>64.97</v>
      </c>
      <c r="MK47" s="334">
        <v>38.25</v>
      </c>
      <c r="ML47" s="334">
        <v>0.59</v>
      </c>
      <c r="MM47" s="334">
        <v>64.97</v>
      </c>
      <c r="MN47" s="334">
        <v>39.625</v>
      </c>
      <c r="MO47" s="334">
        <v>0.59</v>
      </c>
      <c r="MP47" s="334">
        <v>64.97</v>
      </c>
      <c r="MQ47" s="334">
        <v>37</v>
      </c>
      <c r="MR47" s="334">
        <v>0.59</v>
      </c>
      <c r="MS47" s="334">
        <v>64.97</v>
      </c>
      <c r="MT47" s="334">
        <v>34.5</v>
      </c>
      <c r="MU47" s="334">
        <v>0.59</v>
      </c>
      <c r="MV47" s="334">
        <v>64.97</v>
      </c>
      <c r="MW47" s="334">
        <v>30.875</v>
      </c>
      <c r="MX47" s="334">
        <v>0.57499999999999996</v>
      </c>
      <c r="MY47" s="334">
        <v>64.97</v>
      </c>
      <c r="MZ47" s="334">
        <v>32.125</v>
      </c>
      <c r="NA47" s="334">
        <v>0.57499999999999996</v>
      </c>
      <c r="NB47" s="334">
        <v>64.97</v>
      </c>
      <c r="NC47" s="334">
        <v>30.5</v>
      </c>
      <c r="ND47" s="334">
        <v>0.57499999999999996</v>
      </c>
      <c r="NE47" s="334">
        <v>64.97</v>
      </c>
      <c r="NF47" s="334">
        <v>32.625</v>
      </c>
      <c r="NG47" s="334">
        <v>0.57499999999999996</v>
      </c>
      <c r="NH47" s="334">
        <v>64.97</v>
      </c>
      <c r="NI47" s="334">
        <v>36.375</v>
      </c>
      <c r="NJ47" s="334">
        <v>0.57499999999999996</v>
      </c>
      <c r="NK47" s="334">
        <v>64.97</v>
      </c>
      <c r="NL47" s="334">
        <v>39.125</v>
      </c>
      <c r="NM47" s="334">
        <v>0.56000000000000005</v>
      </c>
      <c r="NN47" s="334">
        <v>64.97</v>
      </c>
      <c r="NO47" s="334">
        <v>41</v>
      </c>
      <c r="NP47" s="334">
        <v>0.56000000000000005</v>
      </c>
      <c r="NQ47" s="334">
        <v>64.97</v>
      </c>
      <c r="NR47" s="334">
        <v>41.75</v>
      </c>
      <c r="NS47" s="334">
        <v>0.56000000000000005</v>
      </c>
      <c r="NT47" s="334">
        <v>64.97</v>
      </c>
      <c r="NU47" s="334">
        <v>41.375</v>
      </c>
      <c r="NV47" s="334">
        <v>0.54</v>
      </c>
      <c r="NW47" s="334">
        <v>64.97</v>
      </c>
      <c r="NX47" s="334">
        <v>38.5</v>
      </c>
      <c r="NY47" s="334">
        <v>0.54</v>
      </c>
      <c r="NZ47" s="334">
        <v>64.97</v>
      </c>
      <c r="OA47" s="334">
        <v>35.880000000000003</v>
      </c>
      <c r="OB47" s="334">
        <v>0.54</v>
      </c>
      <c r="OC47" s="334">
        <v>64.97</v>
      </c>
      <c r="OD47" s="334">
        <v>32.75</v>
      </c>
      <c r="OE47" s="334">
        <v>0.52</v>
      </c>
      <c r="OF47" s="334">
        <v>64.97</v>
      </c>
      <c r="OG47" s="334">
        <v>30.25</v>
      </c>
      <c r="OH47" s="334">
        <v>0.52</v>
      </c>
      <c r="OI47" s="334">
        <v>64.917000000000002</v>
      </c>
      <c r="OJ47" s="334">
        <v>32.130000000000003</v>
      </c>
      <c r="OK47" s="334">
        <v>0.52</v>
      </c>
      <c r="OL47" s="334">
        <v>64.899000000000001</v>
      </c>
      <c r="OM47" s="334">
        <v>31.25</v>
      </c>
      <c r="ON47" s="334">
        <v>0.52</v>
      </c>
      <c r="OO47" s="334">
        <v>64.864000000000004</v>
      </c>
      <c r="OP47" s="334">
        <v>28</v>
      </c>
      <c r="OQ47" s="334">
        <v>0.51</v>
      </c>
      <c r="OR47" s="334">
        <v>64.757000000000005</v>
      </c>
      <c r="OS47" s="334">
        <v>27</v>
      </c>
      <c r="OT47" s="334">
        <v>0.51</v>
      </c>
      <c r="OU47" s="334">
        <v>63.817999999999998</v>
      </c>
      <c r="OV47" s="334">
        <v>24.88</v>
      </c>
    </row>
    <row r="48" spans="1:412">
      <c r="A48" s="294" t="s">
        <v>522</v>
      </c>
      <c r="B48" s="335" t="s">
        <v>523</v>
      </c>
      <c r="C48" s="335">
        <v>359.52051799999998</v>
      </c>
      <c r="D48" s="335">
        <v>57.43</v>
      </c>
      <c r="E48" s="335">
        <v>0.71499999999999997</v>
      </c>
      <c r="F48" s="335">
        <v>353.212378</v>
      </c>
      <c r="G48" s="335">
        <v>68.05</v>
      </c>
      <c r="H48" s="335">
        <v>0.71499999999999997</v>
      </c>
      <c r="I48" s="335">
        <v>350.71711399999998</v>
      </c>
      <c r="J48" s="335">
        <v>56.71</v>
      </c>
      <c r="K48" s="335">
        <v>0.71499999999999997</v>
      </c>
      <c r="L48" s="335">
        <v>349.93900000000002</v>
      </c>
      <c r="M48" s="335">
        <v>59.77</v>
      </c>
      <c r="N48" s="335">
        <v>0.71499999999999997</v>
      </c>
      <c r="O48" s="335">
        <v>349.70415500000001</v>
      </c>
      <c r="P48" s="335">
        <v>61.72</v>
      </c>
      <c r="Q48" s="335">
        <v>0.67500000000000004</v>
      </c>
      <c r="R48" s="340">
        <v>349.46199999999999</v>
      </c>
      <c r="S48" s="340">
        <v>58.15</v>
      </c>
      <c r="T48" s="340">
        <v>0.67500000000000004</v>
      </c>
      <c r="U48" s="340">
        <v>349.21714700000001</v>
      </c>
      <c r="V48" s="340">
        <v>70.92</v>
      </c>
      <c r="W48" s="340">
        <v>0.67500000000000004</v>
      </c>
      <c r="X48" s="340">
        <v>346.78344399999997</v>
      </c>
      <c r="Y48" s="340">
        <v>78.260000000000005</v>
      </c>
      <c r="Z48" s="340">
        <v>0.67500000000000004</v>
      </c>
      <c r="AA48" s="340">
        <v>347.29741100000001</v>
      </c>
      <c r="AB48" s="340">
        <v>83.84</v>
      </c>
      <c r="AC48" s="340">
        <v>0.63749999999999996</v>
      </c>
      <c r="AD48" s="340">
        <v>345.89371399999999</v>
      </c>
      <c r="AE48" s="340">
        <v>77.959999999999994</v>
      </c>
      <c r="AF48" s="340">
        <v>0.63749999999999996</v>
      </c>
      <c r="AG48" s="340">
        <v>345.15634599999998</v>
      </c>
      <c r="AH48" s="340">
        <v>84.47</v>
      </c>
      <c r="AI48" s="340">
        <v>0.63749999999999996</v>
      </c>
      <c r="AJ48" s="340">
        <v>343.97292599999997</v>
      </c>
      <c r="AK48" s="340">
        <v>88.19</v>
      </c>
      <c r="AL48" s="340">
        <v>0.63749999999999996</v>
      </c>
      <c r="AM48" s="340">
        <v>344.02384599999999</v>
      </c>
      <c r="AN48" s="340">
        <v>90.98</v>
      </c>
      <c r="AO48" s="340">
        <v>0.60250000000000004</v>
      </c>
      <c r="AP48" s="340">
        <v>343.84462600000001</v>
      </c>
      <c r="AQ48" s="340">
        <v>81.760000000000005</v>
      </c>
      <c r="AR48" s="340">
        <v>0.60250000000000004</v>
      </c>
      <c r="AS48" s="340">
        <v>343.67824300000001</v>
      </c>
      <c r="AT48" s="340">
        <v>80.239999999999995</v>
      </c>
      <c r="AU48" s="340">
        <v>0.60250000000000004</v>
      </c>
      <c r="AV48" s="340">
        <v>338.83614699999998</v>
      </c>
      <c r="AW48" s="340">
        <v>86.59</v>
      </c>
      <c r="AX48" s="340">
        <v>0.60250000000000004</v>
      </c>
      <c r="AY48" s="504">
        <v>343.07661400000001</v>
      </c>
      <c r="AZ48" s="504">
        <v>86.51</v>
      </c>
      <c r="BA48" s="504">
        <v>0.5675</v>
      </c>
      <c r="BB48" s="504">
        <v>337.946663</v>
      </c>
      <c r="BC48" s="504">
        <v>83.55</v>
      </c>
      <c r="BD48" s="504">
        <v>0.5675</v>
      </c>
      <c r="BE48" s="504">
        <v>331.102237</v>
      </c>
      <c r="BF48" s="504">
        <v>83.27</v>
      </c>
      <c r="BG48" s="504">
        <v>0.5675</v>
      </c>
      <c r="BH48" s="504">
        <v>321.41608600000001</v>
      </c>
      <c r="BI48" s="504">
        <v>78.209999999999994</v>
      </c>
      <c r="BJ48" s="518">
        <v>0.5675</v>
      </c>
      <c r="BK48" s="504">
        <v>324.03716900000001</v>
      </c>
      <c r="BL48" s="504">
        <v>85.07</v>
      </c>
      <c r="BM48" s="504">
        <v>0.53500000000000003</v>
      </c>
      <c r="BN48" s="504">
        <v>319.66499800000003</v>
      </c>
      <c r="BO48" s="504">
        <v>85.47</v>
      </c>
      <c r="BP48" s="504">
        <v>0.53500000000000003</v>
      </c>
      <c r="BQ48" s="504">
        <v>317.624593</v>
      </c>
      <c r="BR48" s="504">
        <v>75.760000000000005</v>
      </c>
      <c r="BS48" s="504">
        <v>0.53500000000000003</v>
      </c>
      <c r="BT48" s="504">
        <v>317.37036899999998</v>
      </c>
      <c r="BU48" s="504">
        <v>70.95</v>
      </c>
      <c r="BV48" s="507">
        <v>0.53500000000000003</v>
      </c>
      <c r="BW48" s="504">
        <v>317.36011000000002</v>
      </c>
      <c r="BX48" s="504">
        <v>65.040000000000006</v>
      </c>
      <c r="BY48" s="504">
        <v>0.505</v>
      </c>
      <c r="BZ48" s="504">
        <v>317.34459600000002</v>
      </c>
      <c r="CA48" s="504">
        <v>61.44</v>
      </c>
      <c r="CB48" s="504">
        <v>0.505</v>
      </c>
      <c r="CC48" s="503">
        <v>317.39705199999997</v>
      </c>
      <c r="CD48" s="503">
        <v>58.61</v>
      </c>
      <c r="CE48" s="503">
        <v>0.505</v>
      </c>
      <c r="CF48" s="503">
        <v>317.39684199999999</v>
      </c>
      <c r="CG48" s="503">
        <v>58.92</v>
      </c>
      <c r="CH48" s="508">
        <v>0.505</v>
      </c>
      <c r="CI48" s="503">
        <v>317.39302900000001</v>
      </c>
      <c r="CJ48" s="503">
        <v>63.18</v>
      </c>
      <c r="CK48" s="503">
        <v>0.47499999999999998</v>
      </c>
      <c r="CL48" s="503">
        <v>317.39136500000001</v>
      </c>
      <c r="CM48" s="503">
        <v>60.44</v>
      </c>
      <c r="CN48" s="503">
        <v>0.47499999999999998</v>
      </c>
      <c r="CO48" s="503">
        <v>317.46315099999998</v>
      </c>
      <c r="CP48" s="503">
        <v>60.71</v>
      </c>
      <c r="CQ48" s="503">
        <v>0.47499999999999998</v>
      </c>
      <c r="CR48" s="504">
        <v>317.65017999999998</v>
      </c>
      <c r="CS48" s="504">
        <v>58.78</v>
      </c>
      <c r="CT48" s="514">
        <v>0.47499999999999998</v>
      </c>
      <c r="CU48" s="503">
        <v>317.79783600000002</v>
      </c>
      <c r="CV48" s="503">
        <v>55.23</v>
      </c>
      <c r="CW48" s="503">
        <v>0.44500000000000001</v>
      </c>
      <c r="CX48" s="339">
        <v>317.78549500000003</v>
      </c>
      <c r="CY48" s="339">
        <v>54.18</v>
      </c>
      <c r="CZ48" s="339">
        <v>0.44500000000000001</v>
      </c>
      <c r="DA48" s="339">
        <v>317.51714099999998</v>
      </c>
      <c r="DB48" s="339">
        <v>59.9</v>
      </c>
      <c r="DC48" s="339">
        <v>0.44500000000000001</v>
      </c>
      <c r="DD48" s="339">
        <v>317.33688100000001</v>
      </c>
      <c r="DE48" s="339">
        <v>58.34</v>
      </c>
      <c r="DF48" s="511">
        <v>0.44500000000000001</v>
      </c>
      <c r="DG48" s="339">
        <v>317.45221199999997</v>
      </c>
      <c r="DH48" s="339">
        <v>51.07</v>
      </c>
      <c r="DI48" s="339">
        <v>0.41749999999999998</v>
      </c>
      <c r="DJ48" s="339">
        <v>317.61316599999998</v>
      </c>
      <c r="DK48" s="339">
        <v>50.62</v>
      </c>
      <c r="DL48" s="339">
        <v>0.41749999999999998</v>
      </c>
      <c r="DM48" s="339">
        <v>317.09084100000001</v>
      </c>
      <c r="DN48" s="339">
        <v>45.41</v>
      </c>
      <c r="DO48" s="339">
        <v>0.41749999999999998</v>
      </c>
      <c r="DP48" s="340">
        <v>316.72127499999999</v>
      </c>
      <c r="DQ48" s="340">
        <v>50.52</v>
      </c>
      <c r="DR48" s="515">
        <v>0.41749999999999998</v>
      </c>
      <c r="DS48" s="339">
        <v>316.34069099999999</v>
      </c>
      <c r="DT48" s="339">
        <v>53.52</v>
      </c>
      <c r="DU48" s="339">
        <v>0.39250000000000002</v>
      </c>
      <c r="DV48" s="339">
        <v>315.95051000000001</v>
      </c>
      <c r="DW48" s="339">
        <v>44.3</v>
      </c>
      <c r="DX48" s="339">
        <v>0.39250000000000002</v>
      </c>
      <c r="DY48" s="339">
        <v>315.53451200000001</v>
      </c>
      <c r="DZ48" s="339">
        <v>47.27</v>
      </c>
      <c r="EA48" s="339">
        <v>0.39250000000000002</v>
      </c>
      <c r="EB48" s="340">
        <v>315.31138700000002</v>
      </c>
      <c r="EC48" s="340">
        <v>45.5</v>
      </c>
      <c r="ED48" s="515">
        <v>0.39250000000000002</v>
      </c>
      <c r="EE48" s="339">
        <v>315.29134599999998</v>
      </c>
      <c r="EF48" s="339">
        <v>42.39</v>
      </c>
      <c r="EG48" s="339">
        <v>0.36749999999999999</v>
      </c>
      <c r="EH48" s="339">
        <v>315.15413000000001</v>
      </c>
      <c r="EI48" s="339">
        <v>41.25</v>
      </c>
      <c r="EJ48" s="339">
        <v>0.36749999999999999</v>
      </c>
      <c r="EK48" s="339">
        <v>315.12978199999998</v>
      </c>
      <c r="EL48" s="339">
        <v>42.02</v>
      </c>
      <c r="EM48" s="339">
        <v>0.36749999999999999</v>
      </c>
      <c r="EN48" s="340">
        <v>277.20981899999998</v>
      </c>
      <c r="EO48" s="340">
        <v>43.46</v>
      </c>
      <c r="EP48" s="515">
        <v>0.36749999999999999</v>
      </c>
      <c r="EQ48" s="339">
        <v>314.80644100000001</v>
      </c>
      <c r="ER48" s="339">
        <v>39.08</v>
      </c>
      <c r="ES48" s="339">
        <v>0.34300000000000003</v>
      </c>
      <c r="ET48" s="339">
        <v>301.047753</v>
      </c>
      <c r="EU48" s="339">
        <v>38.229999999999997</v>
      </c>
      <c r="EV48" s="339">
        <v>0.34300000000000003</v>
      </c>
      <c r="EW48" s="339">
        <v>178.05571599999999</v>
      </c>
      <c r="EX48" s="339">
        <v>38.81</v>
      </c>
      <c r="EY48" s="510">
        <v>0.34300000000000003</v>
      </c>
      <c r="EZ48" s="340">
        <v>177.410167</v>
      </c>
      <c r="FA48" s="340">
        <v>37.119999999999997</v>
      </c>
      <c r="FB48" s="515">
        <v>0.29380000000000001</v>
      </c>
      <c r="FC48" s="339">
        <v>177.497862</v>
      </c>
      <c r="FD48" s="339">
        <v>36.07</v>
      </c>
      <c r="FE48" s="339">
        <v>0.27500000000000002</v>
      </c>
      <c r="FF48" s="339">
        <v>177.347374</v>
      </c>
      <c r="FG48" s="339">
        <v>33.659999999999997</v>
      </c>
      <c r="FH48" s="339">
        <v>0.27500000000000002</v>
      </c>
      <c r="FI48" s="339">
        <v>177.18820700000001</v>
      </c>
      <c r="FJ48" s="339">
        <v>35.17</v>
      </c>
      <c r="FK48" s="339">
        <v>0.27500000000000002</v>
      </c>
      <c r="FL48" s="339">
        <v>176.870678</v>
      </c>
      <c r="FM48" s="339">
        <v>34.6</v>
      </c>
      <c r="FN48" s="511">
        <v>0.27500000000000002</v>
      </c>
      <c r="FO48" s="339">
        <v>176.752714</v>
      </c>
      <c r="FP48" s="339">
        <v>31.88</v>
      </c>
      <c r="FQ48" s="339">
        <v>0.25629999999999997</v>
      </c>
      <c r="FR48" s="339">
        <v>176.571189</v>
      </c>
      <c r="FS48" s="339">
        <v>29.57</v>
      </c>
      <c r="FT48" s="339">
        <v>0.25629999999999997</v>
      </c>
      <c r="FU48" s="339">
        <v>176.349762</v>
      </c>
      <c r="FV48" s="339">
        <v>25.48</v>
      </c>
      <c r="FW48" s="339">
        <v>0.25629999999999997</v>
      </c>
      <c r="FX48" s="339">
        <v>175.979567</v>
      </c>
      <c r="FY48" s="339">
        <v>27.64</v>
      </c>
      <c r="FZ48" s="339">
        <v>0.25629999999999997</v>
      </c>
      <c r="GA48" s="339">
        <v>175.35877600000001</v>
      </c>
      <c r="GB48" s="339">
        <v>25.79</v>
      </c>
      <c r="GC48" s="339">
        <v>0.23749999999999999</v>
      </c>
      <c r="GD48" s="339">
        <v>175.17593600000001</v>
      </c>
      <c r="GE48" s="339">
        <v>23.74</v>
      </c>
      <c r="GF48" s="339">
        <v>0.23749999999999999</v>
      </c>
      <c r="GG48" s="339">
        <v>162.34049999999999</v>
      </c>
      <c r="GH48" s="339">
        <v>22.31</v>
      </c>
      <c r="GI48" s="339">
        <v>0.23749999999999999</v>
      </c>
      <c r="GJ48" s="339">
        <v>155.76</v>
      </c>
      <c r="GK48" s="339">
        <v>21.59</v>
      </c>
      <c r="GL48" s="339">
        <v>0.23749999999999999</v>
      </c>
      <c r="GM48" s="339">
        <v>155.607201</v>
      </c>
      <c r="GN48" s="339">
        <v>24.06</v>
      </c>
      <c r="GO48" s="339">
        <v>0.21249999999999999</v>
      </c>
      <c r="GP48" s="339">
        <v>155.47649200000001</v>
      </c>
      <c r="GQ48" s="339">
        <v>25.65</v>
      </c>
      <c r="GR48" s="339">
        <v>0.21249999999999999</v>
      </c>
      <c r="GS48" s="339">
        <v>155.28611100000001</v>
      </c>
      <c r="GT48" s="339">
        <v>25.53</v>
      </c>
      <c r="GU48" s="510">
        <v>0.21249999999999999</v>
      </c>
      <c r="GV48" s="339">
        <v>154.759727</v>
      </c>
      <c r="GW48" s="339">
        <v>24.54</v>
      </c>
      <c r="GX48" s="339">
        <v>0.2</v>
      </c>
      <c r="GY48" s="339">
        <v>154.93092999999999</v>
      </c>
      <c r="GZ48" s="339">
        <v>31.31</v>
      </c>
      <c r="HA48" s="339">
        <v>0.2</v>
      </c>
      <c r="HB48" s="339">
        <v>154.72967600000001</v>
      </c>
      <c r="HC48" s="339">
        <v>28.57</v>
      </c>
      <c r="HD48" s="339">
        <v>0.2</v>
      </c>
      <c r="HE48" s="339">
        <v>154.34947299999999</v>
      </c>
      <c r="HF48" s="339">
        <v>28.36</v>
      </c>
      <c r="HG48" s="339">
        <v>0.2</v>
      </c>
      <c r="HH48" s="339">
        <v>153.767527</v>
      </c>
      <c r="HI48" s="505">
        <v>32.770000000000003</v>
      </c>
      <c r="HJ48" s="339">
        <v>0.1875</v>
      </c>
      <c r="HK48" s="339">
        <v>153.88347999999999</v>
      </c>
      <c r="HL48" s="339">
        <v>28.16</v>
      </c>
      <c r="HM48" s="339">
        <v>0.1875</v>
      </c>
      <c r="HN48" s="339">
        <v>153.62870899999999</v>
      </c>
      <c r="HO48" s="339">
        <v>23.27</v>
      </c>
      <c r="HP48" s="339">
        <v>0.1875</v>
      </c>
      <c r="HQ48" s="339">
        <v>153.44264000000001</v>
      </c>
      <c r="HR48" s="339">
        <v>20.67</v>
      </c>
      <c r="HS48" s="512">
        <v>0.1875</v>
      </c>
      <c r="HT48" s="339">
        <v>137.79925700000001</v>
      </c>
      <c r="HU48" s="339">
        <v>19.53</v>
      </c>
      <c r="HV48" s="339">
        <v>0.17499999999999999</v>
      </c>
      <c r="HW48" s="339">
        <v>129.95740799999999</v>
      </c>
      <c r="HX48" s="506">
        <v>19.690000000000001</v>
      </c>
      <c r="HY48" s="513">
        <f>0.7/4</f>
        <v>0.17499999999999999</v>
      </c>
      <c r="HZ48" s="339">
        <v>129.520644</v>
      </c>
      <c r="IA48" s="339">
        <v>19.95</v>
      </c>
      <c r="IB48" s="339">
        <v>0.17499999999999999</v>
      </c>
      <c r="IC48" s="339">
        <v>129.278505</v>
      </c>
      <c r="ID48" s="339">
        <v>20.86</v>
      </c>
      <c r="IE48" s="339">
        <v>0.17499999999999999</v>
      </c>
      <c r="IF48" s="339">
        <v>128.27981399999999</v>
      </c>
      <c r="IG48" s="339">
        <v>19.27</v>
      </c>
      <c r="IH48" s="339">
        <v>0.16250000000000001</v>
      </c>
      <c r="II48" s="339">
        <v>128.27981399999999</v>
      </c>
      <c r="IJ48" s="505">
        <v>18.850000000000001</v>
      </c>
      <c r="IK48" s="339">
        <v>0.16250000000000001</v>
      </c>
      <c r="IL48" s="339">
        <v>128.033513</v>
      </c>
      <c r="IM48" s="339">
        <v>19.39</v>
      </c>
      <c r="IN48" s="339">
        <v>0.16250000000000001</v>
      </c>
      <c r="IO48" s="339">
        <v>127.879766</v>
      </c>
      <c r="IP48" s="339">
        <v>19.47</v>
      </c>
      <c r="IQ48" s="339">
        <v>0.16250000000000001</v>
      </c>
      <c r="IR48" s="342">
        <v>127.16800000000001</v>
      </c>
      <c r="IS48" s="339">
        <v>18.649999999999999</v>
      </c>
      <c r="IT48" s="339">
        <v>0.15</v>
      </c>
      <c r="IU48" s="339">
        <v>127.16768999999999</v>
      </c>
      <c r="IV48" s="339">
        <v>20.170000000000002</v>
      </c>
      <c r="IW48" s="339">
        <v>0.15</v>
      </c>
      <c r="IX48" s="339">
        <v>126.747117</v>
      </c>
      <c r="IY48" s="339">
        <v>17.920000000000002</v>
      </c>
      <c r="IZ48" s="339">
        <v>0.15</v>
      </c>
      <c r="JA48" s="339">
        <v>127.013678</v>
      </c>
      <c r="JB48" s="339">
        <v>16.739999999999998</v>
      </c>
      <c r="JC48" s="339">
        <v>0.15</v>
      </c>
      <c r="JD48" s="339">
        <v>128.17901499999999</v>
      </c>
      <c r="JE48" s="339">
        <v>13.92</v>
      </c>
      <c r="JF48" s="339">
        <v>0.13750000000000001</v>
      </c>
      <c r="JG48" s="339">
        <v>129.34472400000001</v>
      </c>
      <c r="JH48" s="339">
        <v>15.17</v>
      </c>
      <c r="JI48" s="339">
        <v>0.13750000000000001</v>
      </c>
      <c r="JJ48" s="339">
        <v>129.67779300000001</v>
      </c>
      <c r="JK48" s="339">
        <v>16.899999999999999</v>
      </c>
      <c r="JL48" s="339">
        <v>0.13750000000000001</v>
      </c>
      <c r="JM48" s="339">
        <v>129.50400500000001</v>
      </c>
      <c r="JN48" s="339">
        <v>18.809999999999999</v>
      </c>
      <c r="JO48" s="339">
        <v>0.13750000000000001</v>
      </c>
      <c r="JP48" s="339">
        <v>131.381924</v>
      </c>
      <c r="JQ48" s="339">
        <v>19.87</v>
      </c>
      <c r="JR48" s="339">
        <v>0.125</v>
      </c>
      <c r="JS48" s="339">
        <v>133.541</v>
      </c>
      <c r="JT48" s="339">
        <v>17.63</v>
      </c>
      <c r="JU48" s="339">
        <v>0.125</v>
      </c>
      <c r="JV48" s="339">
        <v>133.90899999999999</v>
      </c>
      <c r="JW48" s="339">
        <v>18.73</v>
      </c>
      <c r="JX48" s="339">
        <v>0.125</v>
      </c>
      <c r="JY48" s="339">
        <v>144</v>
      </c>
      <c r="JZ48" s="339">
        <v>20.75</v>
      </c>
      <c r="KA48" s="339">
        <v>0.1</v>
      </c>
      <c r="KB48" s="339">
        <v>143.6</v>
      </c>
      <c r="KC48" s="339">
        <v>17.38</v>
      </c>
      <c r="KD48" s="339">
        <v>0.1</v>
      </c>
      <c r="KE48" s="339">
        <v>143.6</v>
      </c>
      <c r="KF48" s="339">
        <v>24.25</v>
      </c>
      <c r="KG48" s="339">
        <v>0.1</v>
      </c>
      <c r="KH48" s="339">
        <v>143.284493</v>
      </c>
      <c r="KI48" s="339">
        <v>21.6875</v>
      </c>
      <c r="KJ48" s="339">
        <v>0.1</v>
      </c>
      <c r="KK48" s="339">
        <v>131.9</v>
      </c>
      <c r="KL48" s="339">
        <v>21.75</v>
      </c>
      <c r="KM48" s="339">
        <v>0.1</v>
      </c>
      <c r="KN48" s="339">
        <v>131.6</v>
      </c>
      <c r="KO48" s="339">
        <v>21.5</v>
      </c>
      <c r="KP48" s="339">
        <v>0.1</v>
      </c>
      <c r="KQ48" s="339">
        <v>131.4</v>
      </c>
      <c r="KR48" s="339">
        <v>20.5625</v>
      </c>
      <c r="KS48" s="339">
        <v>2.5000000000000001E-2</v>
      </c>
      <c r="KT48" s="339">
        <v>131.317892</v>
      </c>
      <c r="KU48" s="339">
        <v>18.375</v>
      </c>
      <c r="KV48" s="339">
        <v>0</v>
      </c>
      <c r="KW48" s="334">
        <v>130.6</v>
      </c>
      <c r="KX48" s="334">
        <v>17.875</v>
      </c>
      <c r="KY48" s="334">
        <v>0</v>
      </c>
      <c r="KZ48" s="334">
        <v>130.6</v>
      </c>
      <c r="LA48" s="334">
        <v>13.875</v>
      </c>
      <c r="LB48" s="334">
        <v>0</v>
      </c>
      <c r="LC48" s="334">
        <v>130.6</v>
      </c>
      <c r="LD48" s="334">
        <v>16</v>
      </c>
      <c r="LE48" s="334">
        <v>0</v>
      </c>
      <c r="LF48" s="334">
        <v>130.30000000000001</v>
      </c>
      <c r="LG48" s="334">
        <v>16.75</v>
      </c>
      <c r="LH48" s="334">
        <v>0</v>
      </c>
      <c r="LI48" s="334">
        <v>130.30000000000001</v>
      </c>
      <c r="LJ48" s="334">
        <v>16.937999999999999</v>
      </c>
      <c r="LK48" s="334">
        <v>0</v>
      </c>
      <c r="LL48" s="334">
        <v>129.91</v>
      </c>
      <c r="LM48" s="334">
        <v>14.3125</v>
      </c>
      <c r="LN48" s="334">
        <v>0</v>
      </c>
      <c r="LO48" s="334">
        <v>129.91300000000001</v>
      </c>
      <c r="LP48" s="334">
        <v>11.8125</v>
      </c>
      <c r="LQ48" s="334">
        <v>0</v>
      </c>
      <c r="LR48" s="334">
        <v>128.62700000000001</v>
      </c>
      <c r="LS48" s="334">
        <v>9.6875</v>
      </c>
      <c r="LT48" s="334">
        <v>0</v>
      </c>
      <c r="LU48" s="334">
        <v>128.62700000000001</v>
      </c>
      <c r="LV48" s="334">
        <v>9.5</v>
      </c>
      <c r="LW48" s="334">
        <v>0</v>
      </c>
      <c r="LX48" s="334">
        <v>128.08600000000001</v>
      </c>
      <c r="LY48" s="334">
        <v>7.875</v>
      </c>
      <c r="LZ48" s="334">
        <v>0.25</v>
      </c>
      <c r="MA48" s="334">
        <v>128.08600000000001</v>
      </c>
      <c r="MB48" s="334">
        <v>13.125</v>
      </c>
      <c r="MC48" s="334">
        <v>0.25</v>
      </c>
      <c r="MD48" s="334">
        <v>126.41200000000001</v>
      </c>
      <c r="ME48" s="334">
        <v>12.375</v>
      </c>
      <c r="MF48" s="334">
        <v>0.25</v>
      </c>
      <c r="MG48" s="334">
        <v>126.41200000000001</v>
      </c>
      <c r="MH48" s="334">
        <v>13.375</v>
      </c>
      <c r="MI48" s="334">
        <v>0.44</v>
      </c>
      <c r="MJ48" s="334">
        <v>126.41200000000001</v>
      </c>
      <c r="MK48" s="334">
        <v>19.75</v>
      </c>
      <c r="ML48" s="334">
        <v>0.44</v>
      </c>
      <c r="MM48" s="334">
        <v>126.41200000000001</v>
      </c>
      <c r="MN48" s="334">
        <v>24.25</v>
      </c>
      <c r="MO48" s="334">
        <v>0.44</v>
      </c>
      <c r="MP48" s="334">
        <v>134.119</v>
      </c>
      <c r="MQ48" s="334">
        <v>24.375</v>
      </c>
      <c r="MR48" s="334">
        <v>0.44</v>
      </c>
      <c r="MS48" s="334">
        <v>134.119</v>
      </c>
      <c r="MT48" s="334">
        <v>22.5</v>
      </c>
      <c r="MU48" s="334">
        <v>0.44</v>
      </c>
      <c r="MV48" s="334">
        <v>134.119</v>
      </c>
      <c r="MW48" s="334">
        <v>21.25</v>
      </c>
      <c r="MX48" s="334">
        <v>0.44</v>
      </c>
      <c r="MY48" s="334">
        <v>134.119</v>
      </c>
      <c r="MZ48" s="334">
        <v>21.625</v>
      </c>
      <c r="NA48" s="334">
        <v>0.44</v>
      </c>
      <c r="NB48" s="334">
        <v>134.119</v>
      </c>
      <c r="NC48" s="334">
        <v>22</v>
      </c>
      <c r="ND48" s="334">
        <v>0.44</v>
      </c>
      <c r="NE48" s="334">
        <v>134.119</v>
      </c>
      <c r="NF48" s="334">
        <v>21.75</v>
      </c>
      <c r="NG48" s="334">
        <v>0.44</v>
      </c>
      <c r="NH48" s="334">
        <v>134.119</v>
      </c>
      <c r="NI48" s="334">
        <v>23.625</v>
      </c>
      <c r="NJ48" s="334">
        <v>0.44</v>
      </c>
      <c r="NK48" s="334">
        <v>134.119</v>
      </c>
      <c r="NL48" s="334">
        <v>23.75</v>
      </c>
      <c r="NM48" s="334">
        <v>0.44</v>
      </c>
      <c r="NN48" s="334">
        <v>134.119</v>
      </c>
      <c r="NO48" s="334">
        <v>26.375</v>
      </c>
      <c r="NP48" s="334">
        <v>0.44</v>
      </c>
      <c r="NQ48" s="334">
        <v>133.995</v>
      </c>
      <c r="NR48" s="334">
        <v>26.875</v>
      </c>
      <c r="NS48" s="334">
        <v>0.44</v>
      </c>
      <c r="NT48" s="334">
        <v>133.92400000000001</v>
      </c>
      <c r="NU48" s="334">
        <v>27.625</v>
      </c>
      <c r="NV48" s="334">
        <v>0.44</v>
      </c>
      <c r="NW48" s="334">
        <v>129.25299999999999</v>
      </c>
      <c r="NX48" s="334">
        <v>26.5</v>
      </c>
      <c r="NY48" s="334">
        <v>0.44</v>
      </c>
      <c r="NZ48" s="334">
        <v>129.25299999999999</v>
      </c>
      <c r="OA48" s="334">
        <v>26.38</v>
      </c>
      <c r="OB48" s="334">
        <v>0.44</v>
      </c>
      <c r="OC48" s="334">
        <v>126.986</v>
      </c>
      <c r="OD48" s="334">
        <v>23.88</v>
      </c>
      <c r="OE48" s="334">
        <v>0.44</v>
      </c>
      <c r="OF48" s="334">
        <v>120.764</v>
      </c>
      <c r="OG48" s="334">
        <v>23.63</v>
      </c>
      <c r="OH48" s="334">
        <v>0.44</v>
      </c>
      <c r="OI48" s="334">
        <v>111.45399999999999</v>
      </c>
      <c r="OJ48" s="334">
        <v>23.63</v>
      </c>
      <c r="OK48" s="334">
        <v>0.44</v>
      </c>
      <c r="OL48" s="334">
        <v>110.562</v>
      </c>
      <c r="OM48" s="334">
        <v>22.25</v>
      </c>
      <c r="ON48" s="334">
        <v>0.44</v>
      </c>
      <c r="OO48" s="334">
        <v>110.30200000000001</v>
      </c>
      <c r="OP48" s="334">
        <v>20.63</v>
      </c>
      <c r="OQ48" s="334">
        <v>0.44</v>
      </c>
      <c r="OR48" s="334">
        <v>110.054</v>
      </c>
      <c r="OS48" s="334">
        <v>20.25</v>
      </c>
      <c r="OT48" s="334">
        <v>0.44</v>
      </c>
      <c r="OU48" s="334">
        <v>109.004</v>
      </c>
      <c r="OV48" s="334">
        <v>20</v>
      </c>
    </row>
    <row r="49" spans="1:412">
      <c r="A49" s="294" t="s">
        <v>13</v>
      </c>
      <c r="B49" s="335" t="s">
        <v>129</v>
      </c>
      <c r="C49" s="335">
        <v>576</v>
      </c>
      <c r="D49" s="335">
        <v>39.78</v>
      </c>
      <c r="E49" s="335">
        <v>0.42499999999999999</v>
      </c>
      <c r="F49" s="335">
        <v>575</v>
      </c>
      <c r="G49" s="335">
        <v>44.35</v>
      </c>
      <c r="H49" s="335">
        <v>0.42499999999999999</v>
      </c>
      <c r="I49" s="335">
        <v>574</v>
      </c>
      <c r="J49" s="335">
        <v>38.270000000000003</v>
      </c>
      <c r="K49" s="335">
        <v>0.42499999999999999</v>
      </c>
      <c r="L49" s="335">
        <v>574</v>
      </c>
      <c r="M49" s="335">
        <v>38.619999999999997</v>
      </c>
      <c r="N49" s="335">
        <v>0.42499999999999999</v>
      </c>
      <c r="O49" s="335">
        <v>573</v>
      </c>
      <c r="P49" s="335">
        <v>36.659999999999997</v>
      </c>
      <c r="Q49" s="335">
        <v>0.41</v>
      </c>
      <c r="R49" s="340">
        <v>573</v>
      </c>
      <c r="S49" s="340">
        <v>34.18</v>
      </c>
      <c r="T49" s="340">
        <v>0.41</v>
      </c>
      <c r="U49" s="340">
        <v>572</v>
      </c>
      <c r="V49" s="340">
        <v>38.880000000000003</v>
      </c>
      <c r="W49" s="340">
        <v>0.39</v>
      </c>
      <c r="X49" s="340">
        <v>571</v>
      </c>
      <c r="Y49" s="340">
        <v>40.06</v>
      </c>
      <c r="Z49" s="340">
        <v>0.39</v>
      </c>
      <c r="AA49" s="340">
        <v>571</v>
      </c>
      <c r="AB49" s="340">
        <v>41.94</v>
      </c>
      <c r="AC49" s="340">
        <v>0.39</v>
      </c>
      <c r="AD49" s="340">
        <v>571</v>
      </c>
      <c r="AE49" s="340">
        <v>37</v>
      </c>
      <c r="AF49" s="340">
        <v>0.39</v>
      </c>
      <c r="AG49" s="340">
        <v>570</v>
      </c>
      <c r="AH49" s="340">
        <v>38.39</v>
      </c>
      <c r="AI49" s="340">
        <v>0.39</v>
      </c>
      <c r="AJ49" s="340">
        <v>545</v>
      </c>
      <c r="AK49" s="340">
        <v>45.86</v>
      </c>
      <c r="AL49" s="340">
        <v>0.39</v>
      </c>
      <c r="AM49" s="340">
        <v>544</v>
      </c>
      <c r="AN49" s="340">
        <v>41.59</v>
      </c>
      <c r="AO49" s="340">
        <v>0.39</v>
      </c>
      <c r="AP49" s="340">
        <v>544</v>
      </c>
      <c r="AQ49" s="340">
        <v>35.619999999999997</v>
      </c>
      <c r="AR49" s="340">
        <v>0.39</v>
      </c>
      <c r="AS49" s="340">
        <v>543</v>
      </c>
      <c r="AT49" s="340">
        <v>37.21</v>
      </c>
      <c r="AU49" s="340">
        <v>0.39</v>
      </c>
      <c r="AV49" s="340">
        <v>542</v>
      </c>
      <c r="AW49" s="340">
        <v>34.69</v>
      </c>
      <c r="AX49" s="340">
        <v>0.39</v>
      </c>
      <c r="AY49" s="503">
        <v>542</v>
      </c>
      <c r="AZ49" s="503">
        <v>30.61</v>
      </c>
      <c r="BA49" s="503">
        <v>0.39</v>
      </c>
      <c r="BB49" s="504">
        <v>542</v>
      </c>
      <c r="BC49" s="504">
        <v>28.71</v>
      </c>
      <c r="BD49" s="504">
        <v>0.39</v>
      </c>
      <c r="BE49" s="504">
        <v>541</v>
      </c>
      <c r="BF49" s="504">
        <v>38.78</v>
      </c>
      <c r="BG49" s="504">
        <v>0.39</v>
      </c>
      <c r="BH49" s="504">
        <v>535</v>
      </c>
      <c r="BI49" s="504">
        <v>40.07</v>
      </c>
      <c r="BJ49" s="504">
        <v>0.39</v>
      </c>
      <c r="BK49" s="504">
        <v>538</v>
      </c>
      <c r="BL49" s="504">
        <v>48.6</v>
      </c>
      <c r="BM49" s="504">
        <v>0.39</v>
      </c>
      <c r="BN49" s="504">
        <v>532</v>
      </c>
      <c r="BO49" s="504">
        <v>48.23</v>
      </c>
      <c r="BP49" s="504">
        <v>0.38</v>
      </c>
      <c r="BQ49" s="504">
        <v>530</v>
      </c>
      <c r="BR49" s="504">
        <v>42.81</v>
      </c>
      <c r="BS49" s="504">
        <v>0.38</v>
      </c>
      <c r="BT49" s="504">
        <v>492</v>
      </c>
      <c r="BU49" s="504">
        <v>41.61</v>
      </c>
      <c r="BV49" s="504">
        <v>0.38</v>
      </c>
      <c r="BW49" s="504">
        <v>503</v>
      </c>
      <c r="BX49" s="504">
        <v>37.549999999999997</v>
      </c>
      <c r="BY49" s="507">
        <v>0.38</v>
      </c>
      <c r="BZ49" s="504">
        <v>477</v>
      </c>
      <c r="CA49" s="504">
        <v>37.17</v>
      </c>
      <c r="CB49" s="504">
        <v>0.36</v>
      </c>
      <c r="CC49" s="503">
        <v>476</v>
      </c>
      <c r="CD49" s="503">
        <v>35.909999999999997</v>
      </c>
      <c r="CE49" s="503">
        <v>0.36</v>
      </c>
      <c r="CF49" s="503">
        <v>445</v>
      </c>
      <c r="CG49" s="503">
        <v>34.01</v>
      </c>
      <c r="CH49" s="503">
        <v>0.36</v>
      </c>
      <c r="CI49" s="503">
        <v>444</v>
      </c>
      <c r="CJ49" s="503">
        <v>30.62</v>
      </c>
      <c r="CK49" s="503">
        <v>0.36</v>
      </c>
      <c r="CL49" s="503">
        <v>444</v>
      </c>
      <c r="CM49" s="503">
        <v>30.83</v>
      </c>
      <c r="CN49" s="503">
        <v>0.36</v>
      </c>
      <c r="CO49" s="503">
        <v>443</v>
      </c>
      <c r="CP49" s="503">
        <v>29.16</v>
      </c>
      <c r="CQ49" s="503">
        <v>0.36</v>
      </c>
      <c r="CR49" s="504">
        <v>426</v>
      </c>
      <c r="CS49" s="504">
        <v>31.82</v>
      </c>
      <c r="CT49" s="504">
        <v>0.36</v>
      </c>
      <c r="CU49" s="503">
        <v>425</v>
      </c>
      <c r="CV49" s="503">
        <v>30.97</v>
      </c>
      <c r="CW49" s="503">
        <v>0.36</v>
      </c>
      <c r="CX49" s="339">
        <v>425</v>
      </c>
      <c r="CY49" s="339">
        <v>33.08</v>
      </c>
      <c r="CZ49" s="339">
        <v>0.36</v>
      </c>
      <c r="DA49" s="339">
        <v>424</v>
      </c>
      <c r="DB49" s="339">
        <v>34.909999999999997</v>
      </c>
      <c r="DC49" s="339">
        <v>0.36</v>
      </c>
      <c r="DD49" s="339">
        <v>422</v>
      </c>
      <c r="DE49" s="339">
        <v>35.97</v>
      </c>
      <c r="DF49" s="339">
        <v>0.36</v>
      </c>
      <c r="DG49" s="339">
        <v>423</v>
      </c>
      <c r="DH49" s="339">
        <v>31.73</v>
      </c>
      <c r="DI49" s="339">
        <v>0.36</v>
      </c>
      <c r="DJ49" s="339">
        <v>422</v>
      </c>
      <c r="DK49" s="339">
        <v>31.31</v>
      </c>
      <c r="DL49" s="339">
        <v>0.36</v>
      </c>
      <c r="DM49" s="339">
        <v>421</v>
      </c>
      <c r="DN49" s="339">
        <v>32.549999999999997</v>
      </c>
      <c r="DO49" s="339">
        <v>0.36</v>
      </c>
      <c r="DP49" s="340">
        <v>421</v>
      </c>
      <c r="DQ49" s="340">
        <v>35.06</v>
      </c>
      <c r="DR49" s="340">
        <v>0.36</v>
      </c>
      <c r="DS49" s="339">
        <v>420</v>
      </c>
      <c r="DT49" s="339">
        <v>38.99</v>
      </c>
      <c r="DU49" s="339">
        <v>0.36</v>
      </c>
      <c r="DV49" s="339">
        <v>420</v>
      </c>
      <c r="DW49" s="339">
        <v>33.57</v>
      </c>
      <c r="DX49" s="339">
        <v>0.36</v>
      </c>
      <c r="DY49" s="339">
        <v>419</v>
      </c>
      <c r="DZ49" s="339">
        <v>34.72</v>
      </c>
      <c r="EA49" s="339">
        <v>0.36</v>
      </c>
      <c r="EB49" s="340">
        <v>418</v>
      </c>
      <c r="EC49" s="340">
        <v>34.03</v>
      </c>
      <c r="ED49" s="525">
        <v>0.36</v>
      </c>
      <c r="EE49" s="339">
        <v>418</v>
      </c>
      <c r="EF49" s="339">
        <v>32.979999999999997</v>
      </c>
      <c r="EG49" s="339">
        <v>0.55000000000000004</v>
      </c>
      <c r="EH49" s="339">
        <v>418</v>
      </c>
      <c r="EI49" s="339">
        <v>36.450000000000003</v>
      </c>
      <c r="EJ49" s="339">
        <v>0.55000000000000004</v>
      </c>
      <c r="EK49" s="339">
        <v>418</v>
      </c>
      <c r="EL49" s="339">
        <v>37.340000000000003</v>
      </c>
      <c r="EM49" s="339">
        <v>0.55000000000000004</v>
      </c>
      <c r="EN49" s="340">
        <v>418</v>
      </c>
      <c r="EO49" s="340">
        <v>42.2</v>
      </c>
      <c r="EP49" s="340">
        <v>0.55000000000000004</v>
      </c>
      <c r="EQ49" s="339">
        <v>417</v>
      </c>
      <c r="ER49" s="339">
        <v>41.76</v>
      </c>
      <c r="ES49" s="339">
        <v>0.55000000000000004</v>
      </c>
      <c r="ET49" s="339">
        <v>417</v>
      </c>
      <c r="EU49" s="339">
        <v>44.1</v>
      </c>
      <c r="EV49" s="339">
        <v>0.55000000000000004</v>
      </c>
      <c r="EW49" s="339">
        <v>418</v>
      </c>
      <c r="EX49" s="339">
        <v>49.19</v>
      </c>
      <c r="EY49" s="339">
        <v>0.55000000000000004</v>
      </c>
      <c r="EZ49" s="340">
        <v>399</v>
      </c>
      <c r="FA49" s="340">
        <v>45.59</v>
      </c>
      <c r="FB49" s="340">
        <v>0.55000000000000004</v>
      </c>
      <c r="FC49" s="339">
        <v>418</v>
      </c>
      <c r="FD49" s="339">
        <v>44.3</v>
      </c>
      <c r="FE49" s="339">
        <v>0.55000000000000004</v>
      </c>
      <c r="FF49" s="339">
        <v>418</v>
      </c>
      <c r="FG49" s="339">
        <v>44.91</v>
      </c>
      <c r="FH49" s="339">
        <v>0.55000000000000004</v>
      </c>
      <c r="FI49" s="339">
        <v>342</v>
      </c>
      <c r="FJ49" s="339">
        <v>44.15</v>
      </c>
      <c r="FK49" s="339">
        <v>0.55000000000000004</v>
      </c>
      <c r="FL49" s="339">
        <v>304</v>
      </c>
      <c r="FM49" s="339">
        <v>37.090000000000003</v>
      </c>
      <c r="FN49" s="339">
        <v>0.55000000000000004</v>
      </c>
      <c r="FO49" s="339">
        <v>304</v>
      </c>
      <c r="FP49" s="339">
        <v>37.020000000000003</v>
      </c>
      <c r="FQ49" s="339">
        <v>0.55000000000000004</v>
      </c>
      <c r="FR49" s="339">
        <v>304</v>
      </c>
      <c r="FS49" s="339">
        <v>38.54</v>
      </c>
      <c r="FT49" s="339">
        <v>0.55000000000000004</v>
      </c>
      <c r="FU49" s="339">
        <v>304</v>
      </c>
      <c r="FV49" s="339">
        <v>35.229999999999997</v>
      </c>
      <c r="FW49" s="339">
        <v>0.55000000000000004</v>
      </c>
      <c r="FX49" s="339">
        <v>304</v>
      </c>
      <c r="FY49" s="339">
        <v>39.090000000000003</v>
      </c>
      <c r="FZ49" s="339">
        <v>0.55000000000000004</v>
      </c>
      <c r="GA49" s="339">
        <v>304</v>
      </c>
      <c r="GB49" s="339">
        <v>46.45</v>
      </c>
      <c r="GC49" s="339">
        <v>0.55000000000000004</v>
      </c>
      <c r="GD49" s="339">
        <v>304</v>
      </c>
      <c r="GE49" s="339">
        <v>45.72</v>
      </c>
      <c r="GF49" s="339">
        <v>0.55000000000000004</v>
      </c>
      <c r="GG49" s="339">
        <v>304</v>
      </c>
      <c r="GH49" s="339">
        <v>38.75</v>
      </c>
      <c r="GI49" s="339">
        <v>0.55000000000000004</v>
      </c>
      <c r="GJ49" s="339">
        <v>304</v>
      </c>
      <c r="GK49" s="339">
        <v>38.6</v>
      </c>
      <c r="GL49" s="339">
        <v>0.55000000000000004</v>
      </c>
      <c r="GM49" s="339">
        <v>304</v>
      </c>
      <c r="GN49" s="339">
        <v>48.58</v>
      </c>
      <c r="GO49" s="339">
        <v>0.55000000000000004</v>
      </c>
      <c r="GP49" s="339">
        <v>304</v>
      </c>
      <c r="GQ49" s="339">
        <v>66.989999999999995</v>
      </c>
      <c r="GR49" s="339">
        <v>0.55000000000000004</v>
      </c>
      <c r="GS49" s="339">
        <v>304</v>
      </c>
      <c r="GT49" s="339">
        <v>82.33</v>
      </c>
      <c r="GU49" s="339">
        <v>0.55000000000000004</v>
      </c>
      <c r="GV49" s="339">
        <v>306</v>
      </c>
      <c r="GW49" s="339">
        <v>68.62</v>
      </c>
      <c r="GX49" s="339">
        <v>0.55000000000000004</v>
      </c>
      <c r="GY49" s="339">
        <v>304</v>
      </c>
      <c r="GZ49" s="339">
        <v>72.34</v>
      </c>
      <c r="HA49" s="339">
        <v>0.55000000000000004</v>
      </c>
      <c r="HB49" s="339">
        <v>304</v>
      </c>
      <c r="HC49" s="339">
        <v>63.34</v>
      </c>
      <c r="HD49" s="339">
        <v>0.5</v>
      </c>
      <c r="HE49" s="339">
        <v>314</v>
      </c>
      <c r="HF49" s="339">
        <v>64.73</v>
      </c>
      <c r="HG49" s="339">
        <v>0.5</v>
      </c>
      <c r="HH49" s="339">
        <v>324</v>
      </c>
      <c r="HI49" s="505">
        <v>66.239999999999995</v>
      </c>
      <c r="HJ49" s="339">
        <v>0.5</v>
      </c>
      <c r="HK49" s="339">
        <v>322</v>
      </c>
      <c r="HL49" s="339">
        <v>60.3</v>
      </c>
      <c r="HM49" s="512">
        <v>0.5</v>
      </c>
      <c r="HN49" s="339">
        <v>328</v>
      </c>
      <c r="HO49" s="339">
        <v>55.86</v>
      </c>
      <c r="HP49" s="339">
        <v>0.45</v>
      </c>
      <c r="HQ49" s="339">
        <v>329</v>
      </c>
      <c r="HR49" s="339">
        <v>54.21</v>
      </c>
      <c r="HS49" s="339">
        <v>0.45</v>
      </c>
      <c r="HT49" s="339">
        <v>328</v>
      </c>
      <c r="HU49" s="339">
        <v>48.9</v>
      </c>
      <c r="HV49" s="339">
        <v>0.45</v>
      </c>
      <c r="HW49" s="339">
        <v>328.11900000000003</v>
      </c>
      <c r="HX49" s="506">
        <v>48.99</v>
      </c>
      <c r="HY49" s="513">
        <f>1.8/4</f>
        <v>0.45</v>
      </c>
      <c r="HZ49" s="339">
        <v>328.06299999999999</v>
      </c>
      <c r="IA49" s="339">
        <v>52.12</v>
      </c>
      <c r="IB49" s="339">
        <v>0.43</v>
      </c>
      <c r="IC49" s="339">
        <v>327.90800000000002</v>
      </c>
      <c r="ID49" s="339">
        <v>48.11</v>
      </c>
      <c r="IE49" s="339">
        <v>0.41249999999999998</v>
      </c>
      <c r="IF49" s="339">
        <v>327.49900000000002</v>
      </c>
      <c r="IG49" s="339">
        <v>41.95</v>
      </c>
      <c r="IH49" s="339">
        <v>0.41249999999999998</v>
      </c>
      <c r="II49" s="339">
        <v>327.49900000000002</v>
      </c>
      <c r="IJ49" s="505">
        <v>39.51</v>
      </c>
      <c r="IK49" s="339">
        <v>0.41249999999999998</v>
      </c>
      <c r="IL49" s="339">
        <v>327.28399999999999</v>
      </c>
      <c r="IM49" s="339">
        <v>41.08</v>
      </c>
      <c r="IN49" s="339">
        <v>0.375</v>
      </c>
      <c r="IO49" s="339">
        <v>327.05700000000002</v>
      </c>
      <c r="IP49" s="339">
        <v>37.409999999999997</v>
      </c>
      <c r="IQ49" s="339">
        <v>0.375</v>
      </c>
      <c r="IR49" s="339">
        <v>326.85599999999999</v>
      </c>
      <c r="IS49" s="339">
        <v>39.08</v>
      </c>
      <c r="IT49" s="339">
        <v>0.375</v>
      </c>
      <c r="IU49" s="339">
        <v>299.42200000000003</v>
      </c>
      <c r="IV49" s="339">
        <v>35.200000000000003</v>
      </c>
      <c r="IW49" s="339">
        <v>0.375</v>
      </c>
      <c r="IX49" s="339">
        <v>194.166</v>
      </c>
      <c r="IY49" s="339">
        <v>31.9</v>
      </c>
      <c r="IZ49" s="339">
        <v>0.375</v>
      </c>
      <c r="JA49" s="339">
        <v>293.88600000000002</v>
      </c>
      <c r="JB49" s="339">
        <v>38.450000000000003</v>
      </c>
      <c r="JC49" s="339">
        <v>0.375</v>
      </c>
      <c r="JD49" s="339">
        <v>297.60000000000002</v>
      </c>
      <c r="JE49" s="339">
        <v>31.5</v>
      </c>
      <c r="JF49" s="339">
        <v>0.375</v>
      </c>
      <c r="JG49" s="339">
        <v>293.32799999999997</v>
      </c>
      <c r="JH49" s="339">
        <v>32.97</v>
      </c>
      <c r="JI49" s="339">
        <v>0.375</v>
      </c>
      <c r="JJ49" s="339">
        <v>293.08</v>
      </c>
      <c r="JK49" s="339">
        <v>29.89</v>
      </c>
      <c r="JL49" s="339">
        <v>0.375</v>
      </c>
      <c r="JM49" s="339">
        <v>292.791</v>
      </c>
      <c r="JN49" s="339">
        <v>33.380000000000003</v>
      </c>
      <c r="JO49" s="339">
        <v>0.375</v>
      </c>
      <c r="JP49" s="339">
        <v>264.43</v>
      </c>
      <c r="JQ49" s="339">
        <v>34.58</v>
      </c>
      <c r="JR49" s="339">
        <v>0.375</v>
      </c>
      <c r="JS49" s="339">
        <v>218.59399999999999</v>
      </c>
      <c r="JT49" s="339">
        <v>34.979999999999997</v>
      </c>
      <c r="JU49" s="339">
        <v>0.375</v>
      </c>
      <c r="JV49" s="339">
        <v>218.37200000000001</v>
      </c>
      <c r="JW49" s="339">
        <v>35.950000000000003</v>
      </c>
      <c r="JX49" s="339">
        <v>0.375</v>
      </c>
      <c r="JY49" s="339">
        <v>224</v>
      </c>
      <c r="JZ49" s="339">
        <v>32.159999999999997</v>
      </c>
      <c r="KA49" s="339">
        <v>0.375</v>
      </c>
      <c r="KB49" s="339">
        <v>219.529</v>
      </c>
      <c r="KC49" s="339">
        <v>27.92</v>
      </c>
      <c r="KD49" s="339">
        <v>0.375</v>
      </c>
      <c r="KE49" s="339">
        <v>221.846</v>
      </c>
      <c r="KF49" s="339">
        <v>31.5625</v>
      </c>
      <c r="KG49" s="339">
        <v>0.375</v>
      </c>
      <c r="KH49" s="339">
        <v>223.542</v>
      </c>
      <c r="KI49" s="339">
        <v>26.9375</v>
      </c>
      <c r="KJ49" s="339">
        <v>0.375</v>
      </c>
      <c r="KK49" s="339">
        <v>224.85900000000001</v>
      </c>
      <c r="KL49" s="339">
        <v>23.375</v>
      </c>
      <c r="KM49" s="339">
        <v>0.375</v>
      </c>
      <c r="KN49" s="339">
        <v>225.971</v>
      </c>
      <c r="KO49" s="339">
        <v>20.625</v>
      </c>
      <c r="KP49" s="339">
        <v>0.375</v>
      </c>
      <c r="KQ49" s="339">
        <v>226.43199999999999</v>
      </c>
      <c r="KR49" s="339">
        <v>22.6875</v>
      </c>
      <c r="KS49" s="339">
        <v>0.375</v>
      </c>
      <c r="KT49" s="339">
        <v>227.36699999999999</v>
      </c>
      <c r="KU49" s="339">
        <v>25.3125</v>
      </c>
      <c r="KV49" s="339">
        <v>0.375</v>
      </c>
      <c r="KW49" s="334">
        <v>226.37</v>
      </c>
      <c r="KX49" s="334">
        <v>31</v>
      </c>
      <c r="KY49" s="334">
        <v>0.375</v>
      </c>
      <c r="KZ49" s="334">
        <v>229.48</v>
      </c>
      <c r="LA49" s="334">
        <v>28</v>
      </c>
      <c r="LB49" s="334">
        <v>0.375</v>
      </c>
      <c r="LC49" s="334">
        <v>229.48</v>
      </c>
      <c r="LD49" s="334">
        <v>32.563000000000002</v>
      </c>
      <c r="LE49" s="334">
        <v>0.375</v>
      </c>
      <c r="LF49" s="334">
        <v>222.41</v>
      </c>
      <c r="LG49" s="334">
        <v>31.062999999999999</v>
      </c>
      <c r="LH49" s="334">
        <v>0.375</v>
      </c>
      <c r="LI49" s="334">
        <v>222.41</v>
      </c>
      <c r="LJ49" s="334">
        <v>30.75</v>
      </c>
      <c r="LK49" s="334">
        <v>0.375</v>
      </c>
      <c r="LL49" s="334">
        <v>230.3</v>
      </c>
      <c r="LM49" s="334">
        <v>30.8125</v>
      </c>
      <c r="LN49" s="334">
        <v>0.375</v>
      </c>
      <c r="LO49" s="334">
        <v>230.3</v>
      </c>
      <c r="LP49" s="334">
        <v>29</v>
      </c>
      <c r="LQ49" s="334">
        <v>0.375</v>
      </c>
      <c r="LR49" s="334">
        <v>144.345</v>
      </c>
      <c r="LS49" s="334">
        <v>23.4375</v>
      </c>
      <c r="LT49" s="334">
        <v>0.375</v>
      </c>
      <c r="LU49" s="334">
        <v>144.345</v>
      </c>
      <c r="LV49" s="334">
        <v>21.75</v>
      </c>
      <c r="LW49" s="334">
        <v>0.375</v>
      </c>
      <c r="LX49" s="334">
        <v>144.143</v>
      </c>
      <c r="LY49" s="334">
        <v>21</v>
      </c>
      <c r="LZ49" s="334">
        <v>0.375</v>
      </c>
      <c r="MA49" s="334">
        <v>144.143</v>
      </c>
      <c r="MB49" s="334">
        <v>22.75</v>
      </c>
      <c r="MC49" s="334">
        <v>0.375</v>
      </c>
      <c r="MD49" s="334">
        <v>143.75</v>
      </c>
      <c r="ME49" s="334">
        <v>19.375</v>
      </c>
      <c r="MF49" s="334">
        <v>0.375</v>
      </c>
      <c r="MG49" s="334">
        <v>143.75</v>
      </c>
      <c r="MH49" s="334">
        <v>21.875</v>
      </c>
      <c r="MI49" s="334">
        <v>0.375</v>
      </c>
      <c r="MJ49" s="334">
        <v>143.75</v>
      </c>
      <c r="MK49" s="334">
        <v>22.625</v>
      </c>
      <c r="ML49" s="334">
        <v>0.375</v>
      </c>
      <c r="MM49" s="334">
        <v>143.75</v>
      </c>
      <c r="MN49" s="334">
        <v>23.5</v>
      </c>
      <c r="MO49" s="334">
        <v>0.375</v>
      </c>
      <c r="MP49" s="334">
        <v>143.09700000000001</v>
      </c>
      <c r="MQ49" s="334">
        <v>22.75</v>
      </c>
      <c r="MR49" s="334">
        <v>0.375</v>
      </c>
      <c r="MS49" s="334">
        <v>143.09700000000001</v>
      </c>
      <c r="MT49" s="334">
        <v>22.625</v>
      </c>
      <c r="MU49" s="334">
        <v>0.375</v>
      </c>
      <c r="MV49" s="334">
        <v>143.09700000000001</v>
      </c>
      <c r="MW49" s="334">
        <v>20</v>
      </c>
      <c r="MX49" s="334">
        <v>0.375</v>
      </c>
      <c r="MY49" s="334">
        <v>143.09700000000001</v>
      </c>
      <c r="MZ49" s="334">
        <v>18.5</v>
      </c>
      <c r="NA49" s="334">
        <v>0.375</v>
      </c>
      <c r="NB49" s="334">
        <v>143.09700000000001</v>
      </c>
      <c r="NC49" s="334">
        <v>19</v>
      </c>
      <c r="ND49" s="334">
        <v>0.375</v>
      </c>
      <c r="NE49" s="334">
        <v>143.09700000000001</v>
      </c>
      <c r="NF49" s="334">
        <v>17.875</v>
      </c>
      <c r="NG49" s="334">
        <v>0.375</v>
      </c>
      <c r="NH49" s="334">
        <v>152.56899999999999</v>
      </c>
      <c r="NI49" s="334">
        <v>19</v>
      </c>
      <c r="NJ49" s="334">
        <v>0.375</v>
      </c>
      <c r="NK49" s="334">
        <v>152.56899999999999</v>
      </c>
      <c r="NL49" s="334">
        <v>22.75</v>
      </c>
      <c r="NM49" s="334">
        <v>0.375</v>
      </c>
      <c r="NN49" s="334">
        <v>152.56899999999999</v>
      </c>
      <c r="NO49" s="334">
        <v>25.25</v>
      </c>
      <c r="NP49" s="334">
        <v>0.375</v>
      </c>
      <c r="NQ49" s="334">
        <v>152.56899999999999</v>
      </c>
      <c r="NR49" s="334">
        <v>24.625</v>
      </c>
      <c r="NS49" s="334">
        <v>0.375</v>
      </c>
      <c r="NT49" s="334">
        <v>152.56899999999999</v>
      </c>
      <c r="NU49" s="334">
        <v>24.75</v>
      </c>
      <c r="NV49" s="334">
        <v>0.375</v>
      </c>
      <c r="NW49" s="334">
        <v>152.56899999999999</v>
      </c>
      <c r="NX49" s="334">
        <v>23.13</v>
      </c>
      <c r="NY49" s="334">
        <v>0.38</v>
      </c>
      <c r="NZ49" s="334">
        <v>152.56899999999999</v>
      </c>
      <c r="OA49" s="334">
        <v>22.38</v>
      </c>
      <c r="OB49" s="334">
        <v>0.38</v>
      </c>
      <c r="OC49" s="334">
        <v>152.56899999999999</v>
      </c>
      <c r="OD49" s="334">
        <v>20.88</v>
      </c>
      <c r="OE49" s="334">
        <v>0.38</v>
      </c>
      <c r="OF49" s="334">
        <v>152.56899999999999</v>
      </c>
      <c r="OG49" s="334">
        <v>19.38</v>
      </c>
      <c r="OH49" s="334">
        <v>0.38</v>
      </c>
      <c r="OI49" s="334">
        <v>152.56899999999999</v>
      </c>
      <c r="OJ49" s="334">
        <v>20.5</v>
      </c>
      <c r="OK49" s="334">
        <v>0.38</v>
      </c>
      <c r="OL49" s="334">
        <v>152.56899999999999</v>
      </c>
      <c r="OM49" s="334">
        <v>19.63</v>
      </c>
      <c r="ON49" s="334">
        <v>0.38</v>
      </c>
      <c r="OO49" s="334">
        <v>152.56899999999999</v>
      </c>
      <c r="OP49" s="334">
        <v>18.25</v>
      </c>
      <c r="OQ49" s="334">
        <v>0.38</v>
      </c>
      <c r="OR49" s="334">
        <v>152.56899999999999</v>
      </c>
      <c r="OS49" s="334">
        <v>18.75</v>
      </c>
      <c r="OT49" s="334">
        <v>0.38</v>
      </c>
      <c r="OU49" s="334">
        <v>152.56899999999999</v>
      </c>
      <c r="OV49" s="334">
        <v>17.13</v>
      </c>
    </row>
    <row r="50" spans="1:412">
      <c r="A50" s="294" t="s">
        <v>34</v>
      </c>
      <c r="B50" s="335" t="s">
        <v>130</v>
      </c>
      <c r="C50" s="335">
        <v>200.9</v>
      </c>
      <c r="D50" s="335">
        <v>41.25</v>
      </c>
      <c r="E50" s="335">
        <v>0.42125000000000001</v>
      </c>
      <c r="F50" s="335">
        <v>200.8</v>
      </c>
      <c r="G50" s="335">
        <v>41.02</v>
      </c>
      <c r="H50" s="335">
        <v>0.42125000000000001</v>
      </c>
      <c r="I50" s="335">
        <v>200.4</v>
      </c>
      <c r="J50" s="335">
        <v>35.700000000000003</v>
      </c>
      <c r="K50" s="335">
        <v>0.41820000000000002</v>
      </c>
      <c r="L50" s="335">
        <v>200.3</v>
      </c>
      <c r="M50" s="335">
        <v>34.299999999999997</v>
      </c>
      <c r="N50" s="335">
        <v>0.41820000000000002</v>
      </c>
      <c r="O50" s="335">
        <v>200.3</v>
      </c>
      <c r="P50" s="335">
        <v>34.93</v>
      </c>
      <c r="Q50" s="335">
        <v>0.41820000000000002</v>
      </c>
      <c r="R50" s="340">
        <v>200.3</v>
      </c>
      <c r="S50" s="340">
        <v>33.33</v>
      </c>
      <c r="T50" s="340">
        <v>0.41820000000000002</v>
      </c>
      <c r="U50" s="340">
        <v>200.2</v>
      </c>
      <c r="V50" s="340">
        <v>35.909999999999997</v>
      </c>
      <c r="W50" s="340">
        <v>0.41410000000000002</v>
      </c>
      <c r="X50" s="340">
        <v>200.2</v>
      </c>
      <c r="Y50" s="340">
        <v>37.659999999999997</v>
      </c>
      <c r="Z50" s="340">
        <v>0.41410000000000002</v>
      </c>
      <c r="AA50" s="340">
        <v>200.2</v>
      </c>
      <c r="AB50" s="340">
        <v>39.549999999999997</v>
      </c>
      <c r="AC50" s="340">
        <v>0.41410000000000002</v>
      </c>
      <c r="AD50" s="340">
        <v>200.2</v>
      </c>
      <c r="AE50" s="340">
        <v>36.46</v>
      </c>
      <c r="AF50" s="340">
        <v>0.41</v>
      </c>
      <c r="AG50" s="340">
        <v>200.2</v>
      </c>
      <c r="AH50" s="340">
        <v>38.56</v>
      </c>
      <c r="AI50" s="340">
        <v>0.41</v>
      </c>
      <c r="AJ50" s="340">
        <v>200.1</v>
      </c>
      <c r="AK50" s="340">
        <v>40.78</v>
      </c>
      <c r="AL50" s="340">
        <v>0.41</v>
      </c>
      <c r="AM50" s="340">
        <v>200.2</v>
      </c>
      <c r="AN50" s="340">
        <v>38.380000000000003</v>
      </c>
      <c r="AO50" s="340">
        <v>0.41</v>
      </c>
      <c r="AP50" s="340">
        <v>200.2</v>
      </c>
      <c r="AQ50" s="340">
        <v>32.96</v>
      </c>
      <c r="AR50" s="340">
        <v>0.40250000000000002</v>
      </c>
      <c r="AS50" s="340">
        <v>200.1</v>
      </c>
      <c r="AT50" s="340">
        <v>33.65</v>
      </c>
      <c r="AU50" s="340">
        <v>0.40250000000000002</v>
      </c>
      <c r="AV50" s="340">
        <v>200.1</v>
      </c>
      <c r="AW50" s="340">
        <v>32.36</v>
      </c>
      <c r="AX50" s="340">
        <v>0.40250000000000002</v>
      </c>
      <c r="AY50" s="504">
        <v>200.1</v>
      </c>
      <c r="AZ50" s="504">
        <v>31.86</v>
      </c>
      <c r="BA50" s="504">
        <v>0.40250000000000002</v>
      </c>
      <c r="BB50" s="504">
        <v>200.2</v>
      </c>
      <c r="BC50" s="504">
        <v>29.99</v>
      </c>
      <c r="BD50" s="504">
        <v>0.38750000000000001</v>
      </c>
      <c r="BE50" s="504">
        <v>200.2</v>
      </c>
      <c r="BF50" s="504">
        <v>30.36</v>
      </c>
      <c r="BG50" s="504">
        <v>0.38750000000000001</v>
      </c>
      <c r="BH50" s="504">
        <v>200.1</v>
      </c>
      <c r="BI50" s="504">
        <v>30.73</v>
      </c>
      <c r="BJ50" s="504">
        <v>0.38750000000000001</v>
      </c>
      <c r="BK50" s="504">
        <v>200.2</v>
      </c>
      <c r="BL50" s="504">
        <v>44.47</v>
      </c>
      <c r="BM50" s="504">
        <v>0.38750000000000001</v>
      </c>
      <c r="BN50" s="504">
        <v>200.2</v>
      </c>
      <c r="BO50" s="504">
        <v>45.38</v>
      </c>
      <c r="BP50" s="507">
        <v>0.38750000000000001</v>
      </c>
      <c r="BQ50" s="504">
        <v>199.9</v>
      </c>
      <c r="BR50" s="504">
        <v>42.56</v>
      </c>
      <c r="BS50" s="504">
        <v>0.36499999999999999</v>
      </c>
      <c r="BT50" s="504">
        <v>199.7</v>
      </c>
      <c r="BU50" s="504">
        <v>43.12</v>
      </c>
      <c r="BV50" s="504">
        <v>0.36499999999999999</v>
      </c>
      <c r="BW50" s="504">
        <v>199.7</v>
      </c>
      <c r="BX50" s="504">
        <v>39.19</v>
      </c>
      <c r="BY50" s="504">
        <v>0.36499999999999999</v>
      </c>
      <c r="BZ50" s="504">
        <v>199.7</v>
      </c>
      <c r="CA50" s="504">
        <v>36.32</v>
      </c>
      <c r="CB50" s="504">
        <v>0.36499999999999999</v>
      </c>
      <c r="CC50" s="503">
        <v>199.7</v>
      </c>
      <c r="CD50" s="503">
        <v>35.21</v>
      </c>
      <c r="CE50" s="503">
        <v>0.33250000000000002</v>
      </c>
      <c r="CF50" s="503">
        <v>199.7</v>
      </c>
      <c r="CG50" s="503">
        <v>32.770000000000003</v>
      </c>
      <c r="CH50" s="503">
        <v>0.33250000000000002</v>
      </c>
      <c r="CI50" s="503">
        <v>199.7</v>
      </c>
      <c r="CJ50" s="503">
        <v>32.909999999999997</v>
      </c>
      <c r="CK50" s="503">
        <v>0.33250000000000002</v>
      </c>
      <c r="CL50" s="503">
        <v>199.7</v>
      </c>
      <c r="CM50" s="503">
        <v>36.03</v>
      </c>
      <c r="CN50" s="508">
        <v>0.33250000000000002</v>
      </c>
      <c r="CO50" s="503">
        <v>199.7</v>
      </c>
      <c r="CP50" s="503">
        <v>34.79</v>
      </c>
      <c r="CQ50" s="503">
        <v>0.30249999999999999</v>
      </c>
      <c r="CR50" s="504">
        <v>199.7</v>
      </c>
      <c r="CS50" s="504">
        <v>34.979999999999997</v>
      </c>
      <c r="CT50" s="504">
        <v>0.30249999999999999</v>
      </c>
      <c r="CU50" s="503">
        <v>199.7</v>
      </c>
      <c r="CV50" s="503">
        <v>33.450000000000003</v>
      </c>
      <c r="CW50" s="503">
        <v>0.30249999999999999</v>
      </c>
      <c r="CX50" s="339">
        <v>199.7</v>
      </c>
      <c r="CY50" s="339">
        <v>31.62</v>
      </c>
      <c r="CZ50" s="511">
        <v>0.30249999999999999</v>
      </c>
      <c r="DA50" s="339">
        <v>199.7</v>
      </c>
      <c r="DB50" s="339">
        <v>32.75</v>
      </c>
      <c r="DC50" s="339">
        <v>0.27500000000000002</v>
      </c>
      <c r="DD50" s="339">
        <v>199.6</v>
      </c>
      <c r="DE50" s="339">
        <v>28.63</v>
      </c>
      <c r="DF50" s="339">
        <v>0.27500000000000002</v>
      </c>
      <c r="DG50" s="339">
        <v>199.7</v>
      </c>
      <c r="DH50" s="339">
        <v>26.29</v>
      </c>
      <c r="DI50" s="339">
        <v>0.27500000000000002</v>
      </c>
      <c r="DJ50" s="339">
        <v>199.6</v>
      </c>
      <c r="DK50" s="339">
        <v>27.36</v>
      </c>
      <c r="DL50" s="510">
        <v>0.27500000000000002</v>
      </c>
      <c r="DM50" s="339">
        <v>199.5</v>
      </c>
      <c r="DN50" s="339">
        <v>28.57</v>
      </c>
      <c r="DO50" s="339">
        <v>0.25</v>
      </c>
      <c r="DP50" s="340">
        <v>199.4</v>
      </c>
      <c r="DQ50" s="340">
        <v>31.61</v>
      </c>
      <c r="DR50" s="340">
        <v>0.25</v>
      </c>
      <c r="DS50" s="339">
        <v>199.3</v>
      </c>
      <c r="DT50" s="339">
        <v>35.479999999999997</v>
      </c>
      <c r="DU50" s="339">
        <v>0.25</v>
      </c>
      <c r="DV50" s="339">
        <v>199.2</v>
      </c>
      <c r="DW50" s="339">
        <v>37.11</v>
      </c>
      <c r="DX50" s="339">
        <v>0.25</v>
      </c>
      <c r="DY50" s="339">
        <v>198.8</v>
      </c>
      <c r="DZ50" s="339">
        <v>39.08</v>
      </c>
      <c r="EA50" s="339">
        <v>0.22500000000000001</v>
      </c>
      <c r="EB50" s="340">
        <v>198.2</v>
      </c>
      <c r="EC50" s="340">
        <v>36.76</v>
      </c>
      <c r="ED50" s="340">
        <v>0.22500000000000001</v>
      </c>
      <c r="EE50" s="339">
        <v>198.4</v>
      </c>
      <c r="EF50" s="339">
        <v>33.9</v>
      </c>
      <c r="EG50" s="510">
        <v>0.22500000000000001</v>
      </c>
      <c r="EH50" s="519">
        <v>198.3</v>
      </c>
      <c r="EI50" s="519">
        <v>36.090000000000003</v>
      </c>
      <c r="EJ50" s="519">
        <v>0.20874999999999999</v>
      </c>
      <c r="EK50" s="519">
        <f>98.9*2</f>
        <v>197.8</v>
      </c>
      <c r="EL50" s="519">
        <f>68.2/2</f>
        <v>34.1</v>
      </c>
      <c r="EM50" s="519">
        <f>0.4175/2</f>
        <v>0.20874999999999999</v>
      </c>
      <c r="EN50" s="340">
        <f>98.6*2</f>
        <v>197.2</v>
      </c>
      <c r="EO50" s="340">
        <f>69.98/2</f>
        <v>34.99</v>
      </c>
      <c r="EP50" s="340">
        <f>0.4175/2</f>
        <v>0.20874999999999999</v>
      </c>
      <c r="EQ50" s="339">
        <f>98.7*2</f>
        <v>197.4</v>
      </c>
      <c r="ER50" s="339">
        <f>56.31/2</f>
        <v>28.155000000000001</v>
      </c>
      <c r="ES50" s="510">
        <f>0.4175/2</f>
        <v>0.20874999999999999</v>
      </c>
      <c r="ET50" s="339">
        <f>98.6*2</f>
        <v>197.2</v>
      </c>
      <c r="EU50" s="339">
        <f>55.46/2</f>
        <v>27.73</v>
      </c>
      <c r="EV50" s="339">
        <f>0.3925/2</f>
        <v>0.19625000000000001</v>
      </c>
      <c r="EW50" s="339">
        <f>98.3*2</f>
        <v>196.6</v>
      </c>
      <c r="EX50" s="339">
        <f>51.79/2</f>
        <v>25.895</v>
      </c>
      <c r="EY50" s="339">
        <f>0.3925/2</f>
        <v>0.19625000000000001</v>
      </c>
      <c r="EZ50" s="340">
        <f>97.9*2</f>
        <v>195.8</v>
      </c>
      <c r="FA50" s="340">
        <f>53.5/2</f>
        <v>26.75</v>
      </c>
      <c r="FB50" s="340">
        <f>0.3925/2</f>
        <v>0.19625000000000001</v>
      </c>
      <c r="FC50" s="339">
        <f>98*2</f>
        <v>196</v>
      </c>
      <c r="FD50" s="339">
        <f>56.71/2</f>
        <v>28.355</v>
      </c>
      <c r="FE50" s="339">
        <f>0.3925/2</f>
        <v>0.19625000000000001</v>
      </c>
      <c r="FF50" s="339">
        <f>98*2</f>
        <v>196</v>
      </c>
      <c r="FG50" s="339">
        <f>47.82/2</f>
        <v>23.91</v>
      </c>
      <c r="FH50" s="339">
        <f>0.375/2</f>
        <v>0.1875</v>
      </c>
      <c r="FI50" s="339">
        <f>97.7*2</f>
        <v>195.4</v>
      </c>
      <c r="FJ50" s="339">
        <f>50.32/2</f>
        <v>25.16</v>
      </c>
      <c r="FK50" s="339">
        <f>0.375/2</f>
        <v>0.1875</v>
      </c>
      <c r="FL50" s="339">
        <f>97.3*2</f>
        <v>194.6</v>
      </c>
      <c r="FM50" s="339">
        <f>50.56/2</f>
        <v>25.28</v>
      </c>
      <c r="FN50" s="339">
        <f>0.375/2</f>
        <v>0.1875</v>
      </c>
      <c r="FO50" s="339">
        <f>97.4*2</f>
        <v>194.8</v>
      </c>
      <c r="FP50" s="339">
        <f>45.54/2</f>
        <v>22.77</v>
      </c>
      <c r="FQ50" s="511">
        <f>0.375/2</f>
        <v>0.1875</v>
      </c>
      <c r="FR50" s="339">
        <f>97.3*2</f>
        <v>194.6</v>
      </c>
      <c r="FS50" s="339">
        <f>39.87/2</f>
        <v>19.934999999999999</v>
      </c>
      <c r="FT50" s="339">
        <f>0.3625/2</f>
        <v>0.18124999999999999</v>
      </c>
      <c r="FU50" s="339">
        <f>97.1*2</f>
        <v>194.2</v>
      </c>
      <c r="FV50" s="339">
        <f>36.56/2</f>
        <v>18.28</v>
      </c>
      <c r="FW50" s="339">
        <f>0.3625/2</f>
        <v>0.18124999999999999</v>
      </c>
      <c r="FX50" s="339">
        <f>96.9*2</f>
        <v>193.8</v>
      </c>
      <c r="FY50" s="339">
        <f>38.94/2</f>
        <v>19.47</v>
      </c>
      <c r="FZ50" s="339">
        <f>0.3625/2</f>
        <v>0.18124999999999999</v>
      </c>
      <c r="GA50" s="339">
        <f>96.7*2</f>
        <v>193.4</v>
      </c>
      <c r="GB50" s="339">
        <f>36.89/2</f>
        <v>18.445</v>
      </c>
      <c r="GC50" s="339">
        <f>0.3625/2</f>
        <v>0.18124999999999999</v>
      </c>
      <c r="GD50" s="339">
        <f>96.5*2</f>
        <v>193</v>
      </c>
      <c r="GE50" s="339">
        <f>33.08/2</f>
        <v>16.54</v>
      </c>
      <c r="GF50" s="339">
        <f>0.355/2</f>
        <v>0.17749999999999999</v>
      </c>
      <c r="GG50" s="339">
        <f>94.7*2</f>
        <v>189.4</v>
      </c>
      <c r="GH50" s="339">
        <f>28.32/2</f>
        <v>14.16</v>
      </c>
      <c r="GI50" s="339">
        <f>0.355/2</f>
        <v>0.17749999999999999</v>
      </c>
      <c r="GJ50" s="339">
        <f>93*2</f>
        <v>186</v>
      </c>
      <c r="GK50" s="339">
        <f>23.82/2</f>
        <v>11.91</v>
      </c>
      <c r="GL50" s="339">
        <f>0.355/2</f>
        <v>0.17749999999999999</v>
      </c>
      <c r="GM50" s="339">
        <f>92.6*2</f>
        <v>185.2</v>
      </c>
      <c r="GN50" s="339">
        <f>25.78/2</f>
        <v>12.89</v>
      </c>
      <c r="GO50" s="339">
        <f>0.355/2</f>
        <v>0.17749999999999999</v>
      </c>
      <c r="GP50" s="339">
        <f>92.1*2</f>
        <v>184.2</v>
      </c>
      <c r="GQ50" s="339">
        <v>30.88</v>
      </c>
      <c r="GR50" s="339">
        <v>0.34749999999999998</v>
      </c>
      <c r="GS50" s="339">
        <f>91.9*2</f>
        <v>183.8</v>
      </c>
      <c r="GT50" s="339">
        <v>31.71</v>
      </c>
      <c r="GU50" s="339">
        <v>0.34749999999999998</v>
      </c>
      <c r="GV50" s="339">
        <v>91.7</v>
      </c>
      <c r="GW50" s="339">
        <v>31.17</v>
      </c>
      <c r="GX50" s="339">
        <v>0.34749999999999998</v>
      </c>
      <c r="GY50" s="339">
        <v>91.8</v>
      </c>
      <c r="GZ50" s="339">
        <v>36.29</v>
      </c>
      <c r="HA50" s="339">
        <v>0.34749999999999998</v>
      </c>
      <c r="HB50" s="339">
        <v>91.8</v>
      </c>
      <c r="HC50" s="339">
        <v>33.1</v>
      </c>
      <c r="HD50" s="339">
        <v>0.34</v>
      </c>
      <c r="HE50" s="339">
        <v>91.5</v>
      </c>
      <c r="HF50" s="339">
        <v>36.65</v>
      </c>
      <c r="HG50" s="339">
        <v>0.34</v>
      </c>
      <c r="HH50" s="339">
        <v>91</v>
      </c>
      <c r="HI50" s="505">
        <v>38.799999999999997</v>
      </c>
      <c r="HJ50" s="339">
        <v>0.34</v>
      </c>
      <c r="HK50" s="339">
        <v>91.1</v>
      </c>
      <c r="HL50" s="339">
        <v>40</v>
      </c>
      <c r="HM50" s="512">
        <v>0.34</v>
      </c>
      <c r="HN50" s="339">
        <v>90.9</v>
      </c>
      <c r="HO50" s="339">
        <v>36.11</v>
      </c>
      <c r="HP50" s="339">
        <v>0.33250000000000002</v>
      </c>
      <c r="HQ50" s="339">
        <v>90.6</v>
      </c>
      <c r="HR50" s="339">
        <v>35.03</v>
      </c>
      <c r="HS50" s="339">
        <v>0.33250000000000002</v>
      </c>
      <c r="HT50" s="339">
        <v>90.6</v>
      </c>
      <c r="HU50" s="339">
        <v>29</v>
      </c>
      <c r="HV50" s="339">
        <v>0.33250000000000002</v>
      </c>
      <c r="HW50" s="339">
        <v>90.4</v>
      </c>
      <c r="HX50" s="506">
        <v>26.79</v>
      </c>
      <c r="HY50" s="513">
        <f>1.33/4</f>
        <v>0.33250000000000002</v>
      </c>
      <c r="HZ50" s="339">
        <v>90.2</v>
      </c>
      <c r="IA50" s="339">
        <v>28.1</v>
      </c>
      <c r="IB50" s="339">
        <v>0.33250000000000002</v>
      </c>
      <c r="IC50" s="339">
        <v>90</v>
      </c>
      <c r="ID50" s="339">
        <v>28.94</v>
      </c>
      <c r="IE50" s="339">
        <v>0.33250000000000002</v>
      </c>
      <c r="IF50" s="339">
        <v>87.8</v>
      </c>
      <c r="IG50" s="339">
        <v>26.95</v>
      </c>
      <c r="IH50" s="339">
        <v>0.33250000000000002</v>
      </c>
      <c r="II50" s="339">
        <v>87.8</v>
      </c>
      <c r="IJ50" s="505">
        <v>26.51</v>
      </c>
      <c r="IK50" s="339">
        <v>0.33250000000000002</v>
      </c>
      <c r="IL50" s="339">
        <v>87.6</v>
      </c>
      <c r="IM50" s="339">
        <v>25.23</v>
      </c>
      <c r="IN50" s="339">
        <v>0.33250000000000002</v>
      </c>
      <c r="IO50" s="339">
        <v>87.5</v>
      </c>
      <c r="IP50" s="339">
        <v>25.47</v>
      </c>
      <c r="IQ50" s="339">
        <v>0.33250000000000002</v>
      </c>
      <c r="IR50" s="339">
        <v>86.9</v>
      </c>
      <c r="IS50" s="339">
        <v>26.44</v>
      </c>
      <c r="IT50" s="339">
        <v>0.33250000000000002</v>
      </c>
      <c r="IU50" s="339">
        <v>82.4</v>
      </c>
      <c r="IV50" s="339">
        <v>24.19</v>
      </c>
      <c r="IW50" s="339">
        <v>0.33250000000000002</v>
      </c>
      <c r="IX50" s="339">
        <v>79.2</v>
      </c>
      <c r="IY50" s="339">
        <v>22.59</v>
      </c>
      <c r="IZ50" s="339">
        <v>0.33250000000000002</v>
      </c>
      <c r="JA50" s="339">
        <v>78.7</v>
      </c>
      <c r="JB50" s="339">
        <v>21.37</v>
      </c>
      <c r="JC50" s="339">
        <v>0.33250000000000002</v>
      </c>
      <c r="JD50" s="339">
        <v>78.400000000000006</v>
      </c>
      <c r="JE50" s="339">
        <v>17.97</v>
      </c>
      <c r="JF50" s="339">
        <v>0.33250000000000002</v>
      </c>
      <c r="JG50" s="339">
        <v>78.099999999999994</v>
      </c>
      <c r="JH50" s="339">
        <v>17.600000000000001</v>
      </c>
      <c r="JI50" s="339">
        <v>0.33250000000000002</v>
      </c>
      <c r="JJ50" s="339">
        <v>78</v>
      </c>
      <c r="JK50" s="339">
        <v>16.87</v>
      </c>
      <c r="JL50" s="339">
        <v>0.33250000000000002</v>
      </c>
      <c r="JM50" s="339">
        <v>77.992000000000004</v>
      </c>
      <c r="JN50" s="339">
        <v>22.86</v>
      </c>
      <c r="JO50" s="339">
        <v>0.33250000000000002</v>
      </c>
      <c r="JP50" s="339">
        <v>77.947000000000003</v>
      </c>
      <c r="JQ50" s="339">
        <v>23.97</v>
      </c>
      <c r="JR50" s="339">
        <v>0.33250000000000002</v>
      </c>
      <c r="JS50" s="339">
        <v>77.923000000000002</v>
      </c>
      <c r="JT50" s="339">
        <v>23.08</v>
      </c>
      <c r="JU50" s="339">
        <v>0.33250000000000002</v>
      </c>
      <c r="JV50" s="339">
        <v>77.921999999999997</v>
      </c>
      <c r="JW50" s="339">
        <v>21.87</v>
      </c>
      <c r="JX50" s="339">
        <v>0.33250000000000002</v>
      </c>
      <c r="JY50" s="339">
        <v>77.921999999999997</v>
      </c>
      <c r="JZ50" s="339">
        <v>22.61</v>
      </c>
      <c r="KA50" s="339">
        <v>0.33250000000000002</v>
      </c>
      <c r="KB50" s="339">
        <v>77.864000000000004</v>
      </c>
      <c r="KC50" s="339">
        <v>22.99</v>
      </c>
      <c r="KD50" s="339">
        <v>0.33250000000000002</v>
      </c>
      <c r="KE50" s="339">
        <v>77.863</v>
      </c>
      <c r="KF50" s="339">
        <v>24.4375</v>
      </c>
      <c r="KG50" s="339">
        <v>0.33250000000000002</v>
      </c>
      <c r="KH50" s="339">
        <v>77.863</v>
      </c>
      <c r="KI50" s="339">
        <v>21.3125</v>
      </c>
      <c r="KJ50" s="339">
        <v>0.33250000000000002</v>
      </c>
      <c r="KK50" s="339">
        <v>77.863</v>
      </c>
      <c r="KL50" s="339">
        <v>18.5</v>
      </c>
      <c r="KM50" s="339">
        <v>0.33250000000000002</v>
      </c>
      <c r="KN50" s="339">
        <v>77.802000000000007</v>
      </c>
      <c r="KO50" s="339">
        <v>19.1875</v>
      </c>
      <c r="KP50" s="339">
        <v>0.33250000000000002</v>
      </c>
      <c r="KQ50" s="339">
        <v>77.801000000000002</v>
      </c>
      <c r="KR50" s="339">
        <v>19</v>
      </c>
      <c r="KS50" s="339">
        <v>0.33250000000000002</v>
      </c>
      <c r="KT50" s="339">
        <v>77.801000000000002</v>
      </c>
      <c r="KU50" s="339">
        <v>22.25</v>
      </c>
      <c r="KV50" s="339">
        <v>0.33250000000000002</v>
      </c>
      <c r="KW50" s="334">
        <v>80.77</v>
      </c>
      <c r="KX50" s="334">
        <v>23.75</v>
      </c>
      <c r="KY50" s="334">
        <v>0.33250000000000002</v>
      </c>
      <c r="KZ50" s="334">
        <v>80.77</v>
      </c>
      <c r="LA50" s="334">
        <v>22.5625</v>
      </c>
      <c r="LB50" s="334">
        <v>0.33250000000000002</v>
      </c>
      <c r="LC50" s="334">
        <v>80.77</v>
      </c>
      <c r="LD50" s="334">
        <v>29</v>
      </c>
      <c r="LE50" s="334">
        <v>0.33300000000000002</v>
      </c>
      <c r="LF50" s="334">
        <v>80.77</v>
      </c>
      <c r="LG50" s="334">
        <v>28.875</v>
      </c>
      <c r="LH50" s="334">
        <v>0.33300000000000002</v>
      </c>
      <c r="LI50" s="334">
        <v>80.77</v>
      </c>
      <c r="LJ50" s="334">
        <v>27</v>
      </c>
      <c r="LK50" s="334">
        <v>0.33300000000000002</v>
      </c>
      <c r="LL50" s="334">
        <v>80.739999999999995</v>
      </c>
      <c r="LM50" s="334">
        <v>28.9375</v>
      </c>
      <c r="LN50" s="334">
        <v>0.33300000000000002</v>
      </c>
      <c r="LO50" s="334">
        <v>80.744</v>
      </c>
      <c r="LP50" s="334">
        <v>27.343800000000002</v>
      </c>
      <c r="LQ50" s="334">
        <v>0.33250000000000002</v>
      </c>
      <c r="LR50" s="334">
        <v>80.748000000000005</v>
      </c>
      <c r="LS50" s="334">
        <v>23.593800000000002</v>
      </c>
      <c r="LT50" s="334">
        <v>0.33250000000000002</v>
      </c>
      <c r="LU50" s="334">
        <v>80.748000000000005</v>
      </c>
      <c r="LV50" s="334">
        <v>22.75</v>
      </c>
      <c r="LW50" s="334">
        <v>0.33250000000000002</v>
      </c>
      <c r="LX50" s="334">
        <v>80.736000000000004</v>
      </c>
      <c r="LY50" s="334">
        <v>20.937999999999999</v>
      </c>
      <c r="LZ50" s="334">
        <v>0.33250000000000002</v>
      </c>
      <c r="MA50" s="334">
        <v>80.674000000000007</v>
      </c>
      <c r="MB50" s="334">
        <v>20.875</v>
      </c>
      <c r="MC50" s="334">
        <v>0.33250000000000002</v>
      </c>
      <c r="MD50" s="334">
        <v>80.674000000000007</v>
      </c>
      <c r="ME50" s="334">
        <v>20</v>
      </c>
      <c r="MF50" s="334">
        <v>0.33250000000000002</v>
      </c>
      <c r="MG50" s="334">
        <v>80.674000000000007</v>
      </c>
      <c r="MH50" s="334">
        <v>19.812999999999999</v>
      </c>
      <c r="MI50" s="334">
        <v>0.33250000000000002</v>
      </c>
      <c r="MJ50" s="334">
        <v>80.674000000000007</v>
      </c>
      <c r="MK50" s="334">
        <v>19.937999999999999</v>
      </c>
      <c r="ML50" s="334">
        <v>0.33250000000000002</v>
      </c>
      <c r="MM50" s="334">
        <v>80.674000000000007</v>
      </c>
      <c r="MN50" s="334">
        <v>21.5</v>
      </c>
      <c r="MO50" s="334">
        <v>0.33250000000000002</v>
      </c>
      <c r="MP50" s="334">
        <v>80.674000000000007</v>
      </c>
      <c r="MQ50" s="334">
        <v>18.812999999999999</v>
      </c>
      <c r="MR50" s="334">
        <v>0.33250000000000002</v>
      </c>
      <c r="MS50" s="334">
        <v>80.674000000000007</v>
      </c>
      <c r="MT50" s="334">
        <v>17.562999999999999</v>
      </c>
      <c r="MU50" s="334">
        <v>0.33250000000000002</v>
      </c>
      <c r="MV50" s="334">
        <v>80.674000000000007</v>
      </c>
      <c r="MW50" s="334">
        <v>17.125</v>
      </c>
      <c r="MX50" s="334">
        <v>0.33250000000000002</v>
      </c>
      <c r="MY50" s="334">
        <v>80.674000000000007</v>
      </c>
      <c r="MZ50" s="334">
        <v>16.5625</v>
      </c>
      <c r="NA50" s="334">
        <v>0.33250000000000002</v>
      </c>
      <c r="NB50" s="334">
        <v>80.674000000000007</v>
      </c>
      <c r="NC50" s="334">
        <v>16.6875</v>
      </c>
      <c r="ND50" s="334">
        <v>0.33250000000000002</v>
      </c>
      <c r="NE50" s="334">
        <v>80.674000000000007</v>
      </c>
      <c r="NF50" s="334">
        <v>15.1875</v>
      </c>
      <c r="NG50" s="334">
        <v>0.33250000000000002</v>
      </c>
      <c r="NH50" s="334">
        <v>80.656000000000006</v>
      </c>
      <c r="NI50" s="334">
        <v>17.3125</v>
      </c>
      <c r="NJ50" s="334">
        <v>0.33250000000000002</v>
      </c>
      <c r="NK50" s="334">
        <v>80.656000000000006</v>
      </c>
      <c r="NL50" s="334">
        <v>18.5</v>
      </c>
      <c r="NM50" s="334">
        <v>0.33250000000000002</v>
      </c>
      <c r="NN50" s="334">
        <v>80.656000000000006</v>
      </c>
      <c r="NO50" s="334">
        <v>19.0625</v>
      </c>
      <c r="NP50" s="334">
        <v>0.33250000000000002</v>
      </c>
      <c r="NQ50" s="334">
        <v>80.656000000000006</v>
      </c>
      <c r="NR50" s="334">
        <v>18.375</v>
      </c>
      <c r="NS50" s="334">
        <v>0.33250000000000002</v>
      </c>
      <c r="NT50" s="334">
        <v>80.656000000000006</v>
      </c>
      <c r="NU50" s="334">
        <v>17.6875</v>
      </c>
      <c r="NV50" s="334">
        <v>0.33250000000000002</v>
      </c>
      <c r="NW50" s="334">
        <v>80.62</v>
      </c>
      <c r="NX50" s="334">
        <v>17.059999999999999</v>
      </c>
      <c r="NY50" s="334">
        <v>0.33</v>
      </c>
      <c r="NZ50" s="334">
        <v>80.62</v>
      </c>
      <c r="OA50" s="334">
        <v>17.309999999999999</v>
      </c>
      <c r="OB50" s="334">
        <v>0.33</v>
      </c>
      <c r="OC50" s="334">
        <v>80.62</v>
      </c>
      <c r="OD50" s="334">
        <v>16.63</v>
      </c>
      <c r="OE50" s="334">
        <v>0.33</v>
      </c>
      <c r="OF50" s="334">
        <v>80.62</v>
      </c>
      <c r="OG50" s="334">
        <v>18.940000000000001</v>
      </c>
      <c r="OH50" s="334">
        <v>0.33</v>
      </c>
      <c r="OI50" s="334">
        <v>80.596000000000004</v>
      </c>
      <c r="OJ50" s="334">
        <v>22</v>
      </c>
      <c r="OK50" s="334">
        <v>0.32</v>
      </c>
      <c r="OL50" s="334">
        <v>80.596000000000004</v>
      </c>
      <c r="OM50" s="334">
        <v>20.94</v>
      </c>
      <c r="ON50" s="334">
        <v>0.32</v>
      </c>
      <c r="OO50" s="334">
        <v>80.596000000000004</v>
      </c>
      <c r="OP50" s="334">
        <v>18.88</v>
      </c>
      <c r="OQ50" s="334">
        <v>0.32</v>
      </c>
      <c r="OR50" s="334">
        <v>80.596000000000004</v>
      </c>
      <c r="OS50" s="334">
        <v>19.809999999999999</v>
      </c>
      <c r="OT50" s="334">
        <v>0.32</v>
      </c>
      <c r="OU50" s="334">
        <v>80.81</v>
      </c>
      <c r="OV50" s="334">
        <v>19.5</v>
      </c>
    </row>
    <row r="51" spans="1:412">
      <c r="A51" s="294" t="s">
        <v>45</v>
      </c>
      <c r="B51" s="335" t="s">
        <v>131</v>
      </c>
      <c r="C51" s="335">
        <v>41.8</v>
      </c>
      <c r="D51" s="335">
        <v>73.84</v>
      </c>
      <c r="E51" s="335">
        <v>0.46750000000000003</v>
      </c>
      <c r="F51" s="335">
        <v>41.783999999999999</v>
      </c>
      <c r="G51" s="335">
        <v>78.16</v>
      </c>
      <c r="H51" s="335">
        <v>0.46750000000000003</v>
      </c>
      <c r="I51" s="335">
        <v>41.723999999999997</v>
      </c>
      <c r="J51" s="335">
        <v>87.59</v>
      </c>
      <c r="K51" s="335">
        <v>0.46750000000000003</v>
      </c>
      <c r="L51" s="335">
        <v>41.68</v>
      </c>
      <c r="M51" s="335">
        <v>86.4</v>
      </c>
      <c r="N51" s="335">
        <v>0.46750000000000003</v>
      </c>
      <c r="O51" s="335">
        <v>41.68</v>
      </c>
      <c r="P51" s="335">
        <v>84.97</v>
      </c>
      <c r="Q51" s="335">
        <v>0.4375</v>
      </c>
      <c r="R51" s="340">
        <v>41.677999999999997</v>
      </c>
      <c r="S51" s="340">
        <v>75.92</v>
      </c>
      <c r="T51" s="340">
        <v>0.4375</v>
      </c>
      <c r="U51" s="340">
        <v>41.631999999999998</v>
      </c>
      <c r="V51" s="340">
        <v>78.959999999999994</v>
      </c>
      <c r="W51" s="340">
        <v>0.4375</v>
      </c>
      <c r="X51" s="340">
        <v>41.585999999999999</v>
      </c>
      <c r="Y51" s="340">
        <v>72.27</v>
      </c>
      <c r="Z51" s="340">
        <v>0.4375</v>
      </c>
      <c r="AA51" s="340">
        <v>41.6</v>
      </c>
      <c r="AB51" s="340">
        <v>58.71</v>
      </c>
      <c r="AC51" s="340">
        <v>0.41249999999999998</v>
      </c>
      <c r="AD51" s="340">
        <v>41.597000000000001</v>
      </c>
      <c r="AE51" s="340">
        <v>61.52</v>
      </c>
      <c r="AF51" s="340">
        <v>0.41249999999999998</v>
      </c>
      <c r="AG51" s="340">
        <v>41.548000000000002</v>
      </c>
      <c r="AH51" s="340">
        <v>67.13</v>
      </c>
      <c r="AI51" s="340">
        <v>0.41249999999999998</v>
      </c>
      <c r="AJ51" s="340">
        <v>41.491</v>
      </c>
      <c r="AK51" s="340">
        <v>62.5</v>
      </c>
      <c r="AL51" s="340">
        <v>0.41249999999999998</v>
      </c>
      <c r="AM51" s="340">
        <v>41.503999999999998</v>
      </c>
      <c r="AN51" s="340">
        <v>71.42</v>
      </c>
      <c r="AO51" s="340">
        <v>0.39</v>
      </c>
      <c r="AP51" s="340">
        <v>41.5</v>
      </c>
      <c r="AQ51" s="340">
        <v>55.97</v>
      </c>
      <c r="AR51" s="340">
        <v>0.39</v>
      </c>
      <c r="AS51" s="340">
        <v>41.454999999999998</v>
      </c>
      <c r="AT51" s="340">
        <v>48.81</v>
      </c>
      <c r="AU51" s="340">
        <v>0.39</v>
      </c>
      <c r="AV51" s="340">
        <v>40.71</v>
      </c>
      <c r="AW51" s="340">
        <v>46.17</v>
      </c>
      <c r="AX51" s="340">
        <v>0.39</v>
      </c>
      <c r="AY51" s="504">
        <v>40.913972000000001</v>
      </c>
      <c r="AZ51" s="504">
        <v>42.61</v>
      </c>
      <c r="BA51" s="504">
        <v>0.37</v>
      </c>
      <c r="BB51" s="504">
        <v>40.513286000000001</v>
      </c>
      <c r="BC51" s="504">
        <v>36.17</v>
      </c>
      <c r="BD51" s="504">
        <v>0.37</v>
      </c>
      <c r="BE51" s="504">
        <v>40.217140999999998</v>
      </c>
      <c r="BF51" s="504">
        <v>38.79</v>
      </c>
      <c r="BG51" s="504">
        <v>0.37</v>
      </c>
      <c r="BH51" s="504">
        <v>39.720846999999999</v>
      </c>
      <c r="BI51" s="504">
        <v>44.46</v>
      </c>
      <c r="BJ51" s="518">
        <v>0.37</v>
      </c>
      <c r="BK51" s="504">
        <v>39.714672</v>
      </c>
      <c r="BL51" s="504">
        <v>51.29</v>
      </c>
      <c r="BM51" s="504">
        <v>0.35</v>
      </c>
      <c r="BN51" s="504">
        <v>39.712035999999998</v>
      </c>
      <c r="BO51" s="504">
        <v>53.75</v>
      </c>
      <c r="BP51" s="504">
        <v>0.35</v>
      </c>
      <c r="BQ51" s="504">
        <v>39.657321000000003</v>
      </c>
      <c r="BR51" s="504">
        <v>52.81</v>
      </c>
      <c r="BS51" s="504">
        <v>0.35</v>
      </c>
      <c r="BT51" s="504">
        <v>39.599944000000001</v>
      </c>
      <c r="BU51" s="504">
        <v>49.82</v>
      </c>
      <c r="BV51" s="504">
        <v>0.35</v>
      </c>
      <c r="BW51" s="504">
        <v>39.621524000000001</v>
      </c>
      <c r="BX51" s="504">
        <v>49.64</v>
      </c>
      <c r="BY51" s="504">
        <v>0.33500000000000002</v>
      </c>
      <c r="BZ51" s="504">
        <v>39.605716999999999</v>
      </c>
      <c r="CA51" s="504">
        <v>47.9</v>
      </c>
      <c r="CB51" s="504">
        <v>0.33500000000000002</v>
      </c>
      <c r="CC51" s="503">
        <v>39.550874</v>
      </c>
      <c r="CD51" s="503">
        <v>47.6</v>
      </c>
      <c r="CE51" s="503">
        <v>0.33500000000000002</v>
      </c>
      <c r="CF51" s="503">
        <v>39.507795999999999</v>
      </c>
      <c r="CG51" s="503">
        <v>43.35</v>
      </c>
      <c r="CH51" s="508">
        <v>0.33500000000000002</v>
      </c>
      <c r="CI51" s="503">
        <v>39.507581000000002</v>
      </c>
      <c r="CJ51" s="503">
        <v>44.45</v>
      </c>
      <c r="CK51" s="503">
        <v>0.32</v>
      </c>
      <c r="CL51" s="503">
        <v>39.462865000000001</v>
      </c>
      <c r="CM51" s="503">
        <v>43.35</v>
      </c>
      <c r="CN51" s="503">
        <v>0.32</v>
      </c>
      <c r="CO51" s="503">
        <v>39.350802000000002</v>
      </c>
      <c r="CP51" s="503">
        <v>39.6</v>
      </c>
      <c r="CQ51" s="503">
        <v>0.32</v>
      </c>
      <c r="CR51" s="504">
        <v>38.546458999999999</v>
      </c>
      <c r="CS51" s="504">
        <v>37.9</v>
      </c>
      <c r="CT51" s="514">
        <v>0.32</v>
      </c>
      <c r="CU51" s="503">
        <v>38.832659</v>
      </c>
      <c r="CV51" s="503">
        <v>40.799999999999997</v>
      </c>
      <c r="CW51" s="503">
        <v>0.3125</v>
      </c>
      <c r="CX51" s="339">
        <v>38.179371000000003</v>
      </c>
      <c r="CY51" s="339">
        <v>34.590000000000003</v>
      </c>
      <c r="CZ51" s="339">
        <v>0.3125</v>
      </c>
      <c r="DA51" s="339">
        <v>37.936942999999999</v>
      </c>
      <c r="DB51" s="339">
        <v>33.49</v>
      </c>
      <c r="DC51" s="339">
        <v>0.3125</v>
      </c>
      <c r="DD51" s="339">
        <v>37.494985999999997</v>
      </c>
      <c r="DE51" s="339">
        <v>29.62</v>
      </c>
      <c r="DF51" s="511">
        <v>0.3125</v>
      </c>
      <c r="DG51" s="339">
        <v>37.575412999999998</v>
      </c>
      <c r="DH51" s="339">
        <v>26.63</v>
      </c>
      <c r="DI51" s="339">
        <v>0.3075</v>
      </c>
      <c r="DJ51" s="339">
        <v>37.433318</v>
      </c>
      <c r="DK51" s="339">
        <v>26.06</v>
      </c>
      <c r="DL51" s="339">
        <v>0.3075</v>
      </c>
      <c r="DM51" s="339">
        <v>37.243118000000003</v>
      </c>
      <c r="DN51" s="339">
        <v>26.6</v>
      </c>
      <c r="DO51" s="339">
        <v>0.3075</v>
      </c>
      <c r="DP51" s="340">
        <v>36.811087999999998</v>
      </c>
      <c r="DQ51" s="340">
        <v>32.17</v>
      </c>
      <c r="DR51" s="515">
        <v>0.3075</v>
      </c>
      <c r="DS51" s="339">
        <v>36.596395999999999</v>
      </c>
      <c r="DT51" s="339">
        <v>30.96</v>
      </c>
      <c r="DU51" s="339">
        <v>0.30249999999999999</v>
      </c>
      <c r="DV51" s="339">
        <v>36.409753000000002</v>
      </c>
      <c r="DW51" s="339">
        <v>26.67</v>
      </c>
      <c r="DX51" s="339">
        <v>0.30249999999999999</v>
      </c>
      <c r="DY51" s="339">
        <v>36.240349999999999</v>
      </c>
      <c r="DZ51" s="339">
        <v>30.29</v>
      </c>
      <c r="EA51" s="339">
        <v>0.30249999999999999</v>
      </c>
      <c r="EB51" s="340">
        <v>36.151364000000001</v>
      </c>
      <c r="EC51" s="340">
        <v>30.79</v>
      </c>
      <c r="ED51" s="515">
        <v>0.30249999999999999</v>
      </c>
      <c r="EE51" s="339">
        <v>36.179507000000001</v>
      </c>
      <c r="EF51" s="339">
        <v>29.27</v>
      </c>
      <c r="EG51" s="339">
        <v>0.29749999999999999</v>
      </c>
      <c r="EH51" s="339">
        <v>36.170352999999999</v>
      </c>
      <c r="EI51" s="339">
        <v>27.6</v>
      </c>
      <c r="EJ51" s="339">
        <v>0.29749999999999999</v>
      </c>
      <c r="EK51" s="339">
        <v>36.075130999999999</v>
      </c>
      <c r="EL51" s="339">
        <v>28.4</v>
      </c>
      <c r="EM51" s="339">
        <v>0.29749999999999999</v>
      </c>
      <c r="EN51" s="340">
        <v>36.047984</v>
      </c>
      <c r="EO51" s="340">
        <v>31.14</v>
      </c>
      <c r="EP51" s="340">
        <v>0.29749999999999999</v>
      </c>
      <c r="EQ51" s="339">
        <v>36.061022000000001</v>
      </c>
      <c r="ER51" s="339">
        <v>25</v>
      </c>
      <c r="ES51" s="339">
        <v>0.29749999999999999</v>
      </c>
      <c r="ET51" s="339">
        <v>36.031447</v>
      </c>
      <c r="EU51" s="339">
        <v>23.86</v>
      </c>
      <c r="EV51" s="339">
        <v>0.29749999999999999</v>
      </c>
      <c r="EW51" s="339">
        <v>35.995179</v>
      </c>
      <c r="EX51" s="339">
        <v>22.86</v>
      </c>
      <c r="EY51" s="339">
        <v>0.29749999999999999</v>
      </c>
      <c r="EZ51" s="340">
        <v>35.922154999999997</v>
      </c>
      <c r="FA51" s="340">
        <v>21.7</v>
      </c>
      <c r="FB51" s="340">
        <v>0.29749999999999999</v>
      </c>
      <c r="FC51" s="339">
        <v>35.933002999999999</v>
      </c>
      <c r="FD51" s="339">
        <v>22.02</v>
      </c>
      <c r="FE51" s="339">
        <v>0.29749999999999999</v>
      </c>
      <c r="FF51" s="339">
        <v>35.926124000000002</v>
      </c>
      <c r="FG51" s="339">
        <v>18.3</v>
      </c>
      <c r="FH51" s="339">
        <v>0.29749999999999999</v>
      </c>
      <c r="FI51" s="339">
        <v>35.876852999999997</v>
      </c>
      <c r="FJ51" s="339">
        <v>21.1</v>
      </c>
      <c r="FK51" s="339">
        <v>0.29749999999999999</v>
      </c>
      <c r="FL51" s="339">
        <v>35.807966999999998</v>
      </c>
      <c r="FM51" s="339">
        <v>22.73</v>
      </c>
      <c r="FN51" s="339">
        <v>0.29749999999999999</v>
      </c>
      <c r="FO51" s="339">
        <v>35.806452999999998</v>
      </c>
      <c r="FP51" s="339">
        <v>22.54</v>
      </c>
      <c r="FQ51" s="339">
        <v>0.29749999999999999</v>
      </c>
      <c r="FR51" s="339">
        <v>35.799230999999999</v>
      </c>
      <c r="FS51" s="339">
        <v>20.39</v>
      </c>
      <c r="FT51" s="339">
        <v>0.29749999999999999</v>
      </c>
      <c r="FU51" s="339">
        <v>35.720571</v>
      </c>
      <c r="FV51" s="339">
        <v>19.329999999999998</v>
      </c>
      <c r="FW51" s="339">
        <v>0.29749999999999999</v>
      </c>
      <c r="FX51" s="339">
        <v>35.610706999999998</v>
      </c>
      <c r="FY51" s="339">
        <v>21.96</v>
      </c>
      <c r="FZ51" s="339">
        <v>0.29749999999999999</v>
      </c>
      <c r="GA51" s="339">
        <v>35.528190000000002</v>
      </c>
      <c r="GB51" s="339">
        <v>24.82</v>
      </c>
      <c r="GC51" s="339">
        <v>0.29749999999999999</v>
      </c>
      <c r="GD51" s="339">
        <v>35.388753999999999</v>
      </c>
      <c r="GE51" s="339">
        <v>23.93</v>
      </c>
      <c r="GF51" s="339">
        <v>0.29749999999999999</v>
      </c>
      <c r="GG51" s="339">
        <v>35.3247</v>
      </c>
      <c r="GH51" s="339">
        <v>21.84</v>
      </c>
      <c r="GI51" s="339">
        <v>0.29749999999999999</v>
      </c>
      <c r="GJ51" s="339">
        <v>35.31</v>
      </c>
      <c r="GK51" s="339">
        <v>22.05</v>
      </c>
      <c r="GL51" s="339">
        <v>0.29749999999999999</v>
      </c>
      <c r="GM51" s="339">
        <v>30.513577999999999</v>
      </c>
      <c r="GN51" s="339">
        <v>23.33</v>
      </c>
      <c r="GO51" s="339">
        <v>0.29749999999999999</v>
      </c>
      <c r="GP51" s="339">
        <v>29.993483999999999</v>
      </c>
      <c r="GQ51" s="339">
        <v>30.73</v>
      </c>
      <c r="GR51" s="339">
        <v>0.29749999999999999</v>
      </c>
      <c r="GS51" s="339">
        <v>29.818079000000001</v>
      </c>
      <c r="GT51" s="339">
        <v>38.83</v>
      </c>
      <c r="GU51" s="339">
        <v>0.29749999999999999</v>
      </c>
      <c r="GV51" s="339">
        <v>29.681236999999999</v>
      </c>
      <c r="GW51" s="339">
        <v>35.39</v>
      </c>
      <c r="GX51" s="339">
        <v>0.29749999999999999</v>
      </c>
      <c r="GY51" s="339">
        <v>29.7456</v>
      </c>
      <c r="GZ51" s="339">
        <v>34.6</v>
      </c>
      <c r="HA51" s="339">
        <v>0.29249999999999998</v>
      </c>
      <c r="HB51" s="339">
        <v>29.685745000000001</v>
      </c>
      <c r="HC51" s="339">
        <v>35.65</v>
      </c>
      <c r="HD51" s="339">
        <v>0.29249999999999998</v>
      </c>
      <c r="HE51" s="339">
        <v>29.503252</v>
      </c>
      <c r="HF51" s="339">
        <v>32.07</v>
      </c>
      <c r="HG51" s="339">
        <v>0.29249999999999998</v>
      </c>
      <c r="HH51" s="339">
        <v>29.394033</v>
      </c>
      <c r="HI51" s="505">
        <v>34.24</v>
      </c>
      <c r="HJ51" s="339">
        <v>0.29249999999999998</v>
      </c>
      <c r="HK51" s="339">
        <v>29.412526</v>
      </c>
      <c r="HL51" s="339">
        <v>31.16</v>
      </c>
      <c r="HM51" s="339">
        <v>0.28749999999999998</v>
      </c>
      <c r="HN51" s="339">
        <v>29.392963000000002</v>
      </c>
      <c r="HO51" s="339">
        <v>29.24</v>
      </c>
      <c r="HP51" s="339">
        <v>0.28749999999999998</v>
      </c>
      <c r="HQ51" s="339">
        <v>29.325986</v>
      </c>
      <c r="HR51" s="339">
        <v>27.33</v>
      </c>
      <c r="HS51" s="339">
        <v>0.28749999999999998</v>
      </c>
      <c r="HT51" s="339">
        <v>29.360609</v>
      </c>
      <c r="HU51" s="339">
        <v>28.69</v>
      </c>
      <c r="HV51" s="339">
        <v>0.28749999999999998</v>
      </c>
      <c r="HW51" s="339">
        <v>29.245640000000002</v>
      </c>
      <c r="HX51" s="506">
        <v>28.98</v>
      </c>
      <c r="HY51" s="513">
        <f>1.12/4</f>
        <v>0.28000000000000003</v>
      </c>
      <c r="HZ51" s="339">
        <v>29.15814</v>
      </c>
      <c r="IA51" s="339">
        <v>30.94</v>
      </c>
      <c r="IB51" s="339">
        <v>0.28000000000000003</v>
      </c>
      <c r="IC51" s="339">
        <v>29.126096</v>
      </c>
      <c r="ID51" s="339">
        <v>27.33</v>
      </c>
      <c r="IE51" s="339">
        <v>0.28000000000000003</v>
      </c>
      <c r="IF51" s="339">
        <v>26.010252000000001</v>
      </c>
      <c r="IG51" s="339">
        <v>25.04</v>
      </c>
      <c r="IH51" s="339">
        <v>0.28000000000000003</v>
      </c>
      <c r="II51" s="339">
        <v>26.010252000000001</v>
      </c>
      <c r="IJ51" s="505">
        <v>25.53</v>
      </c>
      <c r="IK51" s="339">
        <v>0.27500000000000002</v>
      </c>
      <c r="IL51" s="339">
        <v>25.891439999999999</v>
      </c>
      <c r="IM51" s="339">
        <v>25.5</v>
      </c>
      <c r="IN51" s="339">
        <v>0.27500000000000002</v>
      </c>
      <c r="IO51" s="339">
        <v>25.793040999999999</v>
      </c>
      <c r="IP51" s="339">
        <v>26.86</v>
      </c>
      <c r="IQ51" s="339">
        <v>0.27500000000000002</v>
      </c>
      <c r="IR51" s="339">
        <v>25.719369</v>
      </c>
      <c r="IS51" s="339">
        <v>26.42</v>
      </c>
      <c r="IT51" s="339">
        <v>0.27500000000000002</v>
      </c>
      <c r="IU51" s="339">
        <v>25.708199</v>
      </c>
      <c r="IV51" s="339">
        <v>26.73</v>
      </c>
      <c r="IW51" s="339">
        <v>0.27</v>
      </c>
      <c r="IX51" s="339">
        <v>25.672593200000001</v>
      </c>
      <c r="IY51" s="339">
        <v>26.06</v>
      </c>
      <c r="IZ51" s="339">
        <v>0.27</v>
      </c>
      <c r="JA51" s="339">
        <v>25.592361</v>
      </c>
      <c r="JB51" s="339">
        <v>26.97</v>
      </c>
      <c r="JC51" s="339">
        <v>0.27</v>
      </c>
      <c r="JD51" s="339">
        <v>25.589413</v>
      </c>
      <c r="JE51" s="339">
        <v>25.9</v>
      </c>
      <c r="JF51" s="339">
        <v>0.27</v>
      </c>
      <c r="JG51" s="339">
        <v>25.327521999999998</v>
      </c>
      <c r="JH51" s="339">
        <v>26.9</v>
      </c>
      <c r="JI51" s="339">
        <v>0.26500000000000001</v>
      </c>
      <c r="JJ51" s="339">
        <v>25.117325000000001</v>
      </c>
      <c r="JK51" s="339">
        <v>26.34</v>
      </c>
      <c r="JL51" s="339">
        <v>0.26500000000000001</v>
      </c>
      <c r="JM51" s="339">
        <v>24.667956</v>
      </c>
      <c r="JN51" s="339">
        <v>31.52</v>
      </c>
      <c r="JO51" s="339">
        <v>0.26500000000000001</v>
      </c>
      <c r="JP51" s="339">
        <v>24.633036000000001</v>
      </c>
      <c r="JQ51" s="339">
        <v>30.88</v>
      </c>
      <c r="JR51" s="339">
        <v>0.26500000000000001</v>
      </c>
      <c r="JS51" s="339">
        <v>24.606000000000002</v>
      </c>
      <c r="JT51" s="339">
        <v>29.14</v>
      </c>
      <c r="JU51" s="339">
        <v>0.26</v>
      </c>
      <c r="JV51" s="339">
        <v>24.315000000000001</v>
      </c>
      <c r="JW51" s="339">
        <v>28.35</v>
      </c>
      <c r="JX51" s="339">
        <v>0.26</v>
      </c>
      <c r="JY51" s="339">
        <v>24.306438</v>
      </c>
      <c r="JZ51" s="339">
        <v>27.75</v>
      </c>
      <c r="KA51" s="339">
        <v>0.26</v>
      </c>
      <c r="KB51" s="339">
        <v>23.851790000000001</v>
      </c>
      <c r="KC51" s="339">
        <v>28.5</v>
      </c>
      <c r="KD51" s="339">
        <v>0.26</v>
      </c>
      <c r="KE51" s="339">
        <v>23.849974</v>
      </c>
      <c r="KF51" s="339">
        <v>27.75</v>
      </c>
      <c r="KG51" s="339">
        <v>0.255</v>
      </c>
      <c r="KH51" s="339">
        <v>23.849974</v>
      </c>
      <c r="KI51" s="339">
        <v>23.125</v>
      </c>
      <c r="KJ51" s="339">
        <v>0.255</v>
      </c>
      <c r="KK51" s="339">
        <v>23.849974</v>
      </c>
      <c r="KL51" s="339">
        <v>21</v>
      </c>
      <c r="KM51" s="339">
        <v>0.255</v>
      </c>
      <c r="KN51" s="339">
        <v>23.850514</v>
      </c>
      <c r="KO51" s="339">
        <v>19.9375</v>
      </c>
      <c r="KP51" s="339">
        <v>0.255</v>
      </c>
      <c r="KQ51" s="339">
        <v>23.849799999999998</v>
      </c>
      <c r="KR51" s="339">
        <v>18.75</v>
      </c>
      <c r="KS51" s="339">
        <v>0.2475</v>
      </c>
      <c r="KT51" s="339">
        <v>23.845199999999998</v>
      </c>
      <c r="KU51" s="339">
        <v>21.25</v>
      </c>
      <c r="KV51" s="339">
        <v>0.2475</v>
      </c>
      <c r="KW51" s="334">
        <v>23.6</v>
      </c>
      <c r="KX51" s="334">
        <v>19.28125</v>
      </c>
      <c r="KY51" s="334">
        <v>0.2475</v>
      </c>
      <c r="KZ51" s="334">
        <v>23.64</v>
      </c>
      <c r="LA51" s="334">
        <v>19.9375</v>
      </c>
      <c r="LB51" s="334">
        <v>0.24</v>
      </c>
      <c r="LC51" s="334">
        <v>23.64</v>
      </c>
      <c r="LD51" s="334">
        <v>19.9375</v>
      </c>
      <c r="LE51" s="334">
        <v>0.24</v>
      </c>
      <c r="LF51" s="334">
        <v>23.48</v>
      </c>
      <c r="LG51" s="334">
        <v>18.625</v>
      </c>
      <c r="LH51" s="334">
        <v>0.24</v>
      </c>
      <c r="LI51" s="334">
        <v>23.48</v>
      </c>
      <c r="LJ51" s="334">
        <v>18.531500000000001</v>
      </c>
      <c r="LK51" s="334">
        <v>0.24</v>
      </c>
      <c r="LL51" s="334">
        <v>23.32</v>
      </c>
      <c r="LM51" s="334">
        <v>18.8125</v>
      </c>
      <c r="LN51" s="334">
        <v>0.23250000000000001</v>
      </c>
      <c r="LO51" s="334">
        <v>23.32</v>
      </c>
      <c r="LP51" s="334">
        <v>18.9375</v>
      </c>
      <c r="LQ51" s="334">
        <v>0.23250000000000001</v>
      </c>
      <c r="LR51" s="334">
        <v>22.82</v>
      </c>
      <c r="LS51" s="334">
        <v>16.9375</v>
      </c>
      <c r="LT51" s="334">
        <v>0.23250000000000001</v>
      </c>
      <c r="LU51" s="334">
        <v>22.82</v>
      </c>
      <c r="LV51" s="334">
        <v>16.5</v>
      </c>
      <c r="LW51" s="334">
        <v>0.23250000000000001</v>
      </c>
      <c r="LX51" s="334">
        <v>22.36</v>
      </c>
      <c r="LY51" s="334">
        <v>16.875</v>
      </c>
      <c r="LZ51" s="334">
        <v>0.23250000000000001</v>
      </c>
      <c r="MA51" s="334">
        <v>22.36</v>
      </c>
      <c r="MB51" s="334">
        <v>16.0625</v>
      </c>
      <c r="MC51" s="334">
        <v>0.22500000000000001</v>
      </c>
      <c r="MD51" s="334">
        <v>22.36</v>
      </c>
      <c r="ME51" s="334">
        <v>16.75</v>
      </c>
      <c r="MF51" s="334">
        <v>0.22500000000000001</v>
      </c>
      <c r="MG51" s="334">
        <v>22.36</v>
      </c>
      <c r="MH51" s="334">
        <v>16.25</v>
      </c>
      <c r="MI51" s="334">
        <v>0.22500000000000001</v>
      </c>
      <c r="MJ51" s="334">
        <v>22.36</v>
      </c>
      <c r="MK51" s="334">
        <v>19.125</v>
      </c>
      <c r="ML51" s="334">
        <v>0.22500000000000001</v>
      </c>
      <c r="MM51" s="334">
        <v>22.36</v>
      </c>
      <c r="MN51" s="334">
        <v>17.875</v>
      </c>
      <c r="MO51" s="334">
        <v>0.22</v>
      </c>
      <c r="MP51" s="334">
        <v>22.36</v>
      </c>
      <c r="MQ51" s="334">
        <v>17.125</v>
      </c>
      <c r="MR51" s="334">
        <v>0.22</v>
      </c>
      <c r="MS51" s="334">
        <v>22.36</v>
      </c>
      <c r="MT51" s="334">
        <v>16.875</v>
      </c>
      <c r="MU51" s="334">
        <v>0.22</v>
      </c>
      <c r="MV51" s="334">
        <v>22.36</v>
      </c>
      <c r="MW51" s="334">
        <v>17.25</v>
      </c>
      <c r="MX51" s="334">
        <v>0.22</v>
      </c>
      <c r="MY51" s="334">
        <v>22.36</v>
      </c>
      <c r="MZ51" s="334">
        <v>16.25</v>
      </c>
      <c r="NA51" s="334">
        <v>0.215</v>
      </c>
      <c r="NB51" s="334">
        <v>22.36</v>
      </c>
      <c r="NC51" s="334">
        <v>17</v>
      </c>
      <c r="ND51" s="334">
        <v>0.215</v>
      </c>
      <c r="NE51" s="334">
        <v>22.36</v>
      </c>
      <c r="NF51" s="334">
        <v>15.875</v>
      </c>
      <c r="NG51" s="334">
        <v>0.215</v>
      </c>
      <c r="NH51" s="334">
        <v>22.36</v>
      </c>
      <c r="NI51" s="334">
        <v>15.75</v>
      </c>
      <c r="NJ51" s="334">
        <v>0.215</v>
      </c>
      <c r="NK51" s="334">
        <v>22.36</v>
      </c>
      <c r="NL51" s="334">
        <v>16.625</v>
      </c>
      <c r="NM51" s="334">
        <v>0.21</v>
      </c>
      <c r="NN51" s="334">
        <v>22.36</v>
      </c>
      <c r="NO51" s="334">
        <v>16.625</v>
      </c>
      <c r="NP51" s="334">
        <v>0.21</v>
      </c>
      <c r="NQ51" s="334">
        <v>22.36</v>
      </c>
      <c r="NR51" s="334">
        <v>16.875</v>
      </c>
      <c r="NS51" s="334">
        <v>0.21</v>
      </c>
      <c r="NT51" s="334">
        <v>22.36</v>
      </c>
      <c r="NU51" s="334">
        <v>19.375</v>
      </c>
      <c r="NV51" s="334">
        <v>0.21</v>
      </c>
      <c r="NW51" s="334">
        <v>22.37</v>
      </c>
      <c r="NX51" s="334">
        <v>16.625</v>
      </c>
      <c r="NY51" s="334">
        <v>0.20499999999999999</v>
      </c>
      <c r="NZ51" s="334">
        <v>22.37</v>
      </c>
      <c r="OA51" s="334">
        <v>16.75</v>
      </c>
      <c r="OB51" s="334">
        <v>0.20499999999999999</v>
      </c>
      <c r="OC51" s="334">
        <v>22.37</v>
      </c>
      <c r="OD51" s="334">
        <v>17.25</v>
      </c>
      <c r="OE51" s="334">
        <v>0.20499999999999999</v>
      </c>
      <c r="OF51" s="334">
        <v>22.37</v>
      </c>
      <c r="OG51" s="334">
        <v>16.875</v>
      </c>
      <c r="OH51" s="334">
        <v>0.20499999999999999</v>
      </c>
      <c r="OI51" s="334">
        <v>22.391999999999999</v>
      </c>
      <c r="OJ51" s="334">
        <v>15.25</v>
      </c>
      <c r="OK51" s="334">
        <v>0.2</v>
      </c>
      <c r="OL51" s="334">
        <v>22.398</v>
      </c>
      <c r="OM51" s="334">
        <v>15.875</v>
      </c>
      <c r="ON51" s="334">
        <v>0.2</v>
      </c>
      <c r="OO51" s="334">
        <v>22.411999999999999</v>
      </c>
      <c r="OP51" s="334">
        <v>12.875</v>
      </c>
      <c r="OQ51" s="334">
        <v>0.2</v>
      </c>
      <c r="OR51" s="334">
        <v>22.42</v>
      </c>
      <c r="OS51" s="334">
        <v>13.69</v>
      </c>
      <c r="OT51" s="334">
        <v>0.2</v>
      </c>
      <c r="OU51" s="334">
        <v>22.91</v>
      </c>
      <c r="OV51" s="334">
        <v>12.625</v>
      </c>
    </row>
    <row r="52" spans="1:412">
      <c r="B52" s="333" t="s">
        <v>244</v>
      </c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AW52" s="339"/>
      <c r="AX52" s="339"/>
      <c r="AY52" s="503"/>
      <c r="AZ52" s="503"/>
      <c r="BA52" s="503"/>
      <c r="BB52" s="503"/>
      <c r="BC52" s="503"/>
      <c r="BD52" s="503"/>
      <c r="BE52" s="503"/>
      <c r="BF52" s="503"/>
      <c r="BG52" s="503"/>
      <c r="BH52" s="503"/>
      <c r="BI52" s="503"/>
      <c r="BJ52" s="503"/>
      <c r="BK52" s="503"/>
      <c r="BL52" s="503"/>
      <c r="BM52" s="503"/>
      <c r="BN52" s="503"/>
      <c r="BO52" s="503"/>
      <c r="BP52" s="503"/>
      <c r="BQ52" s="504"/>
      <c r="BR52" s="504"/>
      <c r="BS52" s="504"/>
      <c r="BT52" s="504"/>
      <c r="BU52" s="504"/>
      <c r="BV52" s="504"/>
      <c r="BW52" s="504"/>
      <c r="BX52" s="504"/>
      <c r="BY52" s="504"/>
      <c r="BZ52" s="503"/>
      <c r="CA52" s="503"/>
      <c r="CB52" s="503"/>
      <c r="CC52" s="503"/>
      <c r="CD52" s="503"/>
      <c r="CE52" s="503"/>
      <c r="CF52" s="503"/>
      <c r="CG52" s="503"/>
      <c r="CH52" s="503"/>
      <c r="CI52" s="503"/>
      <c r="CJ52" s="503"/>
      <c r="CK52" s="503"/>
      <c r="CL52" s="503"/>
      <c r="CM52" s="503"/>
      <c r="CN52" s="503"/>
      <c r="CO52" s="503"/>
      <c r="CP52" s="503"/>
      <c r="CQ52" s="503"/>
      <c r="CR52" s="504"/>
      <c r="CS52" s="504"/>
      <c r="CT52" s="504"/>
      <c r="CU52" s="503"/>
      <c r="CV52" s="503"/>
      <c r="CW52" s="503"/>
      <c r="CX52" s="339"/>
      <c r="CY52" s="339"/>
      <c r="CZ52" s="339"/>
      <c r="DA52" s="339"/>
      <c r="DB52" s="339"/>
      <c r="DC52" s="339"/>
      <c r="DD52" s="339"/>
      <c r="DE52" s="339"/>
      <c r="DF52" s="339"/>
      <c r="DG52" s="339"/>
      <c r="DH52" s="339"/>
      <c r="DI52" s="339"/>
      <c r="DJ52" s="339"/>
      <c r="DK52" s="339"/>
      <c r="DL52" s="339"/>
      <c r="DM52" s="339"/>
      <c r="DN52" s="339"/>
      <c r="DO52" s="339"/>
      <c r="DP52" s="339"/>
      <c r="DQ52" s="339"/>
      <c r="DR52" s="339"/>
      <c r="DS52" s="339"/>
      <c r="DT52" s="339"/>
      <c r="DU52" s="339"/>
      <c r="DV52" s="339"/>
      <c r="DW52" s="339"/>
      <c r="DX52" s="339"/>
      <c r="DY52" s="339"/>
      <c r="DZ52" s="339"/>
      <c r="EA52" s="339"/>
      <c r="EB52" s="340"/>
      <c r="EC52" s="340"/>
      <c r="ED52" s="340"/>
      <c r="EE52" s="339"/>
      <c r="EF52" s="339"/>
      <c r="EG52" s="339"/>
      <c r="EH52" s="339"/>
      <c r="EI52" s="339"/>
      <c r="EJ52" s="339"/>
      <c r="EK52" s="339"/>
      <c r="EL52" s="339"/>
      <c r="EM52" s="339"/>
      <c r="EN52" s="339"/>
      <c r="EO52" s="339"/>
      <c r="EP52" s="339"/>
      <c r="EQ52" s="339"/>
      <c r="ER52" s="339"/>
      <c r="ES52" s="339"/>
      <c r="ET52" s="339"/>
      <c r="EU52" s="339"/>
      <c r="EV52" s="339"/>
      <c r="EW52" s="339"/>
      <c r="EX52" s="339"/>
      <c r="EY52" s="339"/>
      <c r="EZ52" s="339"/>
      <c r="FA52" s="339"/>
      <c r="FB52" s="339"/>
      <c r="FC52" s="339"/>
      <c r="FD52" s="339"/>
      <c r="FE52" s="339"/>
      <c r="FF52" s="339"/>
      <c r="FG52" s="339"/>
      <c r="FH52" s="342"/>
      <c r="FI52" s="339"/>
      <c r="FJ52" s="339"/>
      <c r="FK52" s="339"/>
      <c r="FL52" s="339"/>
      <c r="FM52" s="339"/>
      <c r="FN52" s="339"/>
      <c r="FO52" s="339"/>
      <c r="FP52" s="339"/>
      <c r="FQ52" s="339"/>
      <c r="FR52" s="339"/>
      <c r="FS52" s="339"/>
      <c r="FT52" s="339"/>
      <c r="FU52" s="339"/>
      <c r="FV52" s="339"/>
      <c r="FW52" s="339"/>
      <c r="FX52" s="339"/>
      <c r="FY52" s="339"/>
      <c r="FZ52" s="339"/>
      <c r="GA52" s="339"/>
      <c r="GB52" s="339"/>
      <c r="GC52" s="339"/>
      <c r="GD52" s="339"/>
      <c r="GE52" s="339"/>
      <c r="GF52" s="339"/>
      <c r="GG52" s="339"/>
      <c r="GH52" s="339"/>
      <c r="GI52" s="339"/>
      <c r="GJ52" s="339"/>
      <c r="GK52" s="339"/>
      <c r="GL52" s="339"/>
      <c r="GM52" s="339"/>
      <c r="GN52" s="339"/>
      <c r="GO52" s="339"/>
      <c r="GP52" s="339"/>
      <c r="GQ52" s="339"/>
      <c r="GR52" s="339"/>
      <c r="GS52" s="339"/>
      <c r="GT52" s="339"/>
      <c r="GU52" s="339"/>
      <c r="GV52" s="339"/>
      <c r="GW52" s="339"/>
      <c r="GX52" s="339"/>
      <c r="GY52" s="339"/>
      <c r="GZ52" s="339"/>
      <c r="HA52" s="339"/>
      <c r="HB52" s="339"/>
      <c r="HC52" s="339"/>
      <c r="HD52" s="339"/>
      <c r="HE52" s="339"/>
      <c r="HF52" s="339"/>
      <c r="HG52" s="339"/>
      <c r="HH52" s="339"/>
      <c r="HI52" s="505"/>
      <c r="HJ52" s="339"/>
      <c r="HK52" s="339"/>
      <c r="HL52" s="339"/>
      <c r="HM52" s="339"/>
      <c r="HN52" s="339"/>
      <c r="HO52" s="339"/>
      <c r="HP52" s="339"/>
      <c r="HQ52" s="339"/>
      <c r="HR52" s="339"/>
      <c r="HS52" s="339"/>
      <c r="HT52" s="339"/>
      <c r="HU52" s="339"/>
      <c r="HV52" s="339"/>
      <c r="HW52" s="339"/>
      <c r="HX52" s="506"/>
      <c r="HY52" s="513"/>
      <c r="HZ52" s="339"/>
      <c r="IA52" s="339"/>
      <c r="IB52" s="339"/>
      <c r="IC52" s="339"/>
      <c r="ID52" s="339"/>
      <c r="IE52" s="339"/>
      <c r="IF52" s="339"/>
      <c r="IG52" s="339"/>
      <c r="IH52" s="339"/>
      <c r="II52" s="339"/>
      <c r="IJ52" s="505"/>
      <c r="IK52" s="339"/>
      <c r="IL52" s="339"/>
      <c r="IM52" s="339"/>
      <c r="IN52" s="339"/>
      <c r="IO52" s="339"/>
      <c r="IP52" s="339"/>
      <c r="IQ52" s="339"/>
      <c r="IR52" s="339"/>
      <c r="IS52" s="339"/>
      <c r="IT52" s="339"/>
      <c r="IU52" s="339"/>
      <c r="IV52" s="339"/>
      <c r="IW52" s="339"/>
      <c r="IX52" s="339"/>
      <c r="IY52" s="339"/>
      <c r="IZ52" s="342"/>
      <c r="JA52" s="339"/>
      <c r="JB52" s="339"/>
      <c r="JC52" s="339"/>
      <c r="JD52" s="339"/>
      <c r="JE52" s="339"/>
      <c r="JF52" s="339"/>
      <c r="JG52" s="339"/>
      <c r="JH52" s="339"/>
      <c r="JI52" s="339"/>
      <c r="JJ52" s="339"/>
      <c r="JK52" s="339"/>
      <c r="JL52" s="339"/>
      <c r="JM52" s="339"/>
      <c r="JN52" s="339"/>
      <c r="JO52" s="339"/>
      <c r="JP52" s="339"/>
      <c r="JQ52" s="339"/>
      <c r="JR52" s="339"/>
      <c r="JS52" s="339"/>
      <c r="JT52" s="342"/>
      <c r="JU52" s="342"/>
      <c r="JV52" s="339"/>
      <c r="JW52" s="339"/>
      <c r="JX52" s="339"/>
      <c r="JY52" s="339"/>
      <c r="JZ52" s="339"/>
      <c r="KA52" s="339"/>
      <c r="KB52" s="339"/>
      <c r="KC52" s="339"/>
      <c r="KD52" s="339"/>
      <c r="KE52" s="339"/>
      <c r="KF52" s="339"/>
      <c r="KG52" s="339"/>
      <c r="KH52" s="339"/>
      <c r="KI52" s="339"/>
      <c r="KJ52" s="339"/>
      <c r="KK52" s="339"/>
      <c r="KL52" s="339"/>
      <c r="KM52" s="339"/>
      <c r="KN52" s="339"/>
      <c r="KO52" s="339"/>
      <c r="KP52" s="339"/>
      <c r="KQ52" s="339"/>
      <c r="KR52" s="339"/>
      <c r="KS52" s="339"/>
      <c r="KT52" s="339"/>
      <c r="KU52" s="339"/>
      <c r="KV52" s="339"/>
      <c r="KW52" s="334"/>
      <c r="KX52" s="334"/>
      <c r="KY52" s="334"/>
      <c r="KZ52" s="334"/>
      <c r="LA52" s="334"/>
      <c r="LB52" s="334"/>
      <c r="LC52" s="334"/>
      <c r="LD52" s="334"/>
      <c r="LE52" s="334"/>
      <c r="LF52" s="334"/>
      <c r="LG52" s="334"/>
      <c r="LH52" s="334"/>
      <c r="LI52" s="334"/>
      <c r="LJ52" s="334"/>
      <c r="LK52" s="334"/>
      <c r="LL52" s="334"/>
      <c r="LM52" s="334"/>
      <c r="LN52" s="334"/>
      <c r="LO52" s="334"/>
      <c r="LP52" s="334"/>
      <c r="LQ52" s="334"/>
      <c r="LR52" s="334"/>
      <c r="LS52" s="334"/>
      <c r="LT52" s="334"/>
      <c r="LU52" s="334"/>
      <c r="LV52" s="334"/>
      <c r="LW52" s="334"/>
      <c r="LX52" s="334"/>
      <c r="LY52" s="334"/>
      <c r="LZ52" s="334"/>
      <c r="MA52" s="334"/>
      <c r="MB52" s="334"/>
      <c r="MC52" s="334"/>
      <c r="MD52" s="334"/>
      <c r="ME52" s="334"/>
      <c r="MF52" s="334"/>
      <c r="MG52" s="334"/>
      <c r="MH52" s="334"/>
      <c r="MI52" s="334"/>
      <c r="MJ52" s="334"/>
      <c r="MK52" s="334"/>
      <c r="ML52" s="334"/>
      <c r="MM52" s="334"/>
      <c r="MN52" s="334"/>
      <c r="MO52" s="334"/>
      <c r="MP52" s="334"/>
      <c r="MQ52" s="334"/>
      <c r="MR52" s="334"/>
      <c r="MS52" s="334"/>
      <c r="MT52" s="334"/>
      <c r="MU52" s="334"/>
      <c r="MV52" s="334"/>
      <c r="MW52" s="334"/>
      <c r="MX52" s="334"/>
      <c r="MY52" s="334"/>
      <c r="MZ52" s="334"/>
      <c r="NA52" s="334"/>
      <c r="NB52" s="334">
        <v>56.195999999999998</v>
      </c>
      <c r="NC52" s="334">
        <v>22.375</v>
      </c>
      <c r="ND52" s="334">
        <v>0.31</v>
      </c>
      <c r="NE52" s="334">
        <v>56.195999999999998</v>
      </c>
      <c r="NF52" s="334">
        <v>21.125</v>
      </c>
      <c r="NG52" s="334">
        <v>0.31</v>
      </c>
      <c r="NH52" s="334">
        <v>55.661000000000001</v>
      </c>
      <c r="NI52" s="334">
        <v>23.375</v>
      </c>
      <c r="NJ52" s="334">
        <v>0.31</v>
      </c>
      <c r="NK52" s="334">
        <v>55.661000000000001</v>
      </c>
      <c r="NL52" s="334">
        <v>26.5</v>
      </c>
      <c r="NM52" s="334">
        <v>0.28000000000000003</v>
      </c>
      <c r="NN52" s="334">
        <v>55.661000000000001</v>
      </c>
      <c r="NO52" s="334">
        <v>26</v>
      </c>
      <c r="NP52" s="334">
        <v>0.28000000000000003</v>
      </c>
      <c r="NQ52" s="334">
        <v>55.566000000000003</v>
      </c>
      <c r="NR52" s="334">
        <v>23.875</v>
      </c>
      <c r="NS52" s="334">
        <v>0.28000000000000003</v>
      </c>
      <c r="NT52" s="334">
        <v>55.415999999999997</v>
      </c>
      <c r="NU52" s="334">
        <v>23.875</v>
      </c>
      <c r="NV52" s="334">
        <v>0.28000000000000003</v>
      </c>
      <c r="NW52" s="334">
        <v>54.945999999999998</v>
      </c>
      <c r="NX52" s="334">
        <v>20</v>
      </c>
      <c r="NY52" s="334">
        <v>0.27</v>
      </c>
      <c r="NZ52" s="334">
        <v>54.945999999999998</v>
      </c>
      <c r="OA52" s="334">
        <v>19</v>
      </c>
      <c r="OB52" s="334">
        <v>0.25</v>
      </c>
      <c r="OC52" s="334">
        <v>54.863</v>
      </c>
      <c r="OD52" s="334">
        <v>16.88</v>
      </c>
      <c r="OE52" s="334">
        <v>0.25</v>
      </c>
      <c r="OF52" s="334">
        <v>54.804000000000002</v>
      </c>
      <c r="OG52" s="334">
        <v>15.75</v>
      </c>
      <c r="OH52" s="334">
        <v>0.25</v>
      </c>
      <c r="OI52" s="334">
        <v>54.597000000000001</v>
      </c>
      <c r="OJ52" s="334">
        <v>17.5</v>
      </c>
      <c r="OK52" s="334">
        <v>0.25</v>
      </c>
      <c r="OL52" s="334">
        <v>54.564</v>
      </c>
      <c r="OM52" s="334">
        <v>17.88</v>
      </c>
      <c r="ON52" s="334">
        <v>0.22</v>
      </c>
      <c r="OO52" s="334">
        <v>54.530999999999999</v>
      </c>
      <c r="OP52" s="334">
        <v>15.75</v>
      </c>
      <c r="OQ52" s="334">
        <v>0.22</v>
      </c>
      <c r="OR52" s="334">
        <v>54.494999999999997</v>
      </c>
      <c r="OS52" s="334">
        <v>17.88</v>
      </c>
      <c r="OT52" s="334">
        <v>0.22</v>
      </c>
      <c r="OU52" s="334">
        <v>54.322000000000003</v>
      </c>
      <c r="OV52" s="334">
        <v>16.75</v>
      </c>
    </row>
    <row r="53" spans="1:412">
      <c r="A53" s="294" t="s">
        <v>70</v>
      </c>
      <c r="B53" s="335" t="s">
        <v>132</v>
      </c>
      <c r="C53" s="335">
        <v>737.77300000000002</v>
      </c>
      <c r="D53" s="335">
        <v>32.479999999999997</v>
      </c>
      <c r="E53" s="335">
        <v>0.25750000000000001</v>
      </c>
      <c r="F53" s="335">
        <v>737.74800000000005</v>
      </c>
      <c r="G53" s="335">
        <v>33.08</v>
      </c>
      <c r="H53" s="335">
        <v>0.25750000000000001</v>
      </c>
      <c r="I53" s="335">
        <v>737.51199999999994</v>
      </c>
      <c r="J53" s="335">
        <v>27.65</v>
      </c>
      <c r="K53" s="335">
        <v>0.25750000000000001</v>
      </c>
      <c r="L53" s="335">
        <v>737.12800000000004</v>
      </c>
      <c r="M53" s="335">
        <v>27.53</v>
      </c>
      <c r="N53" s="335">
        <v>0.25750000000000001</v>
      </c>
      <c r="O53" s="335">
        <v>737.10699999999997</v>
      </c>
      <c r="P53" s="335">
        <v>27.1</v>
      </c>
      <c r="Q53" s="335">
        <v>0.24</v>
      </c>
      <c r="R53" s="340">
        <v>737.07500000000005</v>
      </c>
      <c r="S53" s="340">
        <v>23.56</v>
      </c>
      <c r="T53" s="340">
        <v>0.24</v>
      </c>
      <c r="U53" s="340">
        <v>736.82899999999995</v>
      </c>
      <c r="V53" s="340">
        <v>26.46</v>
      </c>
      <c r="W53" s="340">
        <v>0.24</v>
      </c>
      <c r="X53" s="340">
        <v>736.02700000000004</v>
      </c>
      <c r="Y53" s="340">
        <v>27.79</v>
      </c>
      <c r="Z53" s="340">
        <v>0.24</v>
      </c>
      <c r="AA53" s="340">
        <v>736.24699999999996</v>
      </c>
      <c r="AB53" s="340">
        <v>29.22</v>
      </c>
      <c r="AC53" s="340">
        <v>0.22500000000000001</v>
      </c>
      <c r="AD53" s="340">
        <v>735.97699999999998</v>
      </c>
      <c r="AE53" s="340">
        <v>25.35</v>
      </c>
      <c r="AF53" s="340">
        <v>0.22500000000000001</v>
      </c>
      <c r="AG53" s="340">
        <v>735.50300000000004</v>
      </c>
      <c r="AH53" s="340">
        <v>27.13</v>
      </c>
      <c r="AI53" s="340">
        <v>0.22500000000000001</v>
      </c>
      <c r="AJ53" s="340">
        <v>762.90200000000004</v>
      </c>
      <c r="AK53" s="340">
        <v>28.56</v>
      </c>
      <c r="AL53" s="340">
        <v>0.2</v>
      </c>
      <c r="AM53" s="340">
        <v>767.73299999999995</v>
      </c>
      <c r="AN53" s="340">
        <v>30.06</v>
      </c>
      <c r="AO53" s="340">
        <v>0.41499999999999998</v>
      </c>
      <c r="AP53" s="340">
        <v>769.46600000000001</v>
      </c>
      <c r="AQ53" s="340">
        <v>27.88</v>
      </c>
      <c r="AR53" s="340">
        <v>0.41499999999999998</v>
      </c>
      <c r="AS53" s="340">
        <v>769.15899999999999</v>
      </c>
      <c r="AT53" s="340">
        <v>27.97</v>
      </c>
      <c r="AU53" s="340">
        <v>0.41499999999999998</v>
      </c>
      <c r="AV53" s="340">
        <v>768.59</v>
      </c>
      <c r="AW53" s="340">
        <v>28.84</v>
      </c>
      <c r="AX53" s="340">
        <v>0.41499999999999998</v>
      </c>
      <c r="AY53" s="503">
        <v>768.78599999999994</v>
      </c>
      <c r="AZ53" s="503">
        <v>28.2</v>
      </c>
      <c r="BA53" s="503">
        <v>0.41499999999999998</v>
      </c>
      <c r="BB53" s="504">
        <v>768.76800000000003</v>
      </c>
      <c r="BC53" s="504">
        <v>27.21</v>
      </c>
      <c r="BD53" s="504">
        <v>0.41499999999999998</v>
      </c>
      <c r="BE53" s="504">
        <v>767.94799999999998</v>
      </c>
      <c r="BF53" s="504">
        <v>25.84</v>
      </c>
      <c r="BG53" s="504">
        <v>0.41499999999999998</v>
      </c>
      <c r="BH53" s="504">
        <v>728.51199999999994</v>
      </c>
      <c r="BI53" s="504">
        <v>24.68</v>
      </c>
      <c r="BJ53" s="518">
        <v>0.41499999999999998</v>
      </c>
      <c r="BK53" s="504">
        <v>722.25900000000001</v>
      </c>
      <c r="BL53" s="504">
        <v>35.880000000000003</v>
      </c>
      <c r="BM53" s="504">
        <v>0.41249999999999998</v>
      </c>
      <c r="BN53" s="504">
        <v>721.78499999999997</v>
      </c>
      <c r="BO53" s="504">
        <v>31.49</v>
      </c>
      <c r="BP53" s="504">
        <v>0.41249999999999998</v>
      </c>
      <c r="BQ53" s="504">
        <v>721.02300000000002</v>
      </c>
      <c r="BR53" s="504">
        <v>31.01</v>
      </c>
      <c r="BS53" s="504">
        <v>0.41249999999999998</v>
      </c>
      <c r="BT53" s="504">
        <v>704.43899999999996</v>
      </c>
      <c r="BU53" s="504">
        <v>31.74</v>
      </c>
      <c r="BV53" s="507">
        <v>0.41249999999999998</v>
      </c>
      <c r="BW53" s="504">
        <v>703.73</v>
      </c>
      <c r="BX53" s="504">
        <v>28.33</v>
      </c>
      <c r="BY53" s="504">
        <v>0.41</v>
      </c>
      <c r="BZ53" s="504">
        <v>699.00599999999997</v>
      </c>
      <c r="CA53" s="504">
        <v>29.26</v>
      </c>
      <c r="CB53" s="504">
        <v>0.41</v>
      </c>
      <c r="CC53" s="503">
        <v>694.51400000000001</v>
      </c>
      <c r="CD53" s="503">
        <v>28.55</v>
      </c>
      <c r="CE53" s="503">
        <v>0.41</v>
      </c>
      <c r="CF53" s="503">
        <v>689.56299999999999</v>
      </c>
      <c r="CG53" s="503">
        <v>28.29</v>
      </c>
      <c r="CH53" s="508">
        <v>0.41</v>
      </c>
      <c r="CI53" s="503">
        <v>686.56299999999999</v>
      </c>
      <c r="CJ53" s="503">
        <v>30.95</v>
      </c>
      <c r="CK53" s="503">
        <v>0.39500000000000002</v>
      </c>
      <c r="CL53" s="503">
        <v>683.84100000000001</v>
      </c>
      <c r="CM53" s="503">
        <v>37.950000000000003</v>
      </c>
      <c r="CN53" s="503">
        <v>0.39500000000000002</v>
      </c>
      <c r="CO53" s="503">
        <v>680.88199999999995</v>
      </c>
      <c r="CP53" s="503">
        <v>38.659999999999997</v>
      </c>
      <c r="CQ53" s="503">
        <v>0.39500000000000002</v>
      </c>
      <c r="CR53" s="504">
        <v>677.59199999999998</v>
      </c>
      <c r="CS53" s="504">
        <v>37.39</v>
      </c>
      <c r="CT53" s="514">
        <v>0.39500000000000002</v>
      </c>
      <c r="CU53" s="503">
        <v>678.11400000000003</v>
      </c>
      <c r="CV53" s="503">
        <v>34.049999999999997</v>
      </c>
      <c r="CW53" s="503">
        <v>0.38</v>
      </c>
      <c r="CX53" s="339">
        <v>677.14499999999998</v>
      </c>
      <c r="CY53" s="339">
        <v>34.57</v>
      </c>
      <c r="CZ53" s="339">
        <v>0.38</v>
      </c>
      <c r="DA53" s="339">
        <v>675.44100000000003</v>
      </c>
      <c r="DB53" s="339">
        <v>37.75</v>
      </c>
      <c r="DC53" s="339">
        <v>0.38</v>
      </c>
      <c r="DD53" s="339">
        <v>669.81399999999996</v>
      </c>
      <c r="DE53" s="339">
        <v>38.07</v>
      </c>
      <c r="DF53" s="511">
        <v>0.38</v>
      </c>
      <c r="DG53" s="339">
        <v>670.76300000000003</v>
      </c>
      <c r="DH53" s="339">
        <v>34.130000000000003</v>
      </c>
      <c r="DI53" s="339">
        <v>0.3775</v>
      </c>
      <c r="DJ53" s="339">
        <v>668.41499999999996</v>
      </c>
      <c r="DK53" s="339">
        <v>32.89</v>
      </c>
      <c r="DL53" s="510">
        <v>0.3775</v>
      </c>
      <c r="DM53" s="339">
        <v>666.97400000000005</v>
      </c>
      <c r="DN53" s="339">
        <v>29.47</v>
      </c>
      <c r="DO53" s="339">
        <v>0.3725</v>
      </c>
      <c r="DP53" s="340">
        <v>665.20500000000004</v>
      </c>
      <c r="DQ53" s="340">
        <v>33.659999999999997</v>
      </c>
      <c r="DR53" s="340">
        <v>0.3725</v>
      </c>
      <c r="DS53" s="339">
        <v>664.43200000000002</v>
      </c>
      <c r="DT53" s="339">
        <v>36.33</v>
      </c>
      <c r="DU53" s="339">
        <v>0.3725</v>
      </c>
      <c r="DV53" s="339">
        <v>653.13199999999995</v>
      </c>
      <c r="DW53" s="339">
        <v>32.840000000000003</v>
      </c>
      <c r="DX53" s="339">
        <v>0.3725</v>
      </c>
      <c r="DY53" s="339">
        <v>630.74900000000002</v>
      </c>
      <c r="DZ53" s="339">
        <v>35.53</v>
      </c>
      <c r="EA53" s="339">
        <v>0.3725</v>
      </c>
      <c r="EB53" s="340">
        <v>608.98299999999995</v>
      </c>
      <c r="EC53" s="340">
        <v>33.14</v>
      </c>
      <c r="ED53" s="515">
        <v>0.3725</v>
      </c>
      <c r="EE53" s="339">
        <v>631.04600000000005</v>
      </c>
      <c r="EF53" s="339">
        <v>30.09</v>
      </c>
      <c r="EG53" s="339">
        <v>0.36749999999999999</v>
      </c>
      <c r="EH53" s="339">
        <v>589.83399999999995</v>
      </c>
      <c r="EI53" s="339">
        <v>30.38</v>
      </c>
      <c r="EJ53" s="339">
        <v>0.36749999999999999</v>
      </c>
      <c r="EK53" s="339">
        <v>582.65</v>
      </c>
      <c r="EL53" s="339">
        <v>30.26</v>
      </c>
      <c r="EM53" s="339">
        <v>0.36749999999999999</v>
      </c>
      <c r="EN53" s="340">
        <v>580.27599999999995</v>
      </c>
      <c r="EO53" s="340">
        <v>31.31</v>
      </c>
      <c r="EP53" s="515">
        <v>0.36749999999999999</v>
      </c>
      <c r="EQ53" s="339">
        <v>580.58500000000004</v>
      </c>
      <c r="ER53" s="339">
        <v>28.63</v>
      </c>
      <c r="ES53" s="339">
        <v>0.36</v>
      </c>
      <c r="ET53" s="339">
        <v>579.88099999999997</v>
      </c>
      <c r="EU53" s="339">
        <v>29.05</v>
      </c>
      <c r="EV53" s="339">
        <v>0.36</v>
      </c>
      <c r="EW53" s="339">
        <v>579.04100000000005</v>
      </c>
      <c r="EX53" s="339">
        <v>27.79</v>
      </c>
      <c r="EY53" s="339">
        <v>0.36</v>
      </c>
      <c r="EZ53" s="340">
        <v>550.39499999999998</v>
      </c>
      <c r="FA53" s="340">
        <v>28.26</v>
      </c>
      <c r="FB53" s="515">
        <v>0.36</v>
      </c>
      <c r="FC53" s="339">
        <v>577.59500000000003</v>
      </c>
      <c r="FD53" s="339">
        <v>29.42</v>
      </c>
      <c r="FE53" s="339">
        <v>0.35</v>
      </c>
      <c r="FF53" s="339">
        <v>561.65200000000004</v>
      </c>
      <c r="FG53" s="339">
        <v>28.54</v>
      </c>
      <c r="FH53" s="339">
        <v>0.35</v>
      </c>
      <c r="FI53" s="339">
        <v>484.13799999999998</v>
      </c>
      <c r="FJ53" s="339">
        <v>27.83</v>
      </c>
      <c r="FK53" s="339">
        <v>0.35</v>
      </c>
      <c r="FL53" s="339">
        <v>483.14499999999998</v>
      </c>
      <c r="FM53" s="339">
        <v>25.3</v>
      </c>
      <c r="FN53" s="339">
        <v>0.35</v>
      </c>
      <c r="FO53" s="339">
        <v>482.55200000000002</v>
      </c>
      <c r="FP53" s="339">
        <v>26.32</v>
      </c>
      <c r="FQ53" s="339">
        <v>0.35</v>
      </c>
      <c r="FR53" s="339">
        <v>381.89600000000002</v>
      </c>
      <c r="FS53" s="339">
        <v>27.23</v>
      </c>
      <c r="FT53" s="339">
        <v>0.35</v>
      </c>
      <c r="FU53" s="339">
        <v>377.71699999999998</v>
      </c>
      <c r="FV53" s="339">
        <v>24.95</v>
      </c>
      <c r="FW53" s="339">
        <v>0.35</v>
      </c>
      <c r="FX53" s="339">
        <v>376.91</v>
      </c>
      <c r="FY53" s="339">
        <v>27.71</v>
      </c>
      <c r="FZ53" s="339">
        <v>0.35</v>
      </c>
      <c r="GA53" s="339">
        <v>376.38400000000001</v>
      </c>
      <c r="GB53" s="339">
        <v>32.31</v>
      </c>
      <c r="GC53" s="339">
        <v>0.34499999999999997</v>
      </c>
      <c r="GD53" s="339">
        <v>375.88099999999997</v>
      </c>
      <c r="GE53" s="339">
        <v>30.34</v>
      </c>
      <c r="GF53" s="339">
        <v>0.34499999999999997</v>
      </c>
      <c r="GG53" s="339">
        <v>375.11200000000002</v>
      </c>
      <c r="GH53" s="339">
        <v>32.96</v>
      </c>
      <c r="GI53" s="339">
        <v>0.34499999999999997</v>
      </c>
      <c r="GJ53" s="339">
        <v>374.39</v>
      </c>
      <c r="GK53" s="339">
        <v>28.71</v>
      </c>
      <c r="GL53" s="339">
        <v>0.34499999999999997</v>
      </c>
      <c r="GM53" s="339">
        <v>374.291</v>
      </c>
      <c r="GN53" s="339">
        <v>30.69</v>
      </c>
      <c r="GO53" s="339">
        <v>0.33500000000000002</v>
      </c>
      <c r="GP53" s="339">
        <v>373.15800000000002</v>
      </c>
      <c r="GQ53" s="339">
        <v>37.020000000000003</v>
      </c>
      <c r="GR53" s="339">
        <v>0.33500000000000002</v>
      </c>
      <c r="GS53" s="339">
        <v>372.78199999999998</v>
      </c>
      <c r="GT53" s="339">
        <v>52.27</v>
      </c>
      <c r="GU53" s="339">
        <v>0.33500000000000002</v>
      </c>
      <c r="GV53" s="339">
        <v>380.56299999999999</v>
      </c>
      <c r="GW53" s="339">
        <v>45.92</v>
      </c>
      <c r="GX53" s="339">
        <v>0.33500000000000002</v>
      </c>
      <c r="GY53" s="339">
        <v>379.89600000000002</v>
      </c>
      <c r="GZ53" s="339">
        <v>52.09</v>
      </c>
      <c r="HA53" s="339">
        <v>0.30499999999999999</v>
      </c>
      <c r="HB53" s="339">
        <v>385.3</v>
      </c>
      <c r="HC53" s="339">
        <v>46.3</v>
      </c>
      <c r="HD53" s="339">
        <v>0.30499999999999999</v>
      </c>
      <c r="HE53" s="339">
        <v>384.79300000000001</v>
      </c>
      <c r="HF53" s="339">
        <v>46.79</v>
      </c>
      <c r="HG53" s="339">
        <v>0.30499999999999999</v>
      </c>
      <c r="HH53" s="339">
        <v>380.75400000000002</v>
      </c>
      <c r="HI53" s="505">
        <v>40.9</v>
      </c>
      <c r="HJ53" s="339">
        <v>0.30499999999999999</v>
      </c>
      <c r="HK53" s="339">
        <v>380.80599999999998</v>
      </c>
      <c r="HL53" s="339">
        <v>35.840000000000003</v>
      </c>
      <c r="HM53" s="339">
        <v>0.27500000000000002</v>
      </c>
      <c r="HN53" s="339">
        <v>380.14100000000002</v>
      </c>
      <c r="HO53" s="339">
        <v>32.9</v>
      </c>
      <c r="HP53" s="339">
        <v>0.27500000000000002</v>
      </c>
      <c r="HQ53" s="339">
        <v>379.83800000000002</v>
      </c>
      <c r="HR53" s="339">
        <v>32.299999999999997</v>
      </c>
      <c r="HS53" s="339">
        <v>0.27500000000000002</v>
      </c>
      <c r="HT53" s="339">
        <v>379.72300000000001</v>
      </c>
      <c r="HU53" s="339">
        <v>29.4</v>
      </c>
      <c r="HV53" s="339">
        <v>0.27500000000000002</v>
      </c>
      <c r="HW53" s="339">
        <v>379.66</v>
      </c>
      <c r="HX53" s="506">
        <v>29.4</v>
      </c>
      <c r="HY53" s="513">
        <f>1/4</f>
        <v>0.25</v>
      </c>
      <c r="HZ53" s="339">
        <v>379.25200000000001</v>
      </c>
      <c r="IA53" s="339">
        <v>32.33</v>
      </c>
      <c r="IB53" s="339">
        <v>0.25</v>
      </c>
      <c r="IC53" s="339">
        <v>378.12</v>
      </c>
      <c r="ID53" s="339">
        <v>26.69</v>
      </c>
      <c r="IE53" s="339">
        <v>0.23</v>
      </c>
      <c r="IF53" s="339">
        <v>377.17</v>
      </c>
      <c r="IG53" s="339">
        <v>27</v>
      </c>
      <c r="IH53" s="339">
        <v>0.23</v>
      </c>
      <c r="II53" s="339">
        <v>378</v>
      </c>
      <c r="IJ53" s="505">
        <v>26.64</v>
      </c>
      <c r="IK53" s="339">
        <v>0.20499999999999999</v>
      </c>
      <c r="IL53" s="339">
        <v>366</v>
      </c>
      <c r="IM53" s="339">
        <v>23.59</v>
      </c>
      <c r="IN53" s="339">
        <v>0.20499999999999999</v>
      </c>
      <c r="IO53" s="339">
        <v>354.3</v>
      </c>
      <c r="IP53" s="339">
        <v>22.95</v>
      </c>
      <c r="IQ53" s="339">
        <v>0.20499999999999999</v>
      </c>
      <c r="IR53" s="339">
        <v>353.7</v>
      </c>
      <c r="IS53" s="339">
        <v>22.8</v>
      </c>
      <c r="IT53" s="339">
        <v>0.20499999999999999</v>
      </c>
      <c r="IU53" s="339">
        <v>352.79</v>
      </c>
      <c r="IV53" s="339">
        <v>21.88</v>
      </c>
      <c r="IW53" s="339">
        <v>0.1925</v>
      </c>
      <c r="IX53" s="339">
        <v>343.78</v>
      </c>
      <c r="IY53" s="339">
        <v>20.48</v>
      </c>
      <c r="IZ53" s="339">
        <v>0.1925</v>
      </c>
      <c r="JA53" s="339">
        <v>333.01</v>
      </c>
      <c r="JB53" s="339">
        <v>21.5</v>
      </c>
      <c r="JC53" s="339">
        <v>0.1925</v>
      </c>
      <c r="JD53" s="339">
        <v>329.48</v>
      </c>
      <c r="JE53" s="339">
        <v>17.809999999999999</v>
      </c>
      <c r="JF53" s="339">
        <v>0.1925</v>
      </c>
      <c r="JG53" s="339">
        <v>303.13</v>
      </c>
      <c r="JH53" s="339">
        <v>17.34</v>
      </c>
      <c r="JI53" s="339">
        <v>0.18</v>
      </c>
      <c r="JJ53" s="339">
        <v>294.3</v>
      </c>
      <c r="JK53" s="339">
        <v>16.27</v>
      </c>
      <c r="JL53" s="339">
        <v>0.18</v>
      </c>
      <c r="JM53" s="339">
        <v>293.51</v>
      </c>
      <c r="JN53" s="339">
        <v>16.54</v>
      </c>
      <c r="JO53" s="339">
        <v>0.18</v>
      </c>
      <c r="JP53" s="339">
        <v>292.97000000000003</v>
      </c>
      <c r="JQ53" s="339">
        <v>19.809999999999999</v>
      </c>
      <c r="JR53" s="339">
        <v>0.18</v>
      </c>
      <c r="JS53" s="339">
        <v>292.48</v>
      </c>
      <c r="JT53" s="339">
        <v>17.43</v>
      </c>
      <c r="JU53" s="339">
        <v>0.13250000000000001</v>
      </c>
      <c r="JV53" s="339">
        <v>291.8</v>
      </c>
      <c r="JW53" s="339">
        <v>16.3</v>
      </c>
      <c r="JX53" s="339">
        <v>0.13250000000000001</v>
      </c>
      <c r="JY53" s="339">
        <v>290.63</v>
      </c>
      <c r="JZ53" s="339">
        <v>27.5</v>
      </c>
      <c r="KA53" s="339">
        <v>0.13250000000000001</v>
      </c>
      <c r="KB53" s="339">
        <v>289.81</v>
      </c>
      <c r="KC53" s="339">
        <v>21.98</v>
      </c>
      <c r="KD53" s="339">
        <v>0.13250000000000001</v>
      </c>
      <c r="KE53" s="339">
        <v>289.16000000000003</v>
      </c>
      <c r="KF53" s="339">
        <v>22.59</v>
      </c>
      <c r="KG53" s="339">
        <v>0.13250000000000001</v>
      </c>
      <c r="KH53" s="339">
        <v>288.27</v>
      </c>
      <c r="KI53" s="339">
        <v>20.88</v>
      </c>
      <c r="KJ53" s="339">
        <v>0.13250000000000001</v>
      </c>
      <c r="KK53" s="339">
        <v>287.39</v>
      </c>
      <c r="KL53" s="339">
        <v>10.97</v>
      </c>
      <c r="KM53" s="339">
        <v>0.13250000000000001</v>
      </c>
      <c r="KN53" s="339">
        <v>287.39</v>
      </c>
      <c r="KO53" s="339">
        <v>10.47</v>
      </c>
      <c r="KP53" s="339">
        <v>0.13250000000000001</v>
      </c>
      <c r="KQ53" s="339">
        <v>315.39999999999998</v>
      </c>
      <c r="KR53" s="339">
        <v>11.44</v>
      </c>
      <c r="KS53" s="339">
        <v>0.125</v>
      </c>
      <c r="KT53" s="339">
        <v>315.39</v>
      </c>
      <c r="KU53" s="339">
        <v>13.53</v>
      </c>
      <c r="KV53" s="339">
        <v>0.125</v>
      </c>
      <c r="KW53" s="334">
        <v>333.3</v>
      </c>
      <c r="KX53" s="334">
        <v>15.38</v>
      </c>
      <c r="KY53" s="334">
        <v>0.125</v>
      </c>
      <c r="KZ53" s="334">
        <v>333.3</v>
      </c>
      <c r="LA53" s="334">
        <v>12.38</v>
      </c>
      <c r="LB53" s="334">
        <v>0.125</v>
      </c>
      <c r="LC53" s="334">
        <v>166.65</v>
      </c>
      <c r="LD53" s="334">
        <v>13.94</v>
      </c>
      <c r="LE53" s="334">
        <v>0.125</v>
      </c>
      <c r="LF53" s="334">
        <v>166.73</v>
      </c>
      <c r="LG53" s="334">
        <v>25.875</v>
      </c>
      <c r="LH53" s="334">
        <v>0.125</v>
      </c>
      <c r="LI53" s="334">
        <v>166.73</v>
      </c>
      <c r="LJ53" s="334">
        <v>22.687999999999999</v>
      </c>
      <c r="LK53" s="334">
        <v>0.41799999999999998</v>
      </c>
      <c r="LL53" s="334">
        <v>164.96</v>
      </c>
      <c r="LM53" s="334">
        <v>23.425000000000001</v>
      </c>
      <c r="LN53" s="334">
        <v>0.41799999999999998</v>
      </c>
      <c r="LO53" s="334">
        <v>164.96100000000001</v>
      </c>
      <c r="LP53" s="334">
        <v>23.9375</v>
      </c>
      <c r="LQ53" s="334">
        <v>0.41799999999999998</v>
      </c>
      <c r="LR53" s="334">
        <v>163.19200000000001</v>
      </c>
      <c r="LS53" s="334">
        <v>21.875</v>
      </c>
      <c r="LT53" s="334">
        <v>0.41799999999999998</v>
      </c>
      <c r="LU53" s="334">
        <v>163.19200000000001</v>
      </c>
      <c r="LV53" s="334">
        <v>19.937999999999999</v>
      </c>
      <c r="LW53" s="334">
        <v>0.41799999999999998</v>
      </c>
      <c r="LX53" s="334">
        <v>161.36000000000001</v>
      </c>
      <c r="LY53" s="334">
        <v>20.25</v>
      </c>
      <c r="LZ53" s="334">
        <v>0.41799999999999998</v>
      </c>
      <c r="MA53" s="334">
        <v>161.36000000000001</v>
      </c>
      <c r="MB53" s="334">
        <v>23</v>
      </c>
      <c r="MC53" s="334">
        <v>0.41749999999999998</v>
      </c>
      <c r="MD53" s="334">
        <v>158.131</v>
      </c>
      <c r="ME53" s="334">
        <v>21.875</v>
      </c>
      <c r="MF53" s="334">
        <v>0.41749999999999998</v>
      </c>
      <c r="MG53" s="334">
        <v>158.131</v>
      </c>
      <c r="MH53" s="334">
        <v>23.625</v>
      </c>
      <c r="MI53" s="334">
        <v>0.41749999999999998</v>
      </c>
      <c r="MJ53" s="334">
        <v>158.131</v>
      </c>
      <c r="MK53" s="334">
        <v>24.375</v>
      </c>
      <c r="ML53" s="334">
        <v>0.41749999999999998</v>
      </c>
      <c r="MM53" s="334">
        <v>158.131</v>
      </c>
      <c r="MN53" s="334">
        <v>25</v>
      </c>
      <c r="MO53" s="334">
        <v>0.41749999999999998</v>
      </c>
      <c r="MP53" s="334">
        <v>156.16300000000001</v>
      </c>
      <c r="MQ53" s="334">
        <v>23.375</v>
      </c>
      <c r="MR53" s="334">
        <v>0.41749999999999998</v>
      </c>
      <c r="MS53" s="334">
        <v>156.16300000000001</v>
      </c>
      <c r="MT53" s="334">
        <v>19.5</v>
      </c>
      <c r="MU53" s="334">
        <v>0.41749999999999998</v>
      </c>
      <c r="MV53" s="334">
        <v>156.16300000000001</v>
      </c>
      <c r="MW53" s="334">
        <v>19.625</v>
      </c>
      <c r="MX53" s="334">
        <v>0.41749999999999998</v>
      </c>
      <c r="MY53" s="334">
        <v>152.21</v>
      </c>
      <c r="MZ53" s="334">
        <v>19</v>
      </c>
      <c r="NA53" s="334">
        <v>0.41749999999999998</v>
      </c>
      <c r="NB53" s="334">
        <v>152.21</v>
      </c>
      <c r="NC53" s="334">
        <v>20</v>
      </c>
      <c r="ND53" s="334">
        <v>0.41749999999999998</v>
      </c>
      <c r="NE53" s="334">
        <v>152.21</v>
      </c>
      <c r="NF53" s="334">
        <v>19.625</v>
      </c>
      <c r="NG53" s="334">
        <v>0.41749999999999998</v>
      </c>
      <c r="NH53" s="334">
        <v>151.88499999999999</v>
      </c>
      <c r="NI53" s="334">
        <v>23</v>
      </c>
      <c r="NJ53" s="334">
        <v>0.41749999999999998</v>
      </c>
      <c r="NK53" s="334">
        <v>151.88499999999999</v>
      </c>
      <c r="NL53" s="334">
        <v>27</v>
      </c>
      <c r="NM53" s="334">
        <v>0.41249999999999998</v>
      </c>
      <c r="NN53" s="334">
        <v>151.88499999999999</v>
      </c>
      <c r="NO53" s="334">
        <v>30.25</v>
      </c>
      <c r="NP53" s="334">
        <v>0.41199999999999998</v>
      </c>
      <c r="NQ53" s="334">
        <v>151.88499999999999</v>
      </c>
      <c r="NR53" s="334">
        <v>29.375</v>
      </c>
      <c r="NS53" s="334">
        <v>0.41199999999999998</v>
      </c>
      <c r="NT53" s="334">
        <v>151.88499999999999</v>
      </c>
      <c r="NU53" s="334">
        <v>29.875</v>
      </c>
      <c r="NV53" s="334">
        <v>0.41199999999999998</v>
      </c>
      <c r="NW53" s="334">
        <v>151.65899999999999</v>
      </c>
      <c r="NX53" s="334">
        <v>27.25</v>
      </c>
      <c r="NY53" s="334">
        <v>0.4</v>
      </c>
      <c r="NZ53" s="334">
        <v>151.65899999999999</v>
      </c>
      <c r="OA53" s="334">
        <v>27.5</v>
      </c>
      <c r="OB53" s="334">
        <v>0.4</v>
      </c>
      <c r="OC53" s="334">
        <v>151.65899999999999</v>
      </c>
      <c r="OD53" s="334">
        <v>25.88</v>
      </c>
      <c r="OE53" s="334">
        <v>0.4</v>
      </c>
      <c r="OF53" s="334">
        <v>151.65799999999999</v>
      </c>
      <c r="OG53" s="334">
        <v>24.19</v>
      </c>
      <c r="OH53" s="334">
        <v>0.39</v>
      </c>
      <c r="OI53" s="334">
        <v>151.38200000000001</v>
      </c>
      <c r="OJ53" s="334">
        <v>26.31</v>
      </c>
      <c r="OK53" s="334">
        <v>0.39</v>
      </c>
      <c r="OL53" s="334">
        <v>151.346</v>
      </c>
      <c r="OM53" s="334">
        <v>24</v>
      </c>
      <c r="ON53" s="334">
        <v>0.39</v>
      </c>
      <c r="OO53" s="334">
        <v>151.33000000000001</v>
      </c>
      <c r="OP53" s="334">
        <v>21.81</v>
      </c>
      <c r="OQ53" s="334">
        <v>0.39</v>
      </c>
      <c r="OR53" s="334">
        <v>151.31200000000001</v>
      </c>
      <c r="OS53" s="334">
        <v>22.38</v>
      </c>
      <c r="OT53" s="334">
        <v>0.37</v>
      </c>
      <c r="OU53" s="334">
        <v>150.92400000000001</v>
      </c>
      <c r="OV53" s="334">
        <v>21.88</v>
      </c>
    </row>
    <row r="54" spans="1:412">
      <c r="A54" s="294" t="s">
        <v>29</v>
      </c>
      <c r="B54" s="335" t="s">
        <v>133</v>
      </c>
      <c r="C54" s="335">
        <v>113.729</v>
      </c>
      <c r="D54" s="335">
        <v>84.77</v>
      </c>
      <c r="E54" s="335">
        <v>0.89500000000000002</v>
      </c>
      <c r="F54" s="335">
        <v>113.69499999999999</v>
      </c>
      <c r="G54" s="335">
        <v>88.59</v>
      </c>
      <c r="H54" s="335">
        <v>0.88</v>
      </c>
      <c r="I54" s="335">
        <v>113.621</v>
      </c>
      <c r="J54" s="335">
        <v>76.38</v>
      </c>
      <c r="K54" s="335">
        <v>0.88</v>
      </c>
      <c r="L54" s="335">
        <v>113.53400000000001</v>
      </c>
      <c r="M54" s="335">
        <v>74.73</v>
      </c>
      <c r="N54" s="335">
        <v>0.88</v>
      </c>
      <c r="O54" s="335">
        <v>113.464</v>
      </c>
      <c r="P54" s="335">
        <v>71.84</v>
      </c>
      <c r="Q54" s="335">
        <v>0.88</v>
      </c>
      <c r="R54" s="340">
        <v>113.411</v>
      </c>
      <c r="S54" s="340">
        <v>73.680000000000007</v>
      </c>
      <c r="T54" s="340">
        <v>0.86499999999999999</v>
      </c>
      <c r="U54" s="340">
        <v>113.358</v>
      </c>
      <c r="V54" s="340">
        <v>81.459999999999994</v>
      </c>
      <c r="W54" s="340">
        <v>0.86499999999999999</v>
      </c>
      <c r="X54" s="340">
        <v>113.196</v>
      </c>
      <c r="Y54" s="340">
        <v>79.239999999999995</v>
      </c>
      <c r="Z54" s="340">
        <v>0.86499999999999999</v>
      </c>
      <c r="AA54" s="340">
        <v>113.211</v>
      </c>
      <c r="AB54" s="340">
        <v>76.040000000000006</v>
      </c>
      <c r="AC54" s="340">
        <v>0.86499999999999999</v>
      </c>
      <c r="AD54" s="340">
        <v>113.172</v>
      </c>
      <c r="AE54" s="340">
        <v>64.510000000000005</v>
      </c>
      <c r="AF54" s="340">
        <v>0.85</v>
      </c>
      <c r="AG54" s="340">
        <v>113.102</v>
      </c>
      <c r="AH54" s="340">
        <v>73.12</v>
      </c>
      <c r="AI54" s="340">
        <v>0.85</v>
      </c>
      <c r="AJ54" s="340">
        <v>112.91</v>
      </c>
      <c r="AK54" s="340">
        <v>78.099999999999994</v>
      </c>
      <c r="AL54" s="340">
        <v>0.85</v>
      </c>
      <c r="AM54" s="340">
        <v>112.923</v>
      </c>
      <c r="AN54" s="340">
        <v>70.59</v>
      </c>
      <c r="AO54" s="340">
        <v>0.85</v>
      </c>
      <c r="AP54" s="340">
        <v>112.88200000000001</v>
      </c>
      <c r="AQ54" s="340">
        <v>72.36</v>
      </c>
      <c r="AR54" s="340">
        <v>0.83</v>
      </c>
      <c r="AS54" s="340">
        <v>112.82899999999999</v>
      </c>
      <c r="AT54" s="340">
        <v>81.97</v>
      </c>
      <c r="AU54" s="340">
        <v>0.83</v>
      </c>
      <c r="AV54" s="340">
        <v>112.666</v>
      </c>
      <c r="AW54" s="340">
        <v>81.349999999999994</v>
      </c>
      <c r="AX54" s="340">
        <v>0.83</v>
      </c>
      <c r="AY54" s="503">
        <v>112.679</v>
      </c>
      <c r="AZ54" s="503">
        <v>79.95</v>
      </c>
      <c r="BA54" s="503">
        <v>0.83</v>
      </c>
      <c r="BB54" s="504">
        <v>112.63800000000001</v>
      </c>
      <c r="BC54" s="504">
        <v>74.55</v>
      </c>
      <c r="BD54" s="504">
        <v>0.78249999999999997</v>
      </c>
      <c r="BE54" s="504">
        <v>112.59399999999999</v>
      </c>
      <c r="BF54" s="504">
        <v>73.290000000000006</v>
      </c>
      <c r="BG54" s="504">
        <v>0.78249999999999997</v>
      </c>
      <c r="BH54" s="504">
        <v>112.442818</v>
      </c>
      <c r="BI54" s="504">
        <v>75.790000000000006</v>
      </c>
      <c r="BJ54" s="504">
        <v>0.78249999999999997</v>
      </c>
      <c r="BK54" s="504">
        <v>112.46299999999999</v>
      </c>
      <c r="BL54" s="504">
        <v>89.93</v>
      </c>
      <c r="BM54" s="504">
        <v>0.78249999999999997</v>
      </c>
      <c r="BN54" s="504">
        <v>112.337</v>
      </c>
      <c r="BO54" s="504">
        <v>97.07</v>
      </c>
      <c r="BP54" s="504">
        <v>0.73750000000000004</v>
      </c>
      <c r="BQ54" s="504">
        <v>112.337</v>
      </c>
      <c r="BR54" s="504">
        <v>94.09</v>
      </c>
      <c r="BS54" s="504">
        <v>0.73750000000000004</v>
      </c>
      <c r="BT54" s="504">
        <v>112.129017</v>
      </c>
      <c r="BU54" s="504">
        <v>95.58</v>
      </c>
      <c r="BV54" s="504">
        <v>0.73750000000000004</v>
      </c>
      <c r="BW54" s="504">
        <v>112.148</v>
      </c>
      <c r="BX54" s="504">
        <v>85.2</v>
      </c>
      <c r="BY54" s="507">
        <v>0.73750000000000004</v>
      </c>
      <c r="BZ54" s="504">
        <v>112.11499999999999</v>
      </c>
      <c r="CA54" s="504">
        <v>79.180000000000007</v>
      </c>
      <c r="CB54" s="504">
        <v>0.69499999999999995</v>
      </c>
      <c r="CC54" s="503">
        <v>112.017</v>
      </c>
      <c r="CD54" s="503">
        <v>80.56</v>
      </c>
      <c r="CE54" s="503">
        <v>0.69499999999999995</v>
      </c>
      <c r="CF54" s="503">
        <v>111.943</v>
      </c>
      <c r="CG54" s="503">
        <v>79.8</v>
      </c>
      <c r="CH54" s="503">
        <v>0.69499999999999995</v>
      </c>
      <c r="CI54" s="503">
        <v>111.83499999999999</v>
      </c>
      <c r="CJ54" s="503">
        <v>85.18</v>
      </c>
      <c r="CK54" s="508">
        <v>0.69499999999999995</v>
      </c>
      <c r="CL54" s="503">
        <v>111.797</v>
      </c>
      <c r="CM54" s="503">
        <v>84.56</v>
      </c>
      <c r="CN54" s="503">
        <v>0.65500000000000003</v>
      </c>
      <c r="CO54" s="503">
        <v>111.72799999999999</v>
      </c>
      <c r="CP54" s="503">
        <v>85.16</v>
      </c>
      <c r="CQ54" s="503">
        <v>0.65500000000000003</v>
      </c>
      <c r="CR54" s="504">
        <v>111.40872899999999</v>
      </c>
      <c r="CS54" s="504">
        <v>83.38</v>
      </c>
      <c r="CT54" s="504">
        <v>0.65500000000000003</v>
      </c>
      <c r="CU54" s="503">
        <v>111.416</v>
      </c>
      <c r="CV54" s="503">
        <v>78.03</v>
      </c>
      <c r="CW54" s="509">
        <v>0.65500000000000003</v>
      </c>
      <c r="CX54" s="339">
        <v>111.36799999999999</v>
      </c>
      <c r="CY54" s="339">
        <v>75.989999999999995</v>
      </c>
      <c r="CZ54" s="339">
        <v>0.625</v>
      </c>
      <c r="DA54" s="339">
        <v>111.29600000000001</v>
      </c>
      <c r="DB54" s="339">
        <v>81.06</v>
      </c>
      <c r="DC54" s="339">
        <v>0.625</v>
      </c>
      <c r="DD54" s="339">
        <v>111.025944</v>
      </c>
      <c r="DE54" s="339">
        <v>75.069999999999993</v>
      </c>
      <c r="DF54" s="339">
        <v>0.625</v>
      </c>
      <c r="DG54" s="339">
        <v>111.036</v>
      </c>
      <c r="DH54" s="339">
        <v>64.48</v>
      </c>
      <c r="DI54" s="339">
        <v>0.625</v>
      </c>
      <c r="DJ54" s="339">
        <v>110.986</v>
      </c>
      <c r="DK54" s="339">
        <v>64.14</v>
      </c>
      <c r="DL54" s="339">
        <v>0.59499999999999997</v>
      </c>
      <c r="DM54" s="339">
        <v>110.916</v>
      </c>
      <c r="DN54" s="339">
        <v>56.89</v>
      </c>
      <c r="DO54" s="339">
        <v>0.59499999999999997</v>
      </c>
      <c r="DP54" s="340">
        <v>110.765</v>
      </c>
      <c r="DQ54" s="340">
        <v>63.75</v>
      </c>
      <c r="DR54" s="340">
        <v>0.59499999999999997</v>
      </c>
      <c r="DS54" s="339">
        <v>110.68600000000001</v>
      </c>
      <c r="DT54" s="339">
        <v>68.31</v>
      </c>
      <c r="DU54" s="510">
        <v>0.59499999999999997</v>
      </c>
      <c r="DV54" s="339">
        <v>110.565</v>
      </c>
      <c r="DW54" s="339">
        <v>54.64</v>
      </c>
      <c r="DX54" s="339">
        <v>0.5675</v>
      </c>
      <c r="DY54" s="339">
        <v>110.25700000000001</v>
      </c>
      <c r="DZ54" s="339">
        <v>57.84</v>
      </c>
      <c r="EA54" s="339">
        <v>0.5675</v>
      </c>
      <c r="EB54" s="340">
        <v>109.98416</v>
      </c>
      <c r="EC54" s="340">
        <v>54.66</v>
      </c>
      <c r="ED54" s="340">
        <v>0.5675</v>
      </c>
      <c r="EE54" s="339">
        <v>110.009</v>
      </c>
      <c r="EF54" s="339">
        <v>52.92</v>
      </c>
      <c r="EG54" s="510">
        <v>0.5675</v>
      </c>
      <c r="EH54" s="339">
        <v>109.962</v>
      </c>
      <c r="EI54" s="339">
        <v>54.74</v>
      </c>
      <c r="EJ54" s="339">
        <v>0.54500000000000004</v>
      </c>
      <c r="EK54" s="339">
        <v>109.83199999999999</v>
      </c>
      <c r="EL54" s="339">
        <v>55.47</v>
      </c>
      <c r="EM54" s="339">
        <v>0.54500000000000004</v>
      </c>
      <c r="EN54" s="340">
        <v>109.510296</v>
      </c>
      <c r="EO54" s="340">
        <v>57.89</v>
      </c>
      <c r="EP54" s="340">
        <v>0.54500000000000004</v>
      </c>
      <c r="EQ54" s="339">
        <v>109.55500000000001</v>
      </c>
      <c r="ER54" s="339">
        <v>50.98</v>
      </c>
      <c r="ES54" s="510">
        <v>0.54500000000000004</v>
      </c>
      <c r="ET54" s="339">
        <v>109.491</v>
      </c>
      <c r="EU54" s="339">
        <v>52.8</v>
      </c>
      <c r="EV54" s="339">
        <v>0.52500000000000002</v>
      </c>
      <c r="EW54" s="339">
        <v>109.29900000000001</v>
      </c>
      <c r="EX54" s="339">
        <v>51.704999999999998</v>
      </c>
      <c r="EY54" s="339">
        <v>0.52500000000000002</v>
      </c>
      <c r="EZ54" s="340">
        <v>109.05284</v>
      </c>
      <c r="FA54" s="340">
        <v>47.9</v>
      </c>
      <c r="FB54" s="340">
        <v>0.52500000000000002</v>
      </c>
      <c r="FC54" s="339">
        <v>109.128</v>
      </c>
      <c r="FD54" s="339">
        <v>48.18</v>
      </c>
      <c r="FE54" s="339">
        <v>0.52500000000000002</v>
      </c>
      <c r="FF54" s="339">
        <v>109.044</v>
      </c>
      <c r="FG54" s="339">
        <v>42.94</v>
      </c>
      <c r="FH54" s="339">
        <v>0.52500000000000002</v>
      </c>
      <c r="FI54" s="339">
        <v>108.83199999999999</v>
      </c>
      <c r="FJ54" s="339">
        <v>44.58</v>
      </c>
      <c r="FK54" s="339">
        <v>0.52500000000000002</v>
      </c>
      <c r="FL54" s="339">
        <v>108.73</v>
      </c>
      <c r="FM54" s="339">
        <v>42.79</v>
      </c>
      <c r="FN54" s="339">
        <v>0.52500000000000002</v>
      </c>
      <c r="FO54" s="339">
        <v>108.63200000000001</v>
      </c>
      <c r="FP54" s="339">
        <v>41.45</v>
      </c>
      <c r="FQ54" s="339">
        <v>0.52500000000000002</v>
      </c>
      <c r="FR54" s="339">
        <v>107.355</v>
      </c>
      <c r="FS54" s="339">
        <v>41.31</v>
      </c>
      <c r="FT54" s="339">
        <v>0.52500000000000002</v>
      </c>
      <c r="FU54" s="339">
        <v>101.474</v>
      </c>
      <c r="FV54" s="339">
        <v>36.36</v>
      </c>
      <c r="FW54" s="339">
        <v>0.52500000000000002</v>
      </c>
      <c r="FX54" s="339">
        <v>101.32</v>
      </c>
      <c r="FY54" s="339">
        <v>37.729999999999997</v>
      </c>
      <c r="FZ54" s="339">
        <v>0.52500000000000002</v>
      </c>
      <c r="GA54" s="339">
        <v>101.223</v>
      </c>
      <c r="GB54" s="339">
        <v>36.58</v>
      </c>
      <c r="GC54" s="339">
        <v>0.52500000000000002</v>
      </c>
      <c r="GD54" s="339">
        <v>101.10899999999999</v>
      </c>
      <c r="GE54" s="339">
        <v>32.82</v>
      </c>
      <c r="GF54" s="339">
        <v>0.52500000000000002</v>
      </c>
      <c r="GG54" s="339">
        <v>100.986</v>
      </c>
      <c r="GH54" s="339">
        <v>30.15</v>
      </c>
      <c r="GI54" s="339">
        <v>0.52500000000000002</v>
      </c>
      <c r="GJ54" s="339">
        <v>100.84</v>
      </c>
      <c r="GK54" s="339">
        <v>26.56</v>
      </c>
      <c r="GL54" s="339">
        <v>0.52500000000000002</v>
      </c>
      <c r="GM54" s="339">
        <v>100.75</v>
      </c>
      <c r="GN54" s="339">
        <v>32.130000000000003</v>
      </c>
      <c r="GO54" s="339">
        <v>0.52500000000000002</v>
      </c>
      <c r="GP54" s="339">
        <v>100.65300000000001</v>
      </c>
      <c r="GQ54" s="339">
        <v>34.409999999999997</v>
      </c>
      <c r="GR54" s="339">
        <v>0.52500000000000002</v>
      </c>
      <c r="GS54" s="339">
        <v>100.521</v>
      </c>
      <c r="GT54" s="339">
        <v>30.77</v>
      </c>
      <c r="GU54" s="339">
        <v>0.52500000000000002</v>
      </c>
      <c r="GV54" s="339">
        <v>100.255807</v>
      </c>
      <c r="GW54" s="339">
        <v>35.08</v>
      </c>
      <c r="GX54" s="339">
        <v>0.52500000000000002</v>
      </c>
      <c r="GY54" s="339">
        <v>100.324</v>
      </c>
      <c r="GZ54" s="339">
        <v>42.41</v>
      </c>
      <c r="HA54" s="339">
        <v>0.52500000000000002</v>
      </c>
      <c r="HB54" s="339">
        <v>100.229</v>
      </c>
      <c r="HC54" s="339">
        <v>39.51</v>
      </c>
      <c r="HD54" s="339">
        <v>0.52500000000000002</v>
      </c>
      <c r="HE54" s="339">
        <v>100.045</v>
      </c>
      <c r="HF54" s="339">
        <v>39.85</v>
      </c>
      <c r="HG54" s="339">
        <v>0.52500000000000002</v>
      </c>
      <c r="HH54" s="339">
        <v>99.417007999999996</v>
      </c>
      <c r="HI54" s="505">
        <v>48.25</v>
      </c>
      <c r="HJ54" s="339">
        <v>0.52500000000000002</v>
      </c>
      <c r="HK54" s="339">
        <v>99.491</v>
      </c>
      <c r="HL54" s="339">
        <v>50.69</v>
      </c>
      <c r="HM54" s="512">
        <v>0.52500000000000002</v>
      </c>
      <c r="HN54" s="339">
        <v>99.221000000000004</v>
      </c>
      <c r="HO54" s="339">
        <v>45.05</v>
      </c>
      <c r="HP54" s="339">
        <v>0.5</v>
      </c>
      <c r="HQ54" s="339">
        <v>99.114999999999995</v>
      </c>
      <c r="HR54" s="339">
        <v>39.909999999999997</v>
      </c>
      <c r="HS54" s="339">
        <v>0.5</v>
      </c>
      <c r="HT54" s="339">
        <v>98.981999999999999</v>
      </c>
      <c r="HU54" s="339">
        <v>39.1</v>
      </c>
      <c r="HV54" s="339">
        <v>0.5</v>
      </c>
      <c r="HW54" s="339">
        <v>98.697000000000003</v>
      </c>
      <c r="HX54" s="506">
        <v>41.35</v>
      </c>
      <c r="HY54" s="513">
        <f>2/4</f>
        <v>0.5</v>
      </c>
      <c r="HZ54" s="339">
        <v>96.191999999999993</v>
      </c>
      <c r="IA54" s="339">
        <v>44.08</v>
      </c>
      <c r="IB54" s="339">
        <v>0.47499999999999998</v>
      </c>
      <c r="IC54" s="339">
        <v>91.962000000000003</v>
      </c>
      <c r="ID54" s="339">
        <v>44.45</v>
      </c>
      <c r="IE54" s="339">
        <v>0.47499999999999998</v>
      </c>
      <c r="IF54" s="339">
        <v>91.356999999999999</v>
      </c>
      <c r="IG54" s="339">
        <v>42.51</v>
      </c>
      <c r="IH54" s="339">
        <v>0.47499999999999998</v>
      </c>
      <c r="II54" s="339">
        <v>91.356999999999999</v>
      </c>
      <c r="IJ54" s="505">
        <v>44.41</v>
      </c>
      <c r="IK54" s="339">
        <v>0.47499999999999998</v>
      </c>
      <c r="IL54" s="339">
        <v>91.314999999999998</v>
      </c>
      <c r="IM54" s="339">
        <v>41.5</v>
      </c>
      <c r="IN54" s="339">
        <v>0.45</v>
      </c>
      <c r="IO54" s="339">
        <v>91.293999999999997</v>
      </c>
      <c r="IP54" s="339">
        <v>40.39</v>
      </c>
      <c r="IQ54" s="339">
        <v>0.45</v>
      </c>
      <c r="IR54" s="339">
        <v>91.272999999999996</v>
      </c>
      <c r="IS54" s="339">
        <v>39.35</v>
      </c>
      <c r="IT54" s="339">
        <v>0.45</v>
      </c>
      <c r="IU54" s="339">
        <v>91.271000000000001</v>
      </c>
      <c r="IV54" s="339">
        <v>40.020000000000003</v>
      </c>
      <c r="IW54" s="339">
        <v>0.45</v>
      </c>
      <c r="IX54" s="339">
        <v>91.257999999999996</v>
      </c>
      <c r="IY54" s="339">
        <v>35.5</v>
      </c>
      <c r="IZ54" s="339">
        <v>0.42499999999999999</v>
      </c>
      <c r="JA54" s="339">
        <v>91.256</v>
      </c>
      <c r="JB54" s="339">
        <v>37.450000000000003</v>
      </c>
      <c r="JC54" s="339">
        <v>0.42499999999999999</v>
      </c>
      <c r="JD54" s="339">
        <v>85.302000000000007</v>
      </c>
      <c r="JE54" s="339">
        <v>33.24</v>
      </c>
      <c r="JF54" s="339">
        <v>0.42499999999999999</v>
      </c>
      <c r="JG54" s="339">
        <v>84.768000000000001</v>
      </c>
      <c r="JH54" s="339">
        <v>34.090000000000003</v>
      </c>
      <c r="JI54" s="339">
        <v>0.42499999999999999</v>
      </c>
      <c r="JJ54" s="339">
        <v>84.793999999999997</v>
      </c>
      <c r="JK54" s="339">
        <v>27.76</v>
      </c>
      <c r="JL54" s="339">
        <v>0.4</v>
      </c>
      <c r="JM54" s="339">
        <v>84.734999999999999</v>
      </c>
      <c r="JN54" s="339">
        <v>39.5</v>
      </c>
      <c r="JO54" s="339">
        <v>0.4</v>
      </c>
      <c r="JP54" s="339">
        <v>84.679000000000002</v>
      </c>
      <c r="JQ54" s="339">
        <v>45.35</v>
      </c>
      <c r="JR54" s="339">
        <v>0.4</v>
      </c>
      <c r="JS54" s="339">
        <v>84.721000000000004</v>
      </c>
      <c r="JT54" s="339">
        <v>41.85</v>
      </c>
      <c r="JU54" s="339">
        <v>0.4</v>
      </c>
      <c r="JV54" s="339">
        <v>84.744</v>
      </c>
      <c r="JW54" s="339">
        <v>39.700000000000003</v>
      </c>
      <c r="JX54" s="339">
        <v>0.375</v>
      </c>
      <c r="JY54" s="339">
        <v>84.727000000000004</v>
      </c>
      <c r="JZ54" s="339">
        <v>47.4</v>
      </c>
      <c r="KA54" s="339">
        <v>0.375</v>
      </c>
      <c r="KB54" s="339">
        <v>84.727000000000004</v>
      </c>
      <c r="KC54" s="339">
        <v>45.87</v>
      </c>
      <c r="KD54" s="339">
        <v>0.375</v>
      </c>
      <c r="KE54" s="339">
        <v>84.745000000000005</v>
      </c>
      <c r="KF54" s="339">
        <v>47.625</v>
      </c>
      <c r="KG54" s="339">
        <v>0.375</v>
      </c>
      <c r="KH54" s="339">
        <v>84.73</v>
      </c>
      <c r="KI54" s="339">
        <v>50.875</v>
      </c>
      <c r="KJ54" s="339">
        <v>0.35</v>
      </c>
      <c r="KK54" s="339">
        <v>84.727999999999994</v>
      </c>
      <c r="KL54" s="339">
        <v>33.875</v>
      </c>
      <c r="KM54" s="339">
        <v>0.35</v>
      </c>
      <c r="KN54" s="339">
        <v>84.722999999999999</v>
      </c>
      <c r="KO54" s="339">
        <v>28.1875</v>
      </c>
      <c r="KP54" s="339">
        <v>0.35</v>
      </c>
      <c r="KQ54" s="339">
        <v>84.758516</v>
      </c>
      <c r="KR54" s="339">
        <v>30.5625</v>
      </c>
      <c r="KS54" s="339">
        <v>0.35</v>
      </c>
      <c r="KT54" s="339">
        <v>84.716175000000007</v>
      </c>
      <c r="KU54" s="339">
        <v>36.375</v>
      </c>
      <c r="KV54" s="339">
        <v>0.32500000000000001</v>
      </c>
      <c r="KW54" s="334">
        <v>84.77</v>
      </c>
      <c r="KX54" s="334">
        <v>40.25</v>
      </c>
      <c r="KY54" s="334">
        <v>0.32500000000000001</v>
      </c>
      <c r="KZ54" s="334">
        <v>84.77</v>
      </c>
      <c r="LA54" s="334">
        <v>36.375</v>
      </c>
      <c r="LB54" s="334">
        <v>0.32500000000000001</v>
      </c>
      <c r="LC54" s="334">
        <v>84.77</v>
      </c>
      <c r="LD54" s="334">
        <v>42.375</v>
      </c>
      <c r="LE54" s="334">
        <v>0.32500000000000001</v>
      </c>
      <c r="LF54" s="334">
        <v>84.79</v>
      </c>
      <c r="LG54" s="334">
        <v>44.813000000000002</v>
      </c>
      <c r="LH54" s="334">
        <v>0.3</v>
      </c>
      <c r="LI54" s="334">
        <v>84.79</v>
      </c>
      <c r="LJ54" s="334">
        <v>45</v>
      </c>
      <c r="LK54" s="334">
        <v>0.3</v>
      </c>
      <c r="LL54" s="334">
        <v>84.75</v>
      </c>
      <c r="LM54" s="334">
        <v>44.424999999999997</v>
      </c>
      <c r="LN54" s="334">
        <v>0.3</v>
      </c>
      <c r="LO54" s="334">
        <v>84.748000000000005</v>
      </c>
      <c r="LP54" s="334">
        <v>42.375</v>
      </c>
      <c r="LQ54" s="334">
        <v>0.3</v>
      </c>
      <c r="LR54" s="334">
        <v>87.418000000000006</v>
      </c>
      <c r="LS54" s="334">
        <v>33.625</v>
      </c>
      <c r="LT54" s="334">
        <v>0.27500000000000002</v>
      </c>
      <c r="LU54" s="334">
        <v>87.418000000000006</v>
      </c>
      <c r="LV54" s="334">
        <v>30.062999999999999</v>
      </c>
      <c r="LW54" s="334">
        <v>0.27500000000000002</v>
      </c>
      <c r="LX54" s="334">
        <v>87.415000000000006</v>
      </c>
      <c r="LY54" s="334">
        <v>30.125</v>
      </c>
      <c r="LZ54" s="334">
        <v>0.27500000000000002</v>
      </c>
      <c r="MA54" s="334">
        <v>87.415000000000006</v>
      </c>
      <c r="MB54" s="334">
        <v>31.75</v>
      </c>
      <c r="MC54" s="334">
        <v>0.27500000000000002</v>
      </c>
      <c r="MD54" s="334">
        <v>87.415000000000006</v>
      </c>
      <c r="ME54" s="334">
        <v>29.625</v>
      </c>
      <c r="MF54" s="334">
        <v>0.25</v>
      </c>
      <c r="MG54" s="334">
        <v>87.415000000000006</v>
      </c>
      <c r="MH54" s="334">
        <v>30.375</v>
      </c>
      <c r="MI54" s="334">
        <v>0.25</v>
      </c>
      <c r="MJ54" s="334">
        <v>87.415000000000006</v>
      </c>
      <c r="MK54" s="334">
        <v>28.875</v>
      </c>
      <c r="ML54" s="334">
        <v>0.25</v>
      </c>
      <c r="MM54" s="334">
        <v>87.415000000000006</v>
      </c>
      <c r="MN54" s="334">
        <v>28.75</v>
      </c>
      <c r="MO54" s="334">
        <v>0.25</v>
      </c>
      <c r="MP54" s="334">
        <v>87.272000000000006</v>
      </c>
      <c r="MQ54" s="334">
        <v>26.25</v>
      </c>
      <c r="MR54" s="334">
        <v>0.22500000000000001</v>
      </c>
      <c r="MS54" s="334">
        <v>87.272000000000006</v>
      </c>
      <c r="MT54" s="334">
        <v>24.5</v>
      </c>
      <c r="MU54" s="334">
        <v>0.22500000000000001</v>
      </c>
      <c r="MV54" s="334">
        <v>87.272000000000006</v>
      </c>
      <c r="MW54" s="334">
        <v>20.875</v>
      </c>
      <c r="MX54" s="334">
        <v>0.22500000000000001</v>
      </c>
      <c r="MY54" s="334">
        <v>87.272000000000006</v>
      </c>
      <c r="MZ54" s="334">
        <v>19.625</v>
      </c>
      <c r="NA54" s="334">
        <v>0.22500000000000001</v>
      </c>
      <c r="NB54" s="334">
        <v>87.272000000000006</v>
      </c>
      <c r="NC54" s="334">
        <v>17.875</v>
      </c>
      <c r="ND54" s="334">
        <v>0.2</v>
      </c>
      <c r="NE54" s="334">
        <v>87.272000000000006</v>
      </c>
      <c r="NF54" s="334">
        <v>16.375</v>
      </c>
      <c r="NG54" s="334">
        <v>0.2</v>
      </c>
      <c r="NH54" s="334">
        <v>87.272000000000006</v>
      </c>
      <c r="NI54" s="334">
        <v>20</v>
      </c>
      <c r="NJ54" s="334">
        <v>0.2</v>
      </c>
      <c r="NK54" s="334">
        <v>87.272000000000006</v>
      </c>
      <c r="NL54" s="334">
        <v>22.375</v>
      </c>
      <c r="NM54" s="334">
        <v>0.2</v>
      </c>
      <c r="NN54" s="334">
        <v>87.272000000000006</v>
      </c>
      <c r="NO54" s="334">
        <v>24.375</v>
      </c>
      <c r="NP54" s="334">
        <v>0</v>
      </c>
      <c r="NQ54" s="334">
        <v>87.192999999999998</v>
      </c>
      <c r="NR54" s="334">
        <v>23.125</v>
      </c>
      <c r="NS54" s="334">
        <v>0</v>
      </c>
      <c r="NT54" s="334">
        <v>87.16</v>
      </c>
      <c r="NU54" s="334">
        <v>21.625</v>
      </c>
      <c r="NV54" s="334">
        <v>0</v>
      </c>
      <c r="NW54" s="334">
        <v>87.037999999999997</v>
      </c>
      <c r="NX54" s="334">
        <v>20.38</v>
      </c>
      <c r="NY54" s="334">
        <v>0</v>
      </c>
      <c r="NZ54" s="334">
        <v>87.037999999999997</v>
      </c>
      <c r="OA54" s="334">
        <v>19.38</v>
      </c>
      <c r="OB54" s="334">
        <v>0</v>
      </c>
      <c r="OC54" s="334">
        <v>87.031000000000006</v>
      </c>
      <c r="OD54" s="334">
        <v>18.13</v>
      </c>
      <c r="OE54" s="334">
        <v>0</v>
      </c>
      <c r="OF54" s="334">
        <v>87.02</v>
      </c>
      <c r="OG54" s="334">
        <v>17.63</v>
      </c>
      <c r="OH54" s="334">
        <v>0</v>
      </c>
      <c r="OI54" s="334">
        <v>86.936999999999998</v>
      </c>
      <c r="OJ54" s="334">
        <v>17.38</v>
      </c>
      <c r="OK54" s="334">
        <v>0</v>
      </c>
      <c r="OL54" s="334">
        <v>86.930999999999997</v>
      </c>
      <c r="OM54" s="334">
        <v>13.13</v>
      </c>
      <c r="ON54" s="334">
        <v>0</v>
      </c>
      <c r="OO54" s="334">
        <v>86.918999999999997</v>
      </c>
      <c r="OP54" s="334">
        <v>9.8800000000000008</v>
      </c>
      <c r="OQ54" s="334">
        <v>0</v>
      </c>
      <c r="OR54" s="334">
        <v>86.879000000000005</v>
      </c>
      <c r="OS54" s="334">
        <v>10.75</v>
      </c>
      <c r="OT54" s="334">
        <v>0</v>
      </c>
      <c r="OU54" s="334">
        <v>86.77</v>
      </c>
      <c r="OV54" s="334">
        <v>10</v>
      </c>
    </row>
    <row r="55" spans="1:412">
      <c r="B55" s="333" t="s">
        <v>245</v>
      </c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504"/>
      <c r="AZ55" s="504"/>
      <c r="BA55" s="504"/>
      <c r="BB55" s="503"/>
      <c r="BC55" s="503"/>
      <c r="BD55" s="503"/>
      <c r="BE55" s="503"/>
      <c r="BF55" s="503"/>
      <c r="BG55" s="503"/>
      <c r="BH55" s="503"/>
      <c r="BI55" s="503"/>
      <c r="BJ55" s="503"/>
      <c r="BK55" s="503"/>
      <c r="BL55" s="503"/>
      <c r="BM55" s="503"/>
      <c r="BN55" s="503"/>
      <c r="BO55" s="503"/>
      <c r="BP55" s="503"/>
      <c r="BQ55" s="504"/>
      <c r="BR55" s="504"/>
      <c r="BS55" s="504"/>
      <c r="BT55" s="504"/>
      <c r="BU55" s="504"/>
      <c r="BV55" s="504"/>
      <c r="BW55" s="504"/>
      <c r="BX55" s="504"/>
      <c r="BY55" s="504"/>
      <c r="BZ55" s="503"/>
      <c r="CA55" s="503"/>
      <c r="CB55" s="503"/>
      <c r="CC55" s="503"/>
      <c r="CD55" s="503"/>
      <c r="CE55" s="503"/>
      <c r="CF55" s="503"/>
      <c r="CG55" s="503"/>
      <c r="CH55" s="503"/>
      <c r="CI55" s="503"/>
      <c r="CJ55" s="503"/>
      <c r="CK55" s="503"/>
      <c r="CL55" s="503"/>
      <c r="CM55" s="503"/>
      <c r="CN55" s="503"/>
      <c r="CO55" s="503"/>
      <c r="CP55" s="503"/>
      <c r="CQ55" s="503"/>
      <c r="CR55" s="504"/>
      <c r="CS55" s="504"/>
      <c r="CT55" s="504"/>
      <c r="CU55" s="503"/>
      <c r="CV55" s="503"/>
      <c r="CW55" s="503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39"/>
      <c r="DI55" s="339"/>
      <c r="DJ55" s="339"/>
      <c r="DK55" s="339"/>
      <c r="DL55" s="339"/>
      <c r="DM55" s="339"/>
      <c r="DN55" s="339"/>
      <c r="DO55" s="339"/>
      <c r="DP55" s="339"/>
      <c r="DQ55" s="339"/>
      <c r="DR55" s="339"/>
      <c r="DS55" s="339"/>
      <c r="DT55" s="339"/>
      <c r="DU55" s="339"/>
      <c r="DV55" s="339"/>
      <c r="DW55" s="339"/>
      <c r="DX55" s="339"/>
      <c r="DY55" s="339"/>
      <c r="DZ55" s="339"/>
      <c r="EA55" s="339"/>
      <c r="EB55" s="340"/>
      <c r="EC55" s="340"/>
      <c r="ED55" s="340"/>
      <c r="EE55" s="339"/>
      <c r="EF55" s="339"/>
      <c r="EG55" s="339"/>
      <c r="EH55" s="339"/>
      <c r="EI55" s="339"/>
      <c r="EJ55" s="339"/>
      <c r="EK55" s="339"/>
      <c r="EL55" s="339"/>
      <c r="EM55" s="339"/>
      <c r="EN55" s="339"/>
      <c r="EO55" s="339"/>
      <c r="EP55" s="339"/>
      <c r="EQ55" s="339"/>
      <c r="ER55" s="339"/>
      <c r="ES55" s="339"/>
      <c r="ET55" s="339"/>
      <c r="EU55" s="339"/>
      <c r="EV55" s="339"/>
      <c r="EW55" s="339"/>
      <c r="EX55" s="339"/>
      <c r="EY55" s="339"/>
      <c r="EZ55" s="339"/>
      <c r="FA55" s="339"/>
      <c r="FB55" s="339"/>
      <c r="FC55" s="339"/>
      <c r="FD55" s="339"/>
      <c r="FE55" s="339"/>
      <c r="FF55" s="339"/>
      <c r="FG55" s="339"/>
      <c r="FH55" s="342"/>
      <c r="FI55" s="339"/>
      <c r="FJ55" s="339"/>
      <c r="FK55" s="339"/>
      <c r="FL55" s="339"/>
      <c r="FM55" s="339"/>
      <c r="FN55" s="339"/>
      <c r="FO55" s="339"/>
      <c r="FP55" s="339"/>
      <c r="FQ55" s="339"/>
      <c r="FR55" s="339"/>
      <c r="FS55" s="339"/>
      <c r="FT55" s="339"/>
      <c r="FU55" s="339"/>
      <c r="FV55" s="339"/>
      <c r="FW55" s="339"/>
      <c r="FX55" s="339"/>
      <c r="FY55" s="339"/>
      <c r="FZ55" s="339"/>
      <c r="GA55" s="339"/>
      <c r="GB55" s="339"/>
      <c r="GC55" s="339"/>
      <c r="GD55" s="339"/>
      <c r="GE55" s="339"/>
      <c r="GF55" s="339"/>
      <c r="GG55" s="339"/>
      <c r="GH55" s="339"/>
      <c r="GI55" s="339"/>
      <c r="GJ55" s="339"/>
      <c r="GK55" s="339"/>
      <c r="GL55" s="339"/>
      <c r="GM55" s="339"/>
      <c r="GN55" s="339"/>
      <c r="GO55" s="339"/>
      <c r="GP55" s="339"/>
      <c r="GQ55" s="339"/>
      <c r="GR55" s="339"/>
      <c r="GS55" s="339"/>
      <c r="GT55" s="339"/>
      <c r="GU55" s="339"/>
      <c r="GV55" s="339"/>
      <c r="GW55" s="339"/>
      <c r="GX55" s="339"/>
      <c r="GY55" s="339"/>
      <c r="GZ55" s="339"/>
      <c r="HA55" s="339"/>
      <c r="HB55" s="339"/>
      <c r="HC55" s="339"/>
      <c r="HD55" s="339"/>
      <c r="HE55" s="339"/>
      <c r="HF55" s="339"/>
      <c r="HG55" s="339"/>
      <c r="HH55" s="339"/>
      <c r="HI55" s="505"/>
      <c r="HJ55" s="339"/>
      <c r="HK55" s="339"/>
      <c r="HL55" s="339"/>
      <c r="HM55" s="339"/>
      <c r="HN55" s="339"/>
      <c r="HO55" s="339"/>
      <c r="HP55" s="339"/>
      <c r="HQ55" s="339"/>
      <c r="HR55" s="339"/>
      <c r="HS55" s="339"/>
      <c r="HT55" s="339"/>
      <c r="HU55" s="339"/>
      <c r="HV55" s="339"/>
      <c r="HW55" s="339"/>
      <c r="HX55" s="506"/>
      <c r="HY55" s="513"/>
      <c r="HZ55" s="339"/>
      <c r="IA55" s="339"/>
      <c r="IB55" s="339"/>
      <c r="IC55" s="339"/>
      <c r="ID55" s="339"/>
      <c r="IE55" s="339"/>
      <c r="IF55" s="339"/>
      <c r="IG55" s="339"/>
      <c r="IH55" s="339"/>
      <c r="II55" s="339"/>
      <c r="IJ55" s="505"/>
      <c r="IK55" s="339"/>
      <c r="IL55" s="339"/>
      <c r="IM55" s="339"/>
      <c r="IN55" s="339"/>
      <c r="IO55" s="339"/>
      <c r="IP55" s="339"/>
      <c r="IQ55" s="339"/>
      <c r="IR55" s="339"/>
      <c r="IS55" s="339"/>
      <c r="IT55" s="339"/>
      <c r="IU55" s="339"/>
      <c r="IV55" s="339"/>
      <c r="IW55" s="339"/>
      <c r="IX55" s="339"/>
      <c r="IY55" s="339"/>
      <c r="IZ55" s="342"/>
      <c r="JA55" s="339"/>
      <c r="JB55" s="339"/>
      <c r="JC55" s="339"/>
      <c r="JD55" s="339"/>
      <c r="JE55" s="339"/>
      <c r="JF55" s="339"/>
      <c r="JG55" s="339"/>
      <c r="JH55" s="339"/>
      <c r="JI55" s="339"/>
      <c r="JJ55" s="339"/>
      <c r="JK55" s="339"/>
      <c r="JL55" s="339"/>
      <c r="JM55" s="339"/>
      <c r="JN55" s="339"/>
      <c r="JO55" s="339"/>
      <c r="JP55" s="339"/>
      <c r="JQ55" s="339"/>
      <c r="JR55" s="339"/>
      <c r="JS55" s="339"/>
      <c r="JT55" s="342"/>
      <c r="JU55" s="342"/>
      <c r="JV55" s="339"/>
      <c r="JW55" s="339"/>
      <c r="JX55" s="339"/>
      <c r="JY55" s="339"/>
      <c r="JZ55" s="339"/>
      <c r="KA55" s="339"/>
      <c r="KB55" s="339"/>
      <c r="KC55" s="339"/>
      <c r="KD55" s="339"/>
      <c r="KE55" s="339"/>
      <c r="KF55" s="339"/>
      <c r="KG55" s="339"/>
      <c r="KH55" s="339"/>
      <c r="KI55" s="339"/>
      <c r="KJ55" s="339"/>
      <c r="KK55" s="339"/>
      <c r="KL55" s="339"/>
      <c r="KM55" s="339"/>
      <c r="KN55" s="339"/>
      <c r="KO55" s="339"/>
      <c r="KP55" s="339"/>
      <c r="KQ55" s="339"/>
      <c r="KR55" s="339"/>
      <c r="KS55" s="339"/>
      <c r="KT55" s="339"/>
      <c r="KU55" s="339"/>
      <c r="KV55" s="339"/>
      <c r="KW55" s="334">
        <v>358</v>
      </c>
      <c r="KX55" s="334">
        <v>64.25</v>
      </c>
      <c r="KY55" s="334">
        <v>0.25</v>
      </c>
      <c r="KZ55" s="334">
        <v>299.5</v>
      </c>
      <c r="LA55" s="334">
        <v>64.25</v>
      </c>
      <c r="LB55" s="334">
        <v>0.25</v>
      </c>
      <c r="LC55" s="334">
        <v>299.5</v>
      </c>
      <c r="LD55" s="334">
        <v>57.063000000000002</v>
      </c>
      <c r="LE55" s="334">
        <v>0.25</v>
      </c>
      <c r="LF55" s="334">
        <v>299.5</v>
      </c>
      <c r="LG55" s="334">
        <v>53.5</v>
      </c>
      <c r="LH55" s="334">
        <v>0.23799999999999999</v>
      </c>
      <c r="LI55" s="334"/>
      <c r="LJ55" s="334"/>
      <c r="LK55" s="334"/>
      <c r="LL55" s="334">
        <v>299.5</v>
      </c>
      <c r="LM55" s="334">
        <v>46.375</v>
      </c>
      <c r="LN55" s="334">
        <v>0.23799999999999999</v>
      </c>
      <c r="LO55" s="334">
        <v>299.49700000000001</v>
      </c>
      <c r="LP55" s="334">
        <v>41.5625</v>
      </c>
      <c r="LQ55" s="334">
        <v>0.23799999999999999</v>
      </c>
      <c r="LR55" s="334">
        <v>299.49700000000001</v>
      </c>
      <c r="LS55" s="334">
        <v>38.5</v>
      </c>
      <c r="LT55" s="334">
        <v>0.22500000000000001</v>
      </c>
      <c r="LU55" s="334">
        <v>51.375</v>
      </c>
      <c r="LV55" s="334">
        <v>39.938000000000002</v>
      </c>
      <c r="LW55" s="334">
        <v>0.32</v>
      </c>
      <c r="LX55" s="334">
        <v>51.158000000000001</v>
      </c>
      <c r="LY55" s="334">
        <v>34.875</v>
      </c>
      <c r="LZ55" s="334">
        <v>0.32</v>
      </c>
      <c r="MA55" s="334">
        <v>51.158000000000001</v>
      </c>
      <c r="MB55" s="334">
        <v>42</v>
      </c>
      <c r="MC55" s="334">
        <v>0.32</v>
      </c>
      <c r="MD55" s="334">
        <v>50.591000000000001</v>
      </c>
      <c r="ME55" s="334">
        <v>38.375</v>
      </c>
      <c r="MF55" s="334">
        <v>0.32</v>
      </c>
      <c r="MG55" s="334">
        <v>50.591000000000001</v>
      </c>
      <c r="MH55" s="334">
        <v>30.875</v>
      </c>
      <c r="MI55" s="334">
        <v>0.32</v>
      </c>
      <c r="MJ55" s="334">
        <v>50.591000000000001</v>
      </c>
      <c r="MK55" s="334">
        <v>30.75</v>
      </c>
      <c r="ML55" s="334">
        <v>0.32</v>
      </c>
      <c r="MM55" s="334">
        <v>50.591000000000001</v>
      </c>
      <c r="MN55" s="334">
        <v>29.125</v>
      </c>
      <c r="MO55" s="334">
        <v>0.3</v>
      </c>
      <c r="MP55" s="334">
        <v>50.591000000000001</v>
      </c>
      <c r="MQ55" s="334">
        <v>25.625</v>
      </c>
      <c r="MR55" s="334">
        <v>0.3</v>
      </c>
      <c r="MS55" s="334">
        <v>50.591000000000001</v>
      </c>
      <c r="MT55" s="334">
        <v>22.375</v>
      </c>
      <c r="MU55" s="334">
        <v>0.3</v>
      </c>
      <c r="MV55" s="334">
        <v>50.591000000000001</v>
      </c>
      <c r="MW55" s="334">
        <v>20.875</v>
      </c>
      <c r="MX55" s="334">
        <v>0.3</v>
      </c>
      <c r="MY55" s="334">
        <v>50.145000000000003</v>
      </c>
      <c r="MZ55" s="334">
        <v>19.25</v>
      </c>
      <c r="NA55" s="334">
        <v>0.3</v>
      </c>
      <c r="NB55" s="334">
        <v>50.145000000000003</v>
      </c>
      <c r="NC55" s="334">
        <v>16.875</v>
      </c>
      <c r="ND55" s="334">
        <v>0.3</v>
      </c>
      <c r="NE55" s="334">
        <v>50.145000000000003</v>
      </c>
      <c r="NF55" s="334">
        <v>17</v>
      </c>
      <c r="NG55" s="334">
        <v>0.3</v>
      </c>
      <c r="NH55" s="334">
        <v>47.459000000000003</v>
      </c>
      <c r="NI55" s="334">
        <v>17.5</v>
      </c>
      <c r="NJ55" s="334">
        <v>0.3</v>
      </c>
      <c r="NK55" s="334">
        <v>47.459000000000003</v>
      </c>
      <c r="NL55" s="334">
        <v>20.5</v>
      </c>
      <c r="NM55" s="334">
        <v>0.3</v>
      </c>
      <c r="NN55" s="334">
        <v>47.459000000000003</v>
      </c>
      <c r="NO55" s="334">
        <v>22.25</v>
      </c>
      <c r="NP55" s="334">
        <v>0.3</v>
      </c>
      <c r="NQ55" s="334">
        <v>47.353999999999999</v>
      </c>
      <c r="NR55" s="334">
        <v>22.125</v>
      </c>
      <c r="NS55" s="334">
        <v>0.3</v>
      </c>
      <c r="NT55" s="334">
        <v>47.244</v>
      </c>
      <c r="NU55" s="334">
        <v>21</v>
      </c>
      <c r="NV55" s="334">
        <v>0.3</v>
      </c>
      <c r="NW55" s="334">
        <v>46.819000000000003</v>
      </c>
      <c r="NX55" s="334">
        <v>18.38</v>
      </c>
      <c r="NY55" s="334">
        <v>0.3</v>
      </c>
      <c r="NZ55" s="334">
        <v>46.819000000000003</v>
      </c>
      <c r="OA55" s="334">
        <v>19</v>
      </c>
      <c r="OB55" s="334">
        <v>0.3</v>
      </c>
      <c r="OC55" s="334">
        <v>46.744999999999997</v>
      </c>
      <c r="OD55" s="334">
        <v>16.13</v>
      </c>
      <c r="OE55" s="334">
        <v>0.3</v>
      </c>
      <c r="OF55" s="334">
        <v>46.671999999999997</v>
      </c>
      <c r="OG55" s="334">
        <v>15.13</v>
      </c>
      <c r="OH55" s="334">
        <v>0.3</v>
      </c>
      <c r="OI55" s="334">
        <v>46.332999999999998</v>
      </c>
      <c r="OJ55" s="334">
        <v>15.88</v>
      </c>
      <c r="OK55" s="334">
        <v>0.3</v>
      </c>
      <c r="OL55" s="334">
        <v>46.27</v>
      </c>
      <c r="OM55" s="334">
        <v>17</v>
      </c>
      <c r="ON55" s="334">
        <v>0.3</v>
      </c>
      <c r="OO55" s="334">
        <v>46.209000000000003</v>
      </c>
      <c r="OP55" s="334">
        <v>17.5</v>
      </c>
      <c r="OQ55" s="334">
        <v>0.3</v>
      </c>
      <c r="OR55" s="334">
        <v>46.149000000000001</v>
      </c>
      <c r="OS55" s="334">
        <v>18.25</v>
      </c>
      <c r="OT55" s="334">
        <v>0.3</v>
      </c>
      <c r="OU55" s="334">
        <v>46.133000000000003</v>
      </c>
      <c r="OV55" s="334">
        <v>18</v>
      </c>
    </row>
    <row r="56" spans="1:412">
      <c r="A56" s="294" t="s">
        <v>28</v>
      </c>
      <c r="B56" s="333" t="s">
        <v>134</v>
      </c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526"/>
      <c r="AZ56" s="526"/>
      <c r="BA56" s="526"/>
      <c r="BB56" s="503"/>
      <c r="BC56" s="503"/>
      <c r="BD56" s="503"/>
      <c r="BE56" s="503"/>
      <c r="BF56" s="503"/>
      <c r="BG56" s="503"/>
      <c r="BH56" s="503"/>
      <c r="BI56" s="503"/>
      <c r="BJ56" s="503"/>
      <c r="BK56" s="503"/>
      <c r="BL56" s="503"/>
      <c r="BM56" s="503"/>
      <c r="BN56" s="503"/>
      <c r="BO56" s="503"/>
      <c r="BP56" s="503"/>
      <c r="BQ56" s="504"/>
      <c r="BR56" s="504"/>
      <c r="BS56" s="504"/>
      <c r="BT56" s="504"/>
      <c r="BU56" s="504"/>
      <c r="BV56" s="504"/>
      <c r="BW56" s="504"/>
      <c r="BX56" s="504"/>
      <c r="BY56" s="504"/>
      <c r="BZ56" s="503"/>
      <c r="CA56" s="503"/>
      <c r="CB56" s="503"/>
      <c r="CC56" s="503"/>
      <c r="CD56" s="503"/>
      <c r="CE56" s="503"/>
      <c r="CF56" s="503"/>
      <c r="CG56" s="503"/>
      <c r="CH56" s="503"/>
      <c r="CI56" s="503"/>
      <c r="CJ56" s="503"/>
      <c r="CK56" s="503"/>
      <c r="CL56" s="503"/>
      <c r="CM56" s="503"/>
      <c r="CN56" s="503"/>
      <c r="CO56" s="503"/>
      <c r="CP56" s="503"/>
      <c r="CQ56" s="503"/>
      <c r="CR56" s="504"/>
      <c r="CS56" s="504"/>
      <c r="CT56" s="504"/>
      <c r="CU56" s="527"/>
      <c r="CV56" s="527"/>
      <c r="CW56" s="527"/>
      <c r="CX56" s="519"/>
      <c r="CY56" s="519"/>
      <c r="CZ56" s="519"/>
      <c r="DA56" s="519"/>
      <c r="DB56" s="519"/>
      <c r="DC56" s="519"/>
      <c r="DD56" s="339"/>
      <c r="DE56" s="339"/>
      <c r="DF56" s="339"/>
      <c r="DG56" s="339">
        <v>254</v>
      </c>
      <c r="DH56" s="339">
        <v>26.01</v>
      </c>
      <c r="DI56" s="339">
        <v>0.27</v>
      </c>
      <c r="DJ56" s="339">
        <v>253</v>
      </c>
      <c r="DK56" s="339">
        <v>24.22</v>
      </c>
      <c r="DL56" s="339">
        <v>0.27</v>
      </c>
      <c r="DM56" s="339">
        <v>253</v>
      </c>
      <c r="DN56" s="339">
        <v>26.94</v>
      </c>
      <c r="DO56" s="339">
        <v>0.27</v>
      </c>
      <c r="DP56" s="340">
        <v>252</v>
      </c>
      <c r="DQ56" s="340">
        <v>26.83</v>
      </c>
      <c r="DR56" s="340">
        <v>0.27</v>
      </c>
      <c r="DS56" s="339">
        <v>252</v>
      </c>
      <c r="DT56" s="339">
        <v>26.93</v>
      </c>
      <c r="DU56" s="339">
        <v>0.27</v>
      </c>
      <c r="DV56" s="339">
        <v>251</v>
      </c>
      <c r="DW56" s="339">
        <v>26.76</v>
      </c>
      <c r="DX56" s="339">
        <v>0.27</v>
      </c>
      <c r="DY56" s="339">
        <v>251</v>
      </c>
      <c r="DZ56" s="339">
        <v>27.48</v>
      </c>
      <c r="EA56" s="339">
        <v>0.27</v>
      </c>
      <c r="EB56" s="340">
        <v>246</v>
      </c>
      <c r="EC56" s="340">
        <v>20.48</v>
      </c>
      <c r="ED56" s="340">
        <v>0.27</v>
      </c>
      <c r="EE56" s="339">
        <v>249</v>
      </c>
      <c r="EF56" s="339">
        <v>19.13</v>
      </c>
      <c r="EG56" s="339">
        <v>0.27</v>
      </c>
      <c r="EH56" s="339">
        <v>249</v>
      </c>
      <c r="EI56" s="339">
        <v>18.46</v>
      </c>
      <c r="EJ56" s="339">
        <v>0.27</v>
      </c>
      <c r="EK56" s="339">
        <v>237</v>
      </c>
      <c r="EL56" s="339">
        <v>20.16</v>
      </c>
      <c r="EM56" s="339">
        <v>0.27</v>
      </c>
      <c r="EN56" s="340">
        <v>229</v>
      </c>
      <c r="EO56" s="340">
        <v>21.4</v>
      </c>
      <c r="EP56" s="340">
        <v>0.27</v>
      </c>
      <c r="EQ56" s="339">
        <v>229</v>
      </c>
      <c r="ER56" s="339">
        <v>19.61</v>
      </c>
      <c r="ES56" s="339">
        <v>0.27</v>
      </c>
      <c r="ET56" s="339">
        <v>228</v>
      </c>
      <c r="EU56" s="339">
        <v>18.899999999999999</v>
      </c>
      <c r="EV56" s="339">
        <v>0.27</v>
      </c>
      <c r="EW56" s="339">
        <v>228</v>
      </c>
      <c r="EX56" s="339">
        <v>19.57</v>
      </c>
      <c r="EY56" s="339">
        <v>0.27</v>
      </c>
      <c r="EZ56" s="340">
        <v>226</v>
      </c>
      <c r="FA56" s="340">
        <v>18.89</v>
      </c>
      <c r="FB56" s="340">
        <v>0.27</v>
      </c>
      <c r="FC56" s="339">
        <v>226</v>
      </c>
      <c r="FD56" s="339">
        <v>20.3</v>
      </c>
      <c r="FE56" s="339">
        <v>0.27</v>
      </c>
      <c r="FF56" s="339">
        <v>226</v>
      </c>
      <c r="FG56" s="339">
        <v>18.920000000000002</v>
      </c>
      <c r="FH56" s="339">
        <v>0.27</v>
      </c>
      <c r="FI56" s="339">
        <v>225</v>
      </c>
      <c r="FJ56" s="339">
        <v>19.63</v>
      </c>
      <c r="FK56" s="339">
        <v>0.27</v>
      </c>
      <c r="FL56" s="339">
        <v>225</v>
      </c>
      <c r="FM56" s="339">
        <v>18.66</v>
      </c>
      <c r="FN56" s="339">
        <v>0.27</v>
      </c>
      <c r="FO56" s="339">
        <v>224</v>
      </c>
      <c r="FP56" s="339">
        <v>18.25</v>
      </c>
      <c r="FQ56" s="339">
        <v>0.27</v>
      </c>
      <c r="FR56" s="339">
        <v>223</v>
      </c>
      <c r="FS56" s="339">
        <v>18.600000000000001</v>
      </c>
      <c r="FT56" s="339">
        <v>0.27</v>
      </c>
      <c r="FU56" s="339">
        <v>222</v>
      </c>
      <c r="FV56" s="339">
        <v>15.68</v>
      </c>
      <c r="FW56" s="339">
        <v>0.27</v>
      </c>
      <c r="FX56" s="339">
        <v>224</v>
      </c>
      <c r="FY56" s="339">
        <v>17.149999999999999</v>
      </c>
      <c r="FZ56" s="339">
        <v>0.27</v>
      </c>
      <c r="GA56" s="339">
        <v>221</v>
      </c>
      <c r="GB56" s="339">
        <v>16.850000000000001</v>
      </c>
      <c r="GC56" s="339">
        <v>0.27</v>
      </c>
      <c r="GD56" s="339">
        <v>220</v>
      </c>
      <c r="GE56" s="339">
        <v>14.88</v>
      </c>
      <c r="GF56" s="339">
        <v>0.27</v>
      </c>
      <c r="GG56" s="339">
        <v>219.1371</v>
      </c>
      <c r="GH56" s="339">
        <v>13.44</v>
      </c>
      <c r="GI56" s="339">
        <v>0.27</v>
      </c>
      <c r="GJ56" s="339">
        <v>212.7</v>
      </c>
      <c r="GK56" s="339">
        <v>12.48</v>
      </c>
      <c r="GL56" s="339">
        <v>0.27</v>
      </c>
      <c r="GM56" s="339">
        <v>201.5</v>
      </c>
      <c r="GN56" s="339">
        <v>17.760000000000002</v>
      </c>
      <c r="GO56" s="339">
        <v>0.27</v>
      </c>
      <c r="GP56" s="339">
        <v>201.4</v>
      </c>
      <c r="GQ56" s="339">
        <v>22.91</v>
      </c>
      <c r="GR56" s="339">
        <v>0.27</v>
      </c>
      <c r="GS56" s="339">
        <v>200.7</v>
      </c>
      <c r="GT56" s="339">
        <v>25.65</v>
      </c>
      <c r="GU56" s="339">
        <v>0.27</v>
      </c>
      <c r="GV56" s="339">
        <v>193.9</v>
      </c>
      <c r="GW56" s="339">
        <v>24.72</v>
      </c>
      <c r="GX56" s="339">
        <v>0.27</v>
      </c>
      <c r="GY56" s="339">
        <v>193.3</v>
      </c>
      <c r="GZ56" s="339">
        <v>29.33</v>
      </c>
      <c r="HA56" s="339">
        <v>0.26</v>
      </c>
      <c r="HB56" s="339">
        <v>193.2</v>
      </c>
      <c r="HC56" s="339">
        <v>27.08</v>
      </c>
      <c r="HD56" s="339">
        <v>0.26</v>
      </c>
      <c r="HE56" s="339">
        <v>192.5</v>
      </c>
      <c r="HF56" s="339">
        <v>28.2</v>
      </c>
      <c r="HG56" s="339">
        <v>0.26</v>
      </c>
      <c r="HH56" s="339">
        <v>190.7</v>
      </c>
      <c r="HI56" s="505">
        <v>29.02</v>
      </c>
      <c r="HJ56" s="339">
        <v>0.26</v>
      </c>
      <c r="HK56" s="339">
        <v>190.7</v>
      </c>
      <c r="HL56" s="339">
        <v>26.01</v>
      </c>
      <c r="HM56" s="339">
        <v>0.26</v>
      </c>
      <c r="HN56" s="339">
        <v>190.3</v>
      </c>
      <c r="HO56" s="339">
        <v>24.17</v>
      </c>
      <c r="HP56" s="339">
        <v>0.26</v>
      </c>
      <c r="HQ56" s="339">
        <v>189.9</v>
      </c>
      <c r="HR56" s="339">
        <v>23.58</v>
      </c>
      <c r="HS56" s="339">
        <v>0.26</v>
      </c>
      <c r="HT56" s="339">
        <v>189.52699999999999</v>
      </c>
      <c r="HU56" s="339">
        <v>22.79</v>
      </c>
      <c r="HV56" s="339">
        <v>0.26</v>
      </c>
      <c r="HW56" s="339">
        <v>189.2</v>
      </c>
      <c r="HX56" s="506">
        <v>22.37</v>
      </c>
      <c r="HY56" s="513">
        <f>1/4</f>
        <v>0.25</v>
      </c>
      <c r="HZ56" s="339">
        <v>188.81288799999999</v>
      </c>
      <c r="IA56" s="339">
        <v>23.27</v>
      </c>
      <c r="IB56" s="339">
        <v>0.25</v>
      </c>
      <c r="IC56" s="339">
        <v>188.4</v>
      </c>
      <c r="ID56" s="339">
        <v>23.94</v>
      </c>
      <c r="IE56" s="339">
        <v>0.25</v>
      </c>
      <c r="IF56" s="339">
        <v>175.2</v>
      </c>
      <c r="IG56" s="339">
        <v>20.99</v>
      </c>
      <c r="IH56" s="339">
        <v>0.25</v>
      </c>
      <c r="II56" s="339">
        <v>175.2</v>
      </c>
      <c r="IJ56" s="505">
        <v>21.32</v>
      </c>
      <c r="IK56" s="339">
        <v>0.25</v>
      </c>
      <c r="IL56" s="339">
        <v>172.2</v>
      </c>
      <c r="IM56" s="339">
        <v>19.899999999999999</v>
      </c>
      <c r="IN56" s="339">
        <v>0.25</v>
      </c>
      <c r="IO56" s="339">
        <v>171.80199999999999</v>
      </c>
      <c r="IP56" s="339">
        <v>18.28</v>
      </c>
      <c r="IQ56" s="339">
        <v>0.25</v>
      </c>
      <c r="IR56" s="339">
        <v>171</v>
      </c>
      <c r="IS56" s="339">
        <v>20.440000000000001</v>
      </c>
      <c r="IT56" s="339">
        <v>0.25</v>
      </c>
      <c r="IU56" s="339">
        <v>171</v>
      </c>
      <c r="IV56" s="339">
        <v>19.54</v>
      </c>
      <c r="IW56" s="339">
        <v>0.25</v>
      </c>
      <c r="IX56" s="339">
        <v>170.48099999999999</v>
      </c>
      <c r="IY56" s="339">
        <v>17.28</v>
      </c>
      <c r="IZ56" s="339">
        <v>0.25</v>
      </c>
      <c r="JA56" s="339">
        <v>170.02799999999999</v>
      </c>
      <c r="JB56" s="339">
        <v>19.16</v>
      </c>
      <c r="JC56" s="339">
        <v>0.25</v>
      </c>
      <c r="JD56" s="339">
        <v>164.85400000000001</v>
      </c>
      <c r="JE56" s="339">
        <v>17.399999999999999</v>
      </c>
      <c r="JF56" s="339">
        <v>0.25</v>
      </c>
      <c r="JG56" s="339">
        <v>144.43600000000001</v>
      </c>
      <c r="JH56" s="339">
        <v>19.39</v>
      </c>
      <c r="JI56" s="339">
        <v>0.25</v>
      </c>
      <c r="JJ56" s="339">
        <v>107.1</v>
      </c>
      <c r="JK56" s="339">
        <v>19.95</v>
      </c>
      <c r="JL56" s="339">
        <v>0.25</v>
      </c>
      <c r="JM56" s="339">
        <v>107.1</v>
      </c>
      <c r="JN56" s="339">
        <v>21.48</v>
      </c>
      <c r="JO56" s="339">
        <v>0.25</v>
      </c>
      <c r="JP56" s="339">
        <v>107.375</v>
      </c>
      <c r="JQ56" s="339">
        <v>23.35</v>
      </c>
      <c r="JR56" s="339">
        <v>0.25</v>
      </c>
      <c r="JS56" s="339">
        <v>107.9</v>
      </c>
      <c r="JT56" s="339">
        <v>22.57</v>
      </c>
      <c r="JU56" s="339">
        <v>0.25</v>
      </c>
      <c r="JV56" s="339">
        <v>108.3</v>
      </c>
      <c r="JW56" s="339">
        <v>21.96</v>
      </c>
      <c r="JX56" s="339">
        <v>0.25</v>
      </c>
      <c r="JY56" s="339">
        <v>110.5</v>
      </c>
      <c r="JZ56" s="339">
        <v>20.92</v>
      </c>
      <c r="KA56" s="339">
        <v>0.25</v>
      </c>
      <c r="KB56" s="339">
        <v>110.85899999999999</v>
      </c>
      <c r="KC56" s="339">
        <v>23.38</v>
      </c>
      <c r="KD56" s="339">
        <v>0.41499999999999998</v>
      </c>
      <c r="KE56" s="339">
        <v>111.994</v>
      </c>
      <c r="KF56" s="339">
        <v>24.71</v>
      </c>
      <c r="KG56" s="339">
        <v>0.41499999999999998</v>
      </c>
      <c r="KH56" s="339">
        <v>118.38500000000001</v>
      </c>
      <c r="KI56" s="339">
        <v>25.1875</v>
      </c>
      <c r="KJ56" s="339">
        <v>0.41499999999999998</v>
      </c>
      <c r="KK56" s="339">
        <v>118.5</v>
      </c>
      <c r="KL56" s="339">
        <v>25</v>
      </c>
      <c r="KM56" s="339">
        <v>0.41499999999999998</v>
      </c>
      <c r="KN56" s="339">
        <v>118.53100000000001</v>
      </c>
      <c r="KO56" s="339">
        <v>22.625</v>
      </c>
      <c r="KP56" s="339">
        <v>0.41499999999999998</v>
      </c>
      <c r="KQ56" s="339">
        <v>118.529</v>
      </c>
      <c r="KR56" s="339">
        <v>22.9375</v>
      </c>
      <c r="KS56" s="339">
        <v>0.41499999999999998</v>
      </c>
      <c r="KT56" s="339">
        <v>118.52800000000001</v>
      </c>
      <c r="KU56" s="339">
        <v>25.4375</v>
      </c>
      <c r="KV56" s="339">
        <v>0.41499999999999998</v>
      </c>
      <c r="KW56" s="334">
        <v>118.5</v>
      </c>
      <c r="KX56" s="334">
        <v>29.4375</v>
      </c>
      <c r="KY56" s="334">
        <v>0.41499999999999998</v>
      </c>
      <c r="KZ56" s="334">
        <v>118.52</v>
      </c>
      <c r="LA56" s="334">
        <v>23.1875</v>
      </c>
      <c r="LB56" s="334">
        <v>0.41499999999999998</v>
      </c>
      <c r="LC56" s="334">
        <v>118.52</v>
      </c>
      <c r="LD56" s="334">
        <v>26.312999999999999</v>
      </c>
      <c r="LE56" s="334">
        <v>0.41499999999999998</v>
      </c>
      <c r="LF56" s="334">
        <v>118.51</v>
      </c>
      <c r="LG56" s="334">
        <v>26.5</v>
      </c>
      <c r="LH56" s="334">
        <v>0.41499999999999998</v>
      </c>
      <c r="LI56" s="334">
        <v>118.51</v>
      </c>
      <c r="LJ56" s="334">
        <v>25.062999999999999</v>
      </c>
      <c r="LK56" s="334">
        <v>0.41499999999999998</v>
      </c>
      <c r="LL56" s="334">
        <v>118.5</v>
      </c>
      <c r="LM56" s="334">
        <v>25.0625</v>
      </c>
      <c r="LN56" s="334">
        <v>0.41499999999999998</v>
      </c>
      <c r="LO56" s="334">
        <v>118.501</v>
      </c>
      <c r="LP56" s="334">
        <v>25.8125</v>
      </c>
      <c r="LQ56" s="334">
        <v>0.41499999999999998</v>
      </c>
      <c r="LR56" s="334">
        <v>118.499</v>
      </c>
      <c r="LS56" s="334">
        <v>22.75</v>
      </c>
      <c r="LT56" s="334">
        <v>0.41499999999999998</v>
      </c>
      <c r="LU56" s="334">
        <v>118.499</v>
      </c>
      <c r="LV56" s="334">
        <v>23.125</v>
      </c>
      <c r="LW56" s="334">
        <v>0.41499999999999998</v>
      </c>
      <c r="LX56" s="334">
        <v>118.499</v>
      </c>
      <c r="LY56" s="334">
        <v>24.5</v>
      </c>
      <c r="LZ56" s="334">
        <v>0.41499999999999998</v>
      </c>
      <c r="MA56" s="334">
        <v>118.249</v>
      </c>
      <c r="MB56" s="334">
        <v>25.75</v>
      </c>
      <c r="MC56" s="334">
        <v>0.41499999999999998</v>
      </c>
      <c r="MD56" s="334">
        <v>118.249</v>
      </c>
      <c r="ME56" s="334">
        <v>25.5</v>
      </c>
      <c r="MF56" s="334">
        <v>0.41499999999999998</v>
      </c>
      <c r="MG56" s="334">
        <v>118.249</v>
      </c>
      <c r="MH56" s="334">
        <v>26.5</v>
      </c>
      <c r="MI56" s="334">
        <v>0.41499999999999998</v>
      </c>
      <c r="MJ56" s="334">
        <v>118.249</v>
      </c>
      <c r="MK56" s="334">
        <v>26.125</v>
      </c>
      <c r="ML56" s="334">
        <v>0.41499999999999998</v>
      </c>
      <c r="MM56" s="334">
        <v>118.249</v>
      </c>
      <c r="MN56" s="334">
        <v>26.125</v>
      </c>
      <c r="MO56" s="334">
        <v>0.41499999999999998</v>
      </c>
      <c r="MP56" s="334">
        <v>118.249</v>
      </c>
      <c r="MQ56" s="334">
        <v>24.25</v>
      </c>
      <c r="MR56" s="334">
        <v>0.41499999999999998</v>
      </c>
      <c r="MS56" s="334">
        <v>118.249</v>
      </c>
      <c r="MT56" s="334">
        <v>21.5</v>
      </c>
      <c r="MU56" s="334">
        <v>0.41499999999999998</v>
      </c>
      <c r="MV56" s="334">
        <v>118.249</v>
      </c>
      <c r="MW56" s="334">
        <v>18.875</v>
      </c>
      <c r="MX56" s="334">
        <v>0.41499999999999998</v>
      </c>
      <c r="MY56" s="334">
        <v>117.249</v>
      </c>
      <c r="MZ56" s="334">
        <v>18.375</v>
      </c>
      <c r="NA56" s="334">
        <v>0.41499999999999998</v>
      </c>
      <c r="NB56" s="334">
        <v>117.249</v>
      </c>
      <c r="NC56" s="334">
        <v>19.25</v>
      </c>
      <c r="ND56" s="334">
        <v>0.41749999999999998</v>
      </c>
      <c r="NE56" s="334">
        <v>117.249</v>
      </c>
      <c r="NF56" s="334">
        <v>19</v>
      </c>
      <c r="NG56" s="334">
        <v>0.41499999999999998</v>
      </c>
      <c r="NH56" s="334">
        <v>115.898</v>
      </c>
      <c r="NI56" s="334">
        <v>22</v>
      </c>
      <c r="NJ56" s="334">
        <v>0.41499999999999998</v>
      </c>
      <c r="NK56" s="334">
        <v>115.898</v>
      </c>
      <c r="NL56" s="334">
        <v>26.75</v>
      </c>
      <c r="NM56" s="334">
        <v>0.41</v>
      </c>
      <c r="NN56" s="334">
        <v>115.898</v>
      </c>
      <c r="NO56" s="334">
        <v>28.625</v>
      </c>
      <c r="NP56" s="334">
        <v>0.41</v>
      </c>
      <c r="NQ56" s="334">
        <v>114.926</v>
      </c>
      <c r="NR56" s="334">
        <v>27.125</v>
      </c>
      <c r="NS56" s="334">
        <v>0.41</v>
      </c>
      <c r="NT56" s="334">
        <v>114.402</v>
      </c>
      <c r="NU56" s="334">
        <v>26</v>
      </c>
      <c r="NV56" s="334">
        <v>0.41</v>
      </c>
      <c r="NW56" s="334">
        <v>111.90900000000001</v>
      </c>
      <c r="NX56" s="334">
        <v>23.88</v>
      </c>
      <c r="NY56" s="334">
        <v>0.4</v>
      </c>
      <c r="NZ56" s="334">
        <v>111.90900000000001</v>
      </c>
      <c r="OA56" s="334">
        <v>26.5</v>
      </c>
      <c r="OB56" s="334">
        <v>0.4</v>
      </c>
      <c r="OC56" s="334">
        <v>111.465</v>
      </c>
      <c r="OD56" s="334">
        <v>25.25</v>
      </c>
      <c r="OE56" s="334">
        <v>0.4</v>
      </c>
      <c r="OF56" s="334">
        <v>111.193</v>
      </c>
      <c r="OG56" s="334">
        <v>23.25</v>
      </c>
      <c r="OH56" s="334">
        <v>0.4</v>
      </c>
      <c r="OI56" s="334">
        <v>105.911</v>
      </c>
      <c r="OJ56" s="334">
        <v>25</v>
      </c>
      <c r="OK56" s="334">
        <v>0.39</v>
      </c>
      <c r="OL56" s="334">
        <v>104.70699999999999</v>
      </c>
      <c r="OM56" s="334">
        <v>22.75</v>
      </c>
      <c r="ON56" s="334">
        <v>0.39</v>
      </c>
      <c r="OO56" s="334">
        <v>103.607</v>
      </c>
      <c r="OP56" s="334">
        <v>20.5</v>
      </c>
      <c r="OQ56" s="334">
        <v>0.39</v>
      </c>
      <c r="OR56" s="334">
        <v>101.997</v>
      </c>
      <c r="OS56" s="334">
        <v>21.38</v>
      </c>
      <c r="OT56" s="334">
        <v>0.39</v>
      </c>
      <c r="OU56" s="334">
        <v>98.620999999999995</v>
      </c>
      <c r="OV56" s="334">
        <v>20.5</v>
      </c>
    </row>
    <row r="57" spans="1:412">
      <c r="B57" s="333" t="s">
        <v>246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  <c r="AU57" s="339"/>
      <c r="AV57" s="339"/>
      <c r="AW57" s="339"/>
      <c r="AX57" s="339"/>
      <c r="AY57" s="503"/>
      <c r="AZ57" s="503"/>
      <c r="BA57" s="503"/>
      <c r="BB57" s="503"/>
      <c r="BC57" s="503"/>
      <c r="BD57" s="503"/>
      <c r="BE57" s="503"/>
      <c r="BF57" s="503"/>
      <c r="BG57" s="503"/>
      <c r="BH57" s="503"/>
      <c r="BI57" s="503"/>
      <c r="BJ57" s="503"/>
      <c r="BK57" s="503"/>
      <c r="BL57" s="503"/>
      <c r="BM57" s="503"/>
      <c r="BN57" s="503"/>
      <c r="BO57" s="503"/>
      <c r="BP57" s="503"/>
      <c r="BQ57" s="504"/>
      <c r="BR57" s="504"/>
      <c r="BS57" s="504"/>
      <c r="BT57" s="504"/>
      <c r="BU57" s="504"/>
      <c r="BV57" s="504"/>
      <c r="BW57" s="504"/>
      <c r="BX57" s="504"/>
      <c r="BY57" s="504"/>
      <c r="BZ57" s="503"/>
      <c r="CA57" s="503"/>
      <c r="CB57" s="503"/>
      <c r="CC57" s="503"/>
      <c r="CD57" s="503"/>
      <c r="CE57" s="503"/>
      <c r="CF57" s="503"/>
      <c r="CG57" s="503"/>
      <c r="CH57" s="503"/>
      <c r="CI57" s="503"/>
      <c r="CJ57" s="503"/>
      <c r="CK57" s="503"/>
      <c r="CL57" s="503"/>
      <c r="CM57" s="503"/>
      <c r="CN57" s="503"/>
      <c r="CO57" s="503"/>
      <c r="CP57" s="503"/>
      <c r="CQ57" s="503"/>
      <c r="CR57" s="504"/>
      <c r="CS57" s="504"/>
      <c r="CT57" s="504"/>
      <c r="CU57" s="503"/>
      <c r="CV57" s="503"/>
      <c r="CW57" s="503"/>
      <c r="CX57" s="339"/>
      <c r="CY57" s="339"/>
      <c r="CZ57" s="339"/>
      <c r="DA57" s="339"/>
      <c r="DB57" s="339"/>
      <c r="DC57" s="339"/>
      <c r="DD57" s="339"/>
      <c r="DE57" s="339"/>
      <c r="DF57" s="339"/>
      <c r="DG57" s="339"/>
      <c r="DH57" s="339"/>
      <c r="DI57" s="339"/>
      <c r="DJ57" s="339"/>
      <c r="DK57" s="339"/>
      <c r="DL57" s="339"/>
      <c r="DM57" s="339"/>
      <c r="DN57" s="339"/>
      <c r="DO57" s="339"/>
      <c r="DP57" s="339"/>
      <c r="DQ57" s="339"/>
      <c r="DR57" s="339"/>
      <c r="DS57" s="339"/>
      <c r="DT57" s="339"/>
      <c r="DU57" s="339"/>
      <c r="DV57" s="339"/>
      <c r="DW57" s="339"/>
      <c r="DX57" s="339"/>
      <c r="DY57" s="339"/>
      <c r="DZ57" s="339"/>
      <c r="EA57" s="339"/>
      <c r="EB57" s="340"/>
      <c r="EC57" s="340"/>
      <c r="ED57" s="340"/>
      <c r="EE57" s="339"/>
      <c r="EF57" s="339"/>
      <c r="EG57" s="339"/>
      <c r="EH57" s="339"/>
      <c r="EI57" s="339"/>
      <c r="EJ57" s="339"/>
      <c r="EK57" s="339"/>
      <c r="EL57" s="339"/>
      <c r="EM57" s="339"/>
      <c r="EN57" s="339"/>
      <c r="EO57" s="339"/>
      <c r="EP57" s="339"/>
      <c r="EQ57" s="339"/>
      <c r="ER57" s="339"/>
      <c r="ES57" s="339"/>
      <c r="ET57" s="339"/>
      <c r="EU57" s="339"/>
      <c r="EV57" s="339"/>
      <c r="EW57" s="339"/>
      <c r="EX57" s="339"/>
      <c r="EY57" s="339"/>
      <c r="EZ57" s="339"/>
      <c r="FA57" s="339"/>
      <c r="FB57" s="339"/>
      <c r="FC57" s="339"/>
      <c r="FD57" s="339"/>
      <c r="FE57" s="339"/>
      <c r="FF57" s="339"/>
      <c r="FG57" s="339"/>
      <c r="FH57" s="342"/>
      <c r="FI57" s="339"/>
      <c r="FJ57" s="339"/>
      <c r="FK57" s="339"/>
      <c r="FL57" s="339"/>
      <c r="FM57" s="339"/>
      <c r="FN57" s="339"/>
      <c r="FO57" s="339"/>
      <c r="FP57" s="339"/>
      <c r="FQ57" s="339"/>
      <c r="FR57" s="339"/>
      <c r="FS57" s="339"/>
      <c r="FT57" s="339"/>
      <c r="FU57" s="339"/>
      <c r="FV57" s="339"/>
      <c r="FW57" s="339"/>
      <c r="FX57" s="339"/>
      <c r="FY57" s="339"/>
      <c r="FZ57" s="339"/>
      <c r="GA57" s="339"/>
      <c r="GB57" s="339"/>
      <c r="GC57" s="339"/>
      <c r="GD57" s="339"/>
      <c r="GE57" s="339"/>
      <c r="GF57" s="339"/>
      <c r="GG57" s="339"/>
      <c r="GH57" s="339"/>
      <c r="GI57" s="339"/>
      <c r="GJ57" s="339"/>
      <c r="GK57" s="339"/>
      <c r="GL57" s="339"/>
      <c r="GM57" s="339">
        <v>129.447</v>
      </c>
      <c r="GN57" s="339">
        <v>27.27</v>
      </c>
      <c r="GO57" s="339">
        <v>0.25</v>
      </c>
      <c r="GP57" s="339">
        <v>129.417</v>
      </c>
      <c r="GQ57" s="339">
        <v>26.7</v>
      </c>
      <c r="GR57" s="339">
        <v>0.25</v>
      </c>
      <c r="GS57" s="339">
        <v>129.428</v>
      </c>
      <c r="GT57" s="339">
        <v>23.99</v>
      </c>
      <c r="GU57" s="339">
        <v>0.25</v>
      </c>
      <c r="GV57" s="339">
        <v>117.673</v>
      </c>
      <c r="GW57" s="339">
        <v>25.87</v>
      </c>
      <c r="GX57" s="339">
        <v>0.25</v>
      </c>
      <c r="GY57" s="339">
        <v>116.821</v>
      </c>
      <c r="GZ57" s="339">
        <v>27.43</v>
      </c>
      <c r="HA57" s="339">
        <v>0.25</v>
      </c>
      <c r="HB57" s="339">
        <v>116.65900000000001</v>
      </c>
      <c r="HC57" s="339">
        <v>24.47</v>
      </c>
      <c r="HD57" s="339">
        <v>0.25</v>
      </c>
      <c r="HE57" s="339">
        <v>116.479</v>
      </c>
      <c r="HF57" s="339">
        <v>24.18</v>
      </c>
      <c r="HG57" s="339">
        <v>0.25</v>
      </c>
      <c r="HH57" s="339">
        <v>115.999</v>
      </c>
      <c r="HI57" s="505">
        <v>25.68</v>
      </c>
      <c r="HJ57" s="339">
        <v>0.25</v>
      </c>
      <c r="HK57" s="339">
        <v>116.101</v>
      </c>
      <c r="HL57" s="339">
        <v>25.36</v>
      </c>
      <c r="HM57" s="339">
        <v>0.25</v>
      </c>
      <c r="HN57" s="339">
        <v>115.907</v>
      </c>
      <c r="HO57" s="339">
        <v>22.73</v>
      </c>
      <c r="HP57" s="339">
        <v>0.25</v>
      </c>
      <c r="HQ57" s="339">
        <v>115.72499999999999</v>
      </c>
      <c r="HR57" s="339">
        <v>21.48</v>
      </c>
      <c r="HS57" s="339">
        <v>0.25</v>
      </c>
      <c r="HT57" s="339">
        <v>108.06699999999999</v>
      </c>
      <c r="HU57" s="339">
        <v>21.18</v>
      </c>
      <c r="HV57" s="339">
        <v>0.25</v>
      </c>
      <c r="HW57" s="339">
        <v>100.371</v>
      </c>
      <c r="HX57" s="506">
        <v>20.420000000000002</v>
      </c>
      <c r="HY57" s="513">
        <f>1/4</f>
        <v>0.25</v>
      </c>
      <c r="HZ57" s="339">
        <v>100.157</v>
      </c>
      <c r="IA57" s="339">
        <v>23.48</v>
      </c>
      <c r="IB57" s="339">
        <v>0.25</v>
      </c>
      <c r="IC57" s="339">
        <v>99.953000000000003</v>
      </c>
      <c r="ID57" s="339">
        <v>23.38</v>
      </c>
      <c r="IE57" s="339">
        <v>0.25</v>
      </c>
      <c r="IF57" s="339">
        <v>99.58</v>
      </c>
      <c r="IG57" s="339">
        <v>22.04</v>
      </c>
      <c r="IH57" s="339">
        <v>0.25</v>
      </c>
      <c r="II57" s="339">
        <v>99.58</v>
      </c>
      <c r="IJ57" s="505">
        <v>24.7</v>
      </c>
      <c r="IK57" s="339">
        <v>0.25</v>
      </c>
      <c r="IL57" s="339">
        <v>99.370999999999995</v>
      </c>
      <c r="IM57" s="339">
        <v>22.7</v>
      </c>
      <c r="IN57" s="339">
        <v>0.25</v>
      </c>
      <c r="IO57" s="339">
        <v>99.168999999999997</v>
      </c>
      <c r="IP57" s="339">
        <v>21.91</v>
      </c>
      <c r="IQ57" s="339">
        <v>0.25</v>
      </c>
      <c r="IR57" s="339">
        <v>96.668999999999997</v>
      </c>
      <c r="IS57" s="339">
        <v>22.37</v>
      </c>
      <c r="IT57" s="339">
        <v>0.25</v>
      </c>
      <c r="IU57" s="339">
        <v>94.125</v>
      </c>
      <c r="IV57" s="339">
        <v>23.77</v>
      </c>
      <c r="IW57" s="339">
        <v>0.25</v>
      </c>
      <c r="IX57" s="339">
        <v>93.927999999999997</v>
      </c>
      <c r="IY57" s="339">
        <v>22.43</v>
      </c>
      <c r="IZ57" s="339">
        <v>0.25</v>
      </c>
      <c r="JA57" s="339">
        <v>93.74</v>
      </c>
      <c r="JB57" s="339">
        <v>23.87</v>
      </c>
      <c r="JC57" s="339">
        <v>0.25</v>
      </c>
      <c r="JD57" s="339">
        <v>90.664000000000001</v>
      </c>
      <c r="JE57" s="339">
        <v>21.31</v>
      </c>
      <c r="JF57" s="339">
        <v>0.25</v>
      </c>
      <c r="JG57" s="339">
        <v>87.617999999999995</v>
      </c>
      <c r="JH57" s="339">
        <v>22.05</v>
      </c>
      <c r="JI57" s="339">
        <v>0.25</v>
      </c>
      <c r="JJ57" s="339">
        <v>87.447999999999993</v>
      </c>
      <c r="JK57" s="339">
        <v>20.41</v>
      </c>
      <c r="JL57" s="339">
        <v>0.25</v>
      </c>
      <c r="JM57" s="339">
        <v>87.3</v>
      </c>
      <c r="JN57" s="339">
        <v>20.65</v>
      </c>
      <c r="JO57" s="339">
        <v>0.25</v>
      </c>
      <c r="JP57" s="339">
        <v>86.863</v>
      </c>
      <c r="JQ57" s="339">
        <v>20.79</v>
      </c>
      <c r="JR57" s="339">
        <v>0.46</v>
      </c>
      <c r="JS57" s="339">
        <v>86.570999999999998</v>
      </c>
      <c r="JT57" s="339">
        <v>21.89</v>
      </c>
      <c r="JU57" s="339">
        <v>0.46</v>
      </c>
      <c r="JV57" s="339">
        <v>86.302999999999997</v>
      </c>
      <c r="JW57" s="339">
        <v>21.49</v>
      </c>
      <c r="JX57" s="339">
        <v>0.46</v>
      </c>
      <c r="JY57" s="339">
        <v>86.036000000000001</v>
      </c>
      <c r="JZ57" s="339">
        <v>26.2</v>
      </c>
      <c r="KA57" s="339">
        <v>0.46</v>
      </c>
      <c r="KB57" s="339">
        <v>85.771000000000001</v>
      </c>
      <c r="KC57" s="339">
        <v>22.88</v>
      </c>
      <c r="KD57" s="339">
        <v>0.46</v>
      </c>
      <c r="KE57" s="339">
        <v>85.501999999999995</v>
      </c>
      <c r="KF57" s="339">
        <v>27.8125</v>
      </c>
      <c r="KG57" s="339">
        <v>0.46</v>
      </c>
      <c r="KH57" s="339">
        <v>85.295000000000002</v>
      </c>
      <c r="KI57" s="339">
        <v>25.375</v>
      </c>
      <c r="KJ57" s="339">
        <v>0.46</v>
      </c>
      <c r="KK57" s="339">
        <v>85.073999999999998</v>
      </c>
      <c r="KL57" s="339">
        <v>21.5</v>
      </c>
      <c r="KM57" s="339">
        <v>0.46</v>
      </c>
      <c r="KN57" s="339">
        <v>84.73</v>
      </c>
      <c r="KO57" s="339">
        <v>22.1875</v>
      </c>
      <c r="KP57" s="339">
        <v>0.46</v>
      </c>
      <c r="KQ57" s="339">
        <v>84.6</v>
      </c>
      <c r="KR57" s="339">
        <v>19.375</v>
      </c>
      <c r="KS57" s="339">
        <v>0.46</v>
      </c>
      <c r="KT57" s="339">
        <v>84.6</v>
      </c>
      <c r="KU57" s="339">
        <v>22.4375</v>
      </c>
      <c r="KV57" s="339">
        <v>0.46</v>
      </c>
      <c r="KW57" s="334">
        <v>84.56</v>
      </c>
      <c r="KX57" s="334">
        <v>24</v>
      </c>
      <c r="KY57" s="334">
        <v>0.46</v>
      </c>
      <c r="KZ57" s="334">
        <v>84.56</v>
      </c>
      <c r="LA57" s="334">
        <v>23.0625</v>
      </c>
      <c r="LB57" s="334">
        <v>0.46</v>
      </c>
      <c r="LC57" s="334">
        <v>84.56</v>
      </c>
      <c r="LD57" s="334">
        <v>27.875</v>
      </c>
      <c r="LE57" s="334">
        <v>0.46</v>
      </c>
      <c r="LF57" s="334">
        <v>84.56</v>
      </c>
      <c r="LG57" s="334">
        <v>27.75</v>
      </c>
      <c r="LH57" s="334">
        <v>0.46</v>
      </c>
      <c r="LI57" s="334">
        <v>84.56</v>
      </c>
      <c r="LJ57" s="334">
        <v>26.812999999999999</v>
      </c>
      <c r="LK57" s="334">
        <v>0.46</v>
      </c>
      <c r="LL57" s="334">
        <v>84.56</v>
      </c>
      <c r="LM57" s="334">
        <v>28.1875</v>
      </c>
      <c r="LN57" s="334">
        <v>0.46</v>
      </c>
      <c r="LO57" s="334">
        <v>84.561000000000007</v>
      </c>
      <c r="LP57" s="334">
        <v>30.1875</v>
      </c>
      <c r="LQ57" s="334">
        <v>0.46</v>
      </c>
      <c r="LR57" s="334">
        <v>63.628999999999998</v>
      </c>
      <c r="LS57" s="334">
        <v>26.75</v>
      </c>
      <c r="LT57" s="334">
        <v>0.46</v>
      </c>
      <c r="LU57" s="334">
        <v>63.628999999999998</v>
      </c>
      <c r="LV57" s="334">
        <v>26.5</v>
      </c>
      <c r="LW57" s="334">
        <v>0.46</v>
      </c>
      <c r="LX57" s="334">
        <v>63.628999999999998</v>
      </c>
      <c r="LY57" s="334">
        <v>25.25</v>
      </c>
      <c r="LZ57" s="334">
        <v>0.46</v>
      </c>
      <c r="MA57" s="334">
        <v>63.628999999999998</v>
      </c>
      <c r="MB57" s="334">
        <v>24</v>
      </c>
      <c r="MC57" s="334">
        <v>0.46</v>
      </c>
      <c r="MD57" s="334">
        <v>63.628999999999998</v>
      </c>
      <c r="ME57" s="334">
        <v>22.5</v>
      </c>
      <c r="MF57" s="334">
        <v>0.46</v>
      </c>
      <c r="MG57" s="334">
        <v>63.628999999999998</v>
      </c>
      <c r="MH57" s="334">
        <v>24.25</v>
      </c>
      <c r="MI57" s="334">
        <v>0.46</v>
      </c>
      <c r="MJ57" s="334">
        <v>63.628999999999998</v>
      </c>
      <c r="MK57" s="334">
        <v>25.5</v>
      </c>
      <c r="ML57" s="334">
        <v>0.46</v>
      </c>
      <c r="MM57" s="334">
        <v>63.628999999999998</v>
      </c>
      <c r="MN57" s="334">
        <v>23.25</v>
      </c>
      <c r="MO57" s="334">
        <v>0.46</v>
      </c>
      <c r="MP57" s="334">
        <v>63.628999999999998</v>
      </c>
      <c r="MQ57" s="334">
        <v>23.25</v>
      </c>
      <c r="MR57" s="334">
        <v>0.46</v>
      </c>
      <c r="MS57" s="334">
        <v>63.628999999999998</v>
      </c>
      <c r="MT57" s="334">
        <v>22.875</v>
      </c>
      <c r="MU57" s="334">
        <v>0.46</v>
      </c>
      <c r="MV57" s="334">
        <v>63.628999999999998</v>
      </c>
      <c r="MW57" s="334">
        <v>21</v>
      </c>
      <c r="MX57" s="334">
        <v>0.46</v>
      </c>
      <c r="MY57" s="334">
        <v>63.628999999999998</v>
      </c>
      <c r="MZ57" s="334">
        <v>20.125</v>
      </c>
      <c r="NA57" s="334">
        <v>0.46</v>
      </c>
      <c r="NB57" s="334">
        <v>63.628999999999998</v>
      </c>
      <c r="NC57" s="334">
        <v>19.625</v>
      </c>
      <c r="ND57" s="334">
        <v>0.46</v>
      </c>
      <c r="NE57" s="334">
        <v>63.628999999999998</v>
      </c>
      <c r="NF57" s="334">
        <v>18.75</v>
      </c>
      <c r="NG57" s="334">
        <v>0.46</v>
      </c>
      <c r="NH57" s="334">
        <v>62.094999999999999</v>
      </c>
      <c r="NI57" s="334">
        <v>22.625</v>
      </c>
      <c r="NJ57" s="334">
        <v>0.46</v>
      </c>
      <c r="NK57" s="334">
        <v>62.094999999999999</v>
      </c>
      <c r="NL57" s="334">
        <v>24.875</v>
      </c>
      <c r="NM57" s="334">
        <v>0.46</v>
      </c>
      <c r="NN57" s="334">
        <v>62.094999999999999</v>
      </c>
      <c r="NO57" s="334">
        <v>26.25</v>
      </c>
      <c r="NP57" s="334">
        <v>0.46</v>
      </c>
      <c r="NQ57" s="334">
        <v>59.137999999999998</v>
      </c>
      <c r="NR57" s="334">
        <v>28.125</v>
      </c>
      <c r="NS57" s="334">
        <v>0.46</v>
      </c>
      <c r="NT57" s="334">
        <v>58.765999999999998</v>
      </c>
      <c r="NU57" s="334">
        <v>28.375</v>
      </c>
      <c r="NV57" s="334">
        <v>0.45</v>
      </c>
      <c r="NW57" s="334">
        <v>55.621000000000002</v>
      </c>
      <c r="NX57" s="334">
        <v>27.13</v>
      </c>
      <c r="NY57" s="334">
        <v>0.45</v>
      </c>
      <c r="NZ57" s="334">
        <v>55.621000000000002</v>
      </c>
      <c r="OA57" s="334">
        <v>26.75</v>
      </c>
      <c r="OB57" s="334">
        <v>0.45</v>
      </c>
      <c r="OC57" s="334">
        <v>55.561999999999998</v>
      </c>
      <c r="OD57" s="334">
        <v>25.88</v>
      </c>
      <c r="OE57" s="334">
        <v>0.45</v>
      </c>
      <c r="OF57" s="334">
        <v>55.561999999999998</v>
      </c>
      <c r="OG57" s="334">
        <v>24.75</v>
      </c>
      <c r="OH57" s="334">
        <v>0.44</v>
      </c>
      <c r="OI57" s="334">
        <v>55.561999999999998</v>
      </c>
      <c r="OJ57" s="334">
        <v>26.88</v>
      </c>
      <c r="OK57" s="334">
        <v>0.44</v>
      </c>
      <c r="OL57" s="334">
        <v>55.561999999999998</v>
      </c>
      <c r="OM57" s="334">
        <v>25.25</v>
      </c>
      <c r="ON57" s="334">
        <v>0.44</v>
      </c>
      <c r="OO57" s="334">
        <v>55.561999999999998</v>
      </c>
      <c r="OP57" s="334">
        <v>22.5</v>
      </c>
      <c r="OQ57" s="334">
        <v>0.44</v>
      </c>
      <c r="OR57" s="334">
        <v>55.561999999999998</v>
      </c>
      <c r="OS57" s="334">
        <v>21.88</v>
      </c>
      <c r="OT57" s="334">
        <v>0.44</v>
      </c>
      <c r="OU57" s="334">
        <v>55.561999999999998</v>
      </c>
      <c r="OV57" s="334">
        <v>20.38</v>
      </c>
    </row>
    <row r="58" spans="1:412">
      <c r="A58" s="294" t="s">
        <v>15</v>
      </c>
      <c r="B58" s="335" t="s">
        <v>135</v>
      </c>
      <c r="C58" s="335">
        <v>387</v>
      </c>
      <c r="D58" s="335">
        <v>79.84</v>
      </c>
      <c r="E58" s="335">
        <v>0.82750000000000001</v>
      </c>
      <c r="F58" s="335">
        <v>385</v>
      </c>
      <c r="G58" s="335">
        <v>87.09</v>
      </c>
      <c r="H58" s="335">
        <v>0.78</v>
      </c>
      <c r="I58" s="335">
        <v>385</v>
      </c>
      <c r="J58" s="335">
        <v>71.81</v>
      </c>
      <c r="K58" s="335">
        <v>0.78</v>
      </c>
      <c r="L58" s="335">
        <v>383</v>
      </c>
      <c r="M58" s="335">
        <v>70.73</v>
      </c>
      <c r="N58" s="335">
        <v>0.78</v>
      </c>
      <c r="O58" s="335">
        <v>383</v>
      </c>
      <c r="P58" s="335">
        <v>71.489999999999995</v>
      </c>
      <c r="Q58" s="335">
        <v>0.78</v>
      </c>
      <c r="R58" s="340">
        <v>383</v>
      </c>
      <c r="S58" s="340">
        <v>63.29</v>
      </c>
      <c r="T58" s="340">
        <v>0.73750000000000004</v>
      </c>
      <c r="U58" s="340">
        <v>383</v>
      </c>
      <c r="V58" s="340">
        <v>69.45</v>
      </c>
      <c r="W58" s="340">
        <v>0.73750000000000004</v>
      </c>
      <c r="X58" s="340">
        <v>381</v>
      </c>
      <c r="Y58" s="340">
        <v>70.59</v>
      </c>
      <c r="Z58" s="340">
        <v>0.73750000000000004</v>
      </c>
      <c r="AA58" s="340">
        <v>382</v>
      </c>
      <c r="AB58" s="340">
        <v>63.62</v>
      </c>
      <c r="AC58" s="340">
        <v>0.73750000000000004</v>
      </c>
      <c r="AD58" s="340">
        <v>381</v>
      </c>
      <c r="AE58" s="340">
        <v>56.58</v>
      </c>
      <c r="AF58" s="340">
        <v>0.7</v>
      </c>
      <c r="AG58" s="340">
        <v>381</v>
      </c>
      <c r="AH58" s="340">
        <v>63.24</v>
      </c>
      <c r="AI58" s="340">
        <v>0.7</v>
      </c>
      <c r="AJ58" s="340">
        <v>380</v>
      </c>
      <c r="AK58" s="340">
        <v>70.099999999999994</v>
      </c>
      <c r="AL58" s="340">
        <v>0.7</v>
      </c>
      <c r="AM58" s="340">
        <v>380</v>
      </c>
      <c r="AN58" s="340">
        <v>68.25</v>
      </c>
      <c r="AO58" s="340">
        <v>0.7</v>
      </c>
      <c r="AP58" s="340">
        <v>380</v>
      </c>
      <c r="AQ58" s="340">
        <v>55.47</v>
      </c>
      <c r="AR58" s="340">
        <v>0.66249999999999998</v>
      </c>
      <c r="AS58" s="340">
        <v>379</v>
      </c>
      <c r="AT58" s="340">
        <v>57.82</v>
      </c>
      <c r="AU58" s="340">
        <v>0.66249999999999998</v>
      </c>
      <c r="AV58" s="340">
        <v>373</v>
      </c>
      <c r="AW58" s="340">
        <v>58.6</v>
      </c>
      <c r="AX58" s="340">
        <v>0.66249999999999998</v>
      </c>
      <c r="AY58" s="503">
        <v>378</v>
      </c>
      <c r="AZ58" s="503">
        <v>62.82</v>
      </c>
      <c r="BA58" s="503">
        <v>0.66249999999999998</v>
      </c>
      <c r="BB58" s="504">
        <v>375</v>
      </c>
      <c r="BC58" s="504">
        <v>50.84</v>
      </c>
      <c r="BD58" s="504">
        <v>0.63749999999999996</v>
      </c>
      <c r="BE58" s="504">
        <v>363</v>
      </c>
      <c r="BF58" s="504">
        <v>54.31</v>
      </c>
      <c r="BG58" s="504">
        <v>0.63749999999999996</v>
      </c>
      <c r="BH58" s="504">
        <v>340</v>
      </c>
      <c r="BI58" s="504">
        <v>54.79</v>
      </c>
      <c r="BJ58" s="504">
        <v>0.63749999999999996</v>
      </c>
      <c r="BK58" s="504">
        <v>347</v>
      </c>
      <c r="BL58" s="504">
        <v>75.41</v>
      </c>
      <c r="BM58" s="504">
        <v>0.63749999999999996</v>
      </c>
      <c r="BN58" s="504">
        <v>326</v>
      </c>
      <c r="BO58" s="504">
        <v>75.42</v>
      </c>
      <c r="BP58" s="504">
        <v>0.61250000000000004</v>
      </c>
      <c r="BQ58" s="504">
        <v>326</v>
      </c>
      <c r="BR58" s="504">
        <v>67.41</v>
      </c>
      <c r="BS58" s="504">
        <v>0.61250000000000004</v>
      </c>
      <c r="BT58" s="504">
        <v>326</v>
      </c>
      <c r="BU58" s="504">
        <v>61.92</v>
      </c>
      <c r="BV58" s="504">
        <v>0.61250000000000004</v>
      </c>
      <c r="BW58" s="504">
        <v>326</v>
      </c>
      <c r="BX58" s="504">
        <v>56.77</v>
      </c>
      <c r="BY58" s="507">
        <v>0.61250000000000004</v>
      </c>
      <c r="BZ58" s="504">
        <v>326</v>
      </c>
      <c r="CA58" s="504">
        <v>67.680000000000007</v>
      </c>
      <c r="CB58" s="504">
        <v>0.60499999999999998</v>
      </c>
      <c r="CC58" s="503">
        <v>326</v>
      </c>
      <c r="CD58" s="503">
        <v>63.27</v>
      </c>
      <c r="CE58" s="503">
        <v>0.60499999999999998</v>
      </c>
      <c r="CF58" s="503">
        <v>326</v>
      </c>
      <c r="CG58" s="503">
        <v>63.66</v>
      </c>
      <c r="CH58" s="503">
        <v>0.60499999999999998</v>
      </c>
      <c r="CI58" s="503">
        <v>326</v>
      </c>
      <c r="CJ58" s="503">
        <v>63.24</v>
      </c>
      <c r="CK58" s="508">
        <v>0.60499999999999998</v>
      </c>
      <c r="CL58" s="503">
        <v>326</v>
      </c>
      <c r="CM58" s="503">
        <v>77.17</v>
      </c>
      <c r="CN58" s="503">
        <v>0.54249999999999998</v>
      </c>
      <c r="CO58" s="503">
        <v>326</v>
      </c>
      <c r="CP58" s="503">
        <v>78.19</v>
      </c>
      <c r="CQ58" s="503">
        <v>0.54249999999999998</v>
      </c>
      <c r="CR58" s="504">
        <v>326</v>
      </c>
      <c r="CS58" s="504">
        <v>79.61</v>
      </c>
      <c r="CT58" s="504">
        <v>0.54249999999999998</v>
      </c>
      <c r="CU58" s="503">
        <v>326</v>
      </c>
      <c r="CV58" s="503">
        <v>71.989999999999995</v>
      </c>
      <c r="CW58" s="509">
        <v>0.54249999999999998</v>
      </c>
      <c r="CX58" s="339">
        <v>326</v>
      </c>
      <c r="CY58" s="339">
        <v>72.25</v>
      </c>
      <c r="CZ58" s="339">
        <v>0.48</v>
      </c>
      <c r="DA58" s="339">
        <v>326</v>
      </c>
      <c r="DB58" s="339">
        <v>77.67</v>
      </c>
      <c r="DC58" s="339">
        <v>0.48</v>
      </c>
      <c r="DD58" s="339">
        <v>326</v>
      </c>
      <c r="DE58" s="339">
        <v>71.89</v>
      </c>
      <c r="DF58" s="339">
        <v>0.48</v>
      </c>
      <c r="DG58" s="339">
        <v>326</v>
      </c>
      <c r="DH58" s="339">
        <v>59.21</v>
      </c>
      <c r="DI58" s="339">
        <v>0.48</v>
      </c>
      <c r="DJ58" s="339">
        <v>326</v>
      </c>
      <c r="DK58" s="339">
        <v>63.07</v>
      </c>
      <c r="DL58" s="339">
        <v>0.41749999999999998</v>
      </c>
      <c r="DM58" s="339">
        <v>326</v>
      </c>
      <c r="DN58" s="339">
        <v>55.58</v>
      </c>
      <c r="DO58" s="339">
        <v>0.41749999999999998</v>
      </c>
      <c r="DP58" s="340">
        <v>326</v>
      </c>
      <c r="DQ58" s="340">
        <v>62.47</v>
      </c>
      <c r="DR58" s="340">
        <v>0.41749999999999998</v>
      </c>
      <c r="DS58" s="339">
        <v>326</v>
      </c>
      <c r="DT58" s="339">
        <v>65.48</v>
      </c>
      <c r="DU58" s="510">
        <v>0.41749999999999998</v>
      </c>
      <c r="DV58" s="339">
        <v>326</v>
      </c>
      <c r="DW58" s="339">
        <v>55.92</v>
      </c>
      <c r="DX58" s="339">
        <v>0.35499999999999998</v>
      </c>
      <c r="DY58" s="339">
        <v>326</v>
      </c>
      <c r="DZ58" s="339">
        <v>58.11</v>
      </c>
      <c r="EA58" s="339">
        <v>0.35499999999999998</v>
      </c>
      <c r="EB58" s="340">
        <v>326</v>
      </c>
      <c r="EC58" s="340">
        <v>56.61</v>
      </c>
      <c r="ED58" s="340">
        <v>0.35499999999999998</v>
      </c>
      <c r="EE58" s="339">
        <v>326</v>
      </c>
      <c r="EF58" s="339">
        <v>46.3</v>
      </c>
      <c r="EG58" s="510">
        <v>0.35499999999999998</v>
      </c>
      <c r="EH58" s="339">
        <v>326</v>
      </c>
      <c r="EI58" s="339">
        <v>46.06</v>
      </c>
      <c r="EJ58" s="339">
        <v>0.33750000000000002</v>
      </c>
      <c r="EK58" s="339">
        <v>326</v>
      </c>
      <c r="EL58" s="339">
        <v>48.16</v>
      </c>
      <c r="EM58" s="339">
        <v>0.33750000000000002</v>
      </c>
      <c r="EN58" s="340">
        <v>326</v>
      </c>
      <c r="EO58" s="340">
        <v>50.32</v>
      </c>
      <c r="EP58" s="340">
        <v>0.33750000000000002</v>
      </c>
      <c r="EQ58" s="339">
        <v>326</v>
      </c>
      <c r="ER58" s="339">
        <v>45.19</v>
      </c>
      <c r="ES58" s="510">
        <v>0.33750000000000002</v>
      </c>
      <c r="ET58" s="339">
        <v>326</v>
      </c>
      <c r="EU58" s="339">
        <v>45.69</v>
      </c>
      <c r="EV58" s="339">
        <v>0.32500000000000001</v>
      </c>
      <c r="EW58" s="339">
        <v>326</v>
      </c>
      <c r="EX58" s="339">
        <v>46.2</v>
      </c>
      <c r="EY58" s="339">
        <v>0.32500000000000001</v>
      </c>
      <c r="EZ58" s="340">
        <v>326</v>
      </c>
      <c r="FA58" s="340">
        <v>42.51</v>
      </c>
      <c r="FB58" s="340">
        <v>0.32500000000000001</v>
      </c>
      <c r="FC58" s="339">
        <v>326</v>
      </c>
      <c r="FD58" s="339">
        <v>41.4</v>
      </c>
      <c r="FE58" s="339">
        <v>0.32500000000000001</v>
      </c>
      <c r="FF58" s="339">
        <v>326</v>
      </c>
      <c r="FG58" s="339">
        <v>38.25</v>
      </c>
      <c r="FH58" s="339">
        <v>0.32</v>
      </c>
      <c r="FI58" s="339">
        <v>326</v>
      </c>
      <c r="FJ58" s="339">
        <v>38.75</v>
      </c>
      <c r="FK58" s="339">
        <v>0.32</v>
      </c>
      <c r="FL58" s="339">
        <v>326</v>
      </c>
      <c r="FM58" s="339">
        <v>36.56</v>
      </c>
      <c r="FN58" s="339">
        <v>0.32</v>
      </c>
      <c r="FO58" s="339">
        <v>326</v>
      </c>
      <c r="FP58" s="339">
        <v>38.6</v>
      </c>
      <c r="FQ58" s="511">
        <v>0.32</v>
      </c>
      <c r="FR58" s="339">
        <v>326</v>
      </c>
      <c r="FS58" s="339">
        <v>34.39</v>
      </c>
      <c r="FT58" s="339">
        <v>0.315</v>
      </c>
      <c r="FU58" s="339">
        <v>326</v>
      </c>
      <c r="FV58" s="339">
        <v>31.72</v>
      </c>
      <c r="FW58" s="339">
        <v>0.315</v>
      </c>
      <c r="FX58" s="339">
        <v>326</v>
      </c>
      <c r="FY58" s="339">
        <v>34.17</v>
      </c>
      <c r="FZ58" s="339">
        <v>0.315</v>
      </c>
      <c r="GA58" s="339">
        <v>326</v>
      </c>
      <c r="GB58" s="339">
        <v>34.78</v>
      </c>
      <c r="GC58" s="339">
        <v>0.315</v>
      </c>
      <c r="GD58" s="339">
        <v>326</v>
      </c>
      <c r="GE58" s="339">
        <v>33.58</v>
      </c>
      <c r="GF58" s="339">
        <v>0.31</v>
      </c>
      <c r="GG58" s="339">
        <v>326</v>
      </c>
      <c r="GH58" s="339">
        <v>31.46</v>
      </c>
      <c r="GI58" s="339">
        <v>0.31</v>
      </c>
      <c r="GJ58" s="339">
        <v>326</v>
      </c>
      <c r="GK58" s="339">
        <v>28.81</v>
      </c>
      <c r="GL58" s="339">
        <v>0.31</v>
      </c>
      <c r="GM58" s="339">
        <v>326</v>
      </c>
      <c r="GN58" s="339">
        <v>32.119999999999997</v>
      </c>
      <c r="GO58" s="339">
        <v>0.31</v>
      </c>
      <c r="GP58" s="339">
        <v>326</v>
      </c>
      <c r="GQ58" s="339">
        <v>39.9</v>
      </c>
      <c r="GR58" s="339">
        <v>0.30499999999999999</v>
      </c>
      <c r="GS58" s="339">
        <v>326</v>
      </c>
      <c r="GT58" s="339">
        <v>51.38</v>
      </c>
      <c r="GU58" s="339">
        <v>0.30499999999999999</v>
      </c>
      <c r="GV58" s="339">
        <v>325.81099999999998</v>
      </c>
      <c r="GW58" s="339">
        <v>49.02</v>
      </c>
      <c r="GX58" s="339">
        <v>0.30499999999999999</v>
      </c>
      <c r="GY58" s="339">
        <v>326</v>
      </c>
      <c r="GZ58" s="339">
        <v>53.37</v>
      </c>
      <c r="HA58" s="339">
        <v>0.30499999999999999</v>
      </c>
      <c r="HB58" s="339">
        <v>326</v>
      </c>
      <c r="HC58" s="339">
        <v>55.45</v>
      </c>
      <c r="HD58" s="339">
        <v>0.28999999999999998</v>
      </c>
      <c r="HE58" s="339">
        <v>326</v>
      </c>
      <c r="HF58" s="339">
        <v>56.12</v>
      </c>
      <c r="HG58" s="339">
        <v>0.28999999999999998</v>
      </c>
      <c r="HH58" s="339">
        <v>325.81099999999998</v>
      </c>
      <c r="HI58" s="505">
        <v>49.13</v>
      </c>
      <c r="HJ58" s="339">
        <v>0.28999999999999998</v>
      </c>
      <c r="HK58" s="339">
        <v>326</v>
      </c>
      <c r="HL58" s="339">
        <v>45.48</v>
      </c>
      <c r="HM58" s="512">
        <v>0.28999999999999998</v>
      </c>
      <c r="HN58" s="339">
        <v>326</v>
      </c>
      <c r="HO58" s="339">
        <v>41.64</v>
      </c>
      <c r="HP58" s="339">
        <v>0.27</v>
      </c>
      <c r="HQ58" s="339">
        <v>326</v>
      </c>
      <c r="HR58" s="339">
        <v>39</v>
      </c>
      <c r="HS58" s="339">
        <v>0.27</v>
      </c>
      <c r="HT58" s="339">
        <v>326</v>
      </c>
      <c r="HU58" s="339">
        <v>41.18</v>
      </c>
      <c r="HV58" s="339">
        <v>0.27</v>
      </c>
      <c r="HW58" s="339">
        <v>325.81099999999998</v>
      </c>
      <c r="HX58" s="506">
        <v>43.61</v>
      </c>
      <c r="HY58" s="513">
        <v>0.27</v>
      </c>
      <c r="HZ58" s="339">
        <v>326</v>
      </c>
      <c r="IA58" s="339">
        <v>47.28</v>
      </c>
      <c r="IB58" s="339">
        <v>0.25</v>
      </c>
      <c r="IC58" s="339">
        <v>326</v>
      </c>
      <c r="ID58" s="339">
        <v>40.549999999999997</v>
      </c>
      <c r="IE58" s="339">
        <v>0.25</v>
      </c>
      <c r="IF58" s="339">
        <v>326</v>
      </c>
      <c r="IG58" s="339">
        <v>34.72</v>
      </c>
      <c r="IH58" s="339">
        <v>0.25</v>
      </c>
      <c r="II58" s="339">
        <v>326</v>
      </c>
      <c r="IJ58" s="505">
        <v>32.03</v>
      </c>
      <c r="IK58" s="339">
        <v>0.25</v>
      </c>
      <c r="IL58" s="339">
        <v>326</v>
      </c>
      <c r="IM58" s="339">
        <v>26.51</v>
      </c>
      <c r="IN58" s="339">
        <v>0.2</v>
      </c>
      <c r="IO58" s="339">
        <v>326</v>
      </c>
      <c r="IP58" s="339">
        <v>25.57</v>
      </c>
      <c r="IQ58" s="339">
        <v>0.2</v>
      </c>
      <c r="IR58" s="339">
        <v>326</v>
      </c>
      <c r="IS58" s="339">
        <v>24.29</v>
      </c>
      <c r="IT58" s="339">
        <v>0.2</v>
      </c>
      <c r="IU58" s="339">
        <v>326</v>
      </c>
      <c r="IV58" s="339">
        <v>21.93</v>
      </c>
      <c r="IW58" s="339">
        <v>0.2</v>
      </c>
      <c r="IX58" s="339">
        <v>326</v>
      </c>
      <c r="IY58" s="339">
        <v>19.100000000000001</v>
      </c>
      <c r="IZ58" s="339">
        <v>0</v>
      </c>
      <c r="JA58" s="339">
        <v>326</v>
      </c>
      <c r="JB58" s="339">
        <v>16.43</v>
      </c>
      <c r="JC58" s="339">
        <v>0</v>
      </c>
      <c r="JD58" s="339">
        <v>326</v>
      </c>
      <c r="JE58" s="339">
        <v>13.69</v>
      </c>
      <c r="JF58" s="339">
        <v>0</v>
      </c>
      <c r="JG58" s="339">
        <v>326</v>
      </c>
      <c r="JH58" s="339">
        <v>11.85</v>
      </c>
      <c r="JI58" s="339">
        <v>0</v>
      </c>
      <c r="JJ58" s="339">
        <v>326</v>
      </c>
      <c r="JK58" s="339">
        <v>10</v>
      </c>
      <c r="JL58" s="339">
        <v>0</v>
      </c>
      <c r="JM58" s="339">
        <v>326</v>
      </c>
      <c r="JN58" s="339">
        <v>17</v>
      </c>
      <c r="JO58" s="339">
        <v>0</v>
      </c>
      <c r="JP58" s="339">
        <v>325.8</v>
      </c>
      <c r="JQ58" s="339">
        <v>16.75</v>
      </c>
      <c r="JR58" s="339">
        <v>0</v>
      </c>
      <c r="JS58" s="339">
        <v>326</v>
      </c>
      <c r="JT58" s="339">
        <v>15.1</v>
      </c>
      <c r="JU58" s="339">
        <v>0</v>
      </c>
      <c r="JV58" s="339">
        <v>326</v>
      </c>
      <c r="JW58" s="339">
        <v>13.16</v>
      </c>
      <c r="JX58" s="339">
        <v>0</v>
      </c>
      <c r="JY58" s="339">
        <v>325.8</v>
      </c>
      <c r="JZ58" s="339">
        <v>11.15</v>
      </c>
      <c r="KA58" s="339">
        <v>0</v>
      </c>
      <c r="KB58" s="339">
        <v>325.8</v>
      </c>
      <c r="KC58" s="339">
        <v>12.64</v>
      </c>
      <c r="KD58" s="339">
        <v>0</v>
      </c>
      <c r="KE58" s="339">
        <v>325.8</v>
      </c>
      <c r="KF58" s="339">
        <v>15.625</v>
      </c>
      <c r="KG58" s="339">
        <v>0</v>
      </c>
      <c r="KH58" s="339">
        <v>331.69499999999999</v>
      </c>
      <c r="KI58" s="339">
        <v>19.3125</v>
      </c>
      <c r="KJ58" s="339">
        <v>0.28000000000000003</v>
      </c>
      <c r="KK58" s="339">
        <v>338.1</v>
      </c>
      <c r="KL58" s="339">
        <v>20.5</v>
      </c>
      <c r="KM58" s="339">
        <v>0.28000000000000003</v>
      </c>
      <c r="KN58" s="339">
        <v>347.20699999999999</v>
      </c>
      <c r="KO58" s="339">
        <v>16.5625</v>
      </c>
      <c r="KP58" s="339">
        <v>0.28000000000000003</v>
      </c>
      <c r="KQ58" s="339">
        <v>347.2</v>
      </c>
      <c r="KR58" s="339">
        <v>26.1875</v>
      </c>
      <c r="KS58" s="339">
        <v>0.27</v>
      </c>
      <c r="KT58" s="339">
        <v>347.2</v>
      </c>
      <c r="KU58" s="339">
        <v>24.3125</v>
      </c>
      <c r="KV58" s="339">
        <v>0.27</v>
      </c>
      <c r="KW58" s="334">
        <v>359</v>
      </c>
      <c r="KX58" s="334">
        <v>26.75</v>
      </c>
      <c r="KY58" s="334">
        <v>0.27</v>
      </c>
      <c r="KZ58" s="334">
        <v>353.28</v>
      </c>
      <c r="LA58" s="334">
        <v>22.25</v>
      </c>
      <c r="LB58" s="334">
        <v>0.27</v>
      </c>
      <c r="LC58" s="334">
        <v>353.28</v>
      </c>
      <c r="LD58" s="334">
        <v>27.875</v>
      </c>
      <c r="LE58" s="334">
        <v>0.26</v>
      </c>
      <c r="LF58" s="334">
        <v>370.28</v>
      </c>
      <c r="LG58" s="334">
        <v>25.687999999999999</v>
      </c>
      <c r="LH58" s="334">
        <v>0.26</v>
      </c>
      <c r="LI58" s="334">
        <v>370.28</v>
      </c>
      <c r="LJ58" s="334">
        <v>29.562999999999999</v>
      </c>
      <c r="LK58" s="334">
        <v>0.26</v>
      </c>
      <c r="LL58" s="334">
        <v>394.08</v>
      </c>
      <c r="LM58" s="334">
        <v>29.375</v>
      </c>
      <c r="LN58" s="334">
        <v>0.26</v>
      </c>
      <c r="LO58" s="334">
        <v>394.07600000000002</v>
      </c>
      <c r="LP58" s="334">
        <v>27.1875</v>
      </c>
      <c r="LQ58" s="334">
        <v>0.25</v>
      </c>
      <c r="LR58" s="334">
        <v>419.66500000000002</v>
      </c>
      <c r="LS58" s="334">
        <v>25.25</v>
      </c>
      <c r="LT58" s="334">
        <v>0.25</v>
      </c>
      <c r="LU58" s="334">
        <v>419.66500000000002</v>
      </c>
      <c r="LV58" s="334">
        <v>24.875</v>
      </c>
      <c r="LW58" s="334">
        <v>0.25</v>
      </c>
      <c r="LX58" s="334">
        <v>429.36599999999999</v>
      </c>
      <c r="LY58" s="334">
        <v>22.5</v>
      </c>
      <c r="LZ58" s="334">
        <v>0.25</v>
      </c>
      <c r="MA58" s="334">
        <v>436.476</v>
      </c>
      <c r="MB58" s="334">
        <v>19.875</v>
      </c>
      <c r="MC58" s="334">
        <v>0.25</v>
      </c>
      <c r="MD58" s="334">
        <v>445.85500000000002</v>
      </c>
      <c r="ME58" s="334">
        <v>17.875</v>
      </c>
      <c r="MF58" s="334">
        <v>0.25</v>
      </c>
      <c r="MG58" s="334">
        <v>445.85500000000002</v>
      </c>
      <c r="MH58" s="334">
        <v>17.625</v>
      </c>
      <c r="MI58" s="334">
        <v>0.25</v>
      </c>
      <c r="MJ58" s="334">
        <v>445.85500000000002</v>
      </c>
      <c r="MK58" s="334">
        <v>17.125</v>
      </c>
      <c r="ML58" s="334">
        <v>0.25</v>
      </c>
      <c r="MM58" s="334">
        <v>445.85500000000002</v>
      </c>
      <c r="MN58" s="334">
        <v>17.625</v>
      </c>
      <c r="MO58" s="334">
        <v>0.25</v>
      </c>
      <c r="MP58" s="334">
        <v>447.61900000000003</v>
      </c>
      <c r="MQ58" s="334">
        <v>17.75</v>
      </c>
      <c r="MR58" s="334">
        <v>0.25</v>
      </c>
      <c r="MS58" s="334">
        <v>447.61900000000003</v>
      </c>
      <c r="MT58" s="334">
        <v>17.125</v>
      </c>
      <c r="MU58" s="334">
        <v>0.25</v>
      </c>
      <c r="MV58" s="334">
        <v>447.61900000000003</v>
      </c>
      <c r="MW58" s="334">
        <v>15.625</v>
      </c>
      <c r="MX58" s="334">
        <v>0.25</v>
      </c>
      <c r="MY58" s="334">
        <v>447.79899999999998</v>
      </c>
      <c r="MZ58" s="334">
        <v>14.625</v>
      </c>
      <c r="NA58" s="334">
        <v>0.25</v>
      </c>
      <c r="NB58" s="334">
        <v>447.79899999999998</v>
      </c>
      <c r="NC58" s="334">
        <v>12.875</v>
      </c>
      <c r="ND58" s="334">
        <v>0.25</v>
      </c>
      <c r="NE58" s="334">
        <v>447.79899999999998</v>
      </c>
      <c r="NF58" s="334">
        <v>12.875</v>
      </c>
      <c r="NG58" s="334">
        <v>0.35499999999999998</v>
      </c>
      <c r="NH58" s="334">
        <v>447.755</v>
      </c>
      <c r="NI58" s="334">
        <v>16.5</v>
      </c>
      <c r="NJ58" s="334">
        <v>0.35499999999999998</v>
      </c>
      <c r="NK58" s="334">
        <v>447.755</v>
      </c>
      <c r="NL58" s="334">
        <v>20</v>
      </c>
      <c r="NM58" s="334">
        <v>0.35499999999999998</v>
      </c>
      <c r="NN58" s="334">
        <v>447.755</v>
      </c>
      <c r="NO58" s="334">
        <v>23.375</v>
      </c>
      <c r="NP58" s="334">
        <v>0.35499999999999998</v>
      </c>
      <c r="NQ58" s="334">
        <v>447.73899999999998</v>
      </c>
      <c r="NR58" s="334">
        <v>24.25</v>
      </c>
      <c r="NS58" s="334">
        <v>0.35499999999999998</v>
      </c>
      <c r="NT58" s="334">
        <v>447.73599999999999</v>
      </c>
      <c r="NU58" s="334">
        <v>23.625</v>
      </c>
      <c r="NV58" s="334">
        <v>0.35</v>
      </c>
      <c r="NW58" s="334">
        <v>444.94600000000003</v>
      </c>
      <c r="NX58" s="334">
        <v>22</v>
      </c>
      <c r="NY58" s="334">
        <v>0.35</v>
      </c>
      <c r="NZ58" s="334">
        <v>444.94600000000003</v>
      </c>
      <c r="OA58" s="334">
        <v>22.63</v>
      </c>
      <c r="OB58" s="334">
        <v>0.35</v>
      </c>
      <c r="OC58" s="334">
        <v>443.57400000000001</v>
      </c>
      <c r="OD58" s="334">
        <v>22.13</v>
      </c>
      <c r="OE58" s="334">
        <v>0.34</v>
      </c>
      <c r="OF58" s="334">
        <v>441.48200000000003</v>
      </c>
      <c r="OG58" s="334">
        <v>20.38</v>
      </c>
      <c r="OH58" s="334">
        <v>0.34</v>
      </c>
      <c r="OI58" s="334">
        <v>437.32</v>
      </c>
      <c r="OJ58" s="334">
        <v>23.38</v>
      </c>
      <c r="OK58" s="334">
        <v>0.34</v>
      </c>
      <c r="OL58" s="334">
        <v>436.95</v>
      </c>
      <c r="OM58" s="334">
        <v>22.19</v>
      </c>
      <c r="ON58" s="334">
        <v>0.34</v>
      </c>
      <c r="OO58" s="334">
        <v>436.95</v>
      </c>
      <c r="OP58" s="334">
        <v>19.440000000000001</v>
      </c>
      <c r="OQ58" s="334">
        <v>0.33</v>
      </c>
      <c r="OR58" s="334">
        <v>436.95</v>
      </c>
      <c r="OS58" s="334">
        <v>19.88</v>
      </c>
      <c r="OT58" s="334">
        <v>0.33</v>
      </c>
      <c r="OU58" s="334">
        <v>436.94799999999998</v>
      </c>
      <c r="OV58" s="334">
        <v>18.940000000000001</v>
      </c>
    </row>
    <row r="59" spans="1:412">
      <c r="A59" s="294" t="s">
        <v>12</v>
      </c>
      <c r="B59" s="335" t="s">
        <v>136</v>
      </c>
      <c r="C59" s="335">
        <v>1097</v>
      </c>
      <c r="D59" s="335">
        <v>82.32</v>
      </c>
      <c r="E59" s="335">
        <v>0.72</v>
      </c>
      <c r="F59" s="335">
        <v>1096</v>
      </c>
      <c r="G59" s="335">
        <v>90.18</v>
      </c>
      <c r="H59" s="335">
        <v>0.72</v>
      </c>
      <c r="I59" s="335">
        <v>1094</v>
      </c>
      <c r="J59" s="335">
        <v>77.569999999999993</v>
      </c>
      <c r="K59" s="335">
        <v>0.72</v>
      </c>
      <c r="L59" s="335">
        <v>1092</v>
      </c>
      <c r="M59" s="335">
        <v>71.739999999999995</v>
      </c>
      <c r="N59" s="335">
        <v>0.7</v>
      </c>
      <c r="O59" s="335">
        <v>1092</v>
      </c>
      <c r="P59" s="335">
        <v>70.12</v>
      </c>
      <c r="Q59" s="335">
        <v>0.7</v>
      </c>
      <c r="R59" s="340">
        <v>1092</v>
      </c>
      <c r="S59" s="340">
        <v>64.72</v>
      </c>
      <c r="T59" s="340">
        <v>0.7</v>
      </c>
      <c r="U59" s="340">
        <v>1091</v>
      </c>
      <c r="V59" s="340">
        <v>70.25</v>
      </c>
      <c r="W59" s="340">
        <v>0.7</v>
      </c>
      <c r="X59" s="340">
        <v>1075</v>
      </c>
      <c r="Y59" s="340">
        <v>69.58</v>
      </c>
      <c r="Z59" s="340">
        <v>0.68</v>
      </c>
      <c r="AA59" s="340">
        <v>1082</v>
      </c>
      <c r="AB59" s="340">
        <v>71.41</v>
      </c>
      <c r="AC59" s="340">
        <v>0.68</v>
      </c>
      <c r="AD59" s="340">
        <v>1065</v>
      </c>
      <c r="AE59" s="340">
        <v>68</v>
      </c>
      <c r="AF59" s="340">
        <v>0.68</v>
      </c>
      <c r="AG59" s="340">
        <v>1063</v>
      </c>
      <c r="AH59" s="340">
        <v>71.31</v>
      </c>
      <c r="AI59" s="340">
        <v>0.68</v>
      </c>
      <c r="AJ59" s="340">
        <v>1061</v>
      </c>
      <c r="AK59" s="340">
        <v>72.510000000000005</v>
      </c>
      <c r="AL59" s="340">
        <v>0.66</v>
      </c>
      <c r="AM59" s="340">
        <v>1061</v>
      </c>
      <c r="AN59" s="340">
        <v>68.58</v>
      </c>
      <c r="AO59" s="340">
        <v>0.66</v>
      </c>
      <c r="AP59" s="340">
        <v>1061</v>
      </c>
      <c r="AQ59" s="340">
        <v>61.97</v>
      </c>
      <c r="AR59" s="340">
        <v>0.66</v>
      </c>
      <c r="AS59" s="340">
        <v>1060</v>
      </c>
      <c r="AT59" s="340">
        <v>60.51</v>
      </c>
      <c r="AU59" s="340">
        <v>0.66</v>
      </c>
      <c r="AV59" s="340">
        <v>1058</v>
      </c>
      <c r="AW59" s="340">
        <v>62.16</v>
      </c>
      <c r="AX59" s="340">
        <v>0.64</v>
      </c>
      <c r="AY59" s="503">
        <v>1058</v>
      </c>
      <c r="AZ59" s="503">
        <v>61.43</v>
      </c>
      <c r="BA59" s="503">
        <v>0.64</v>
      </c>
      <c r="BB59" s="526">
        <v>1058</v>
      </c>
      <c r="BC59" s="526">
        <v>54.22</v>
      </c>
      <c r="BD59" s="526">
        <v>0.64</v>
      </c>
      <c r="BE59" s="526">
        <v>1057</v>
      </c>
      <c r="BF59" s="504">
        <v>51.85</v>
      </c>
      <c r="BG59" s="518">
        <v>0.64</v>
      </c>
      <c r="BH59" s="526">
        <v>1046.0229999999999</v>
      </c>
      <c r="BI59" s="504">
        <v>54.14</v>
      </c>
      <c r="BJ59" s="504">
        <v>0.62</v>
      </c>
      <c r="BK59" s="504">
        <v>1048</v>
      </c>
      <c r="BL59" s="504">
        <v>63.7</v>
      </c>
      <c r="BM59" s="504">
        <v>0.62</v>
      </c>
      <c r="BN59" s="504">
        <v>1044</v>
      </c>
      <c r="BO59" s="504">
        <v>61.77</v>
      </c>
      <c r="BP59" s="504">
        <v>0.62</v>
      </c>
      <c r="BQ59" s="504">
        <v>1038</v>
      </c>
      <c r="BR59" s="504">
        <v>55.28</v>
      </c>
      <c r="BS59" s="507">
        <v>0.62</v>
      </c>
      <c r="BT59" s="504">
        <v>1020.247</v>
      </c>
      <c r="BU59" s="504">
        <v>51.68</v>
      </c>
      <c r="BV59" s="504">
        <v>0.6</v>
      </c>
      <c r="BW59" s="504">
        <v>1023</v>
      </c>
      <c r="BX59" s="504">
        <v>43.92</v>
      </c>
      <c r="BY59" s="504">
        <v>0.6</v>
      </c>
      <c r="BZ59" s="504">
        <v>1014</v>
      </c>
      <c r="CA59" s="504">
        <v>43.6</v>
      </c>
      <c r="CB59" s="504">
        <v>0.6</v>
      </c>
      <c r="CC59" s="503">
        <v>1011</v>
      </c>
      <c r="CD59" s="503">
        <v>46.31</v>
      </c>
      <c r="CE59" s="508">
        <v>0.6</v>
      </c>
      <c r="CF59" s="503">
        <v>1007.3440000000001</v>
      </c>
      <c r="CG59" s="503">
        <v>44.66</v>
      </c>
      <c r="CH59" s="503">
        <v>0.57999999999999996</v>
      </c>
      <c r="CI59" s="513">
        <v>1003</v>
      </c>
      <c r="CJ59" s="503">
        <v>48.09</v>
      </c>
      <c r="CK59" s="503">
        <v>0.57999999999999996</v>
      </c>
      <c r="CL59" s="503">
        <v>998</v>
      </c>
      <c r="CM59" s="503">
        <v>49.14</v>
      </c>
      <c r="CN59" s="503">
        <v>0.57999999999999996</v>
      </c>
      <c r="CO59" s="503">
        <v>993</v>
      </c>
      <c r="CP59" s="503">
        <v>47.88</v>
      </c>
      <c r="CQ59" s="508">
        <v>0.57999999999999996</v>
      </c>
      <c r="CR59" s="504">
        <v>951.33199999999999</v>
      </c>
      <c r="CS59" s="504">
        <v>49.78</v>
      </c>
      <c r="CT59" s="504">
        <v>0.56000000000000005</v>
      </c>
      <c r="CU59" s="503">
        <v>968</v>
      </c>
      <c r="CV59" s="503">
        <v>49.19</v>
      </c>
      <c r="CW59" s="503">
        <v>0.56000000000000005</v>
      </c>
      <c r="CX59" s="339">
        <v>934</v>
      </c>
      <c r="CY59" s="339">
        <v>51.3</v>
      </c>
      <c r="CZ59" s="339">
        <v>0.56000000000000005</v>
      </c>
      <c r="DA59" s="339">
        <v>916</v>
      </c>
      <c r="DB59" s="339">
        <v>53.63</v>
      </c>
      <c r="DC59" s="511">
        <v>0.56000000000000005</v>
      </c>
      <c r="DD59" s="339">
        <v>910.024</v>
      </c>
      <c r="DE59" s="339">
        <v>51.73</v>
      </c>
      <c r="DF59" s="339">
        <v>0.54249999999999998</v>
      </c>
      <c r="DG59" s="339">
        <v>910</v>
      </c>
      <c r="DH59" s="339">
        <v>46.79</v>
      </c>
      <c r="DI59" s="339">
        <v>0.54249999999999998</v>
      </c>
      <c r="DJ59" s="339">
        <v>909</v>
      </c>
      <c r="DK59" s="339">
        <v>44.7</v>
      </c>
      <c r="DL59" s="339">
        <v>0.54249999999999998</v>
      </c>
      <c r="DM59" s="339">
        <v>910</v>
      </c>
      <c r="DN59" s="339">
        <v>41.9</v>
      </c>
      <c r="DO59" s="510">
        <v>0.54249999999999998</v>
      </c>
      <c r="DP59" s="340">
        <v>906.77599999999995</v>
      </c>
      <c r="DQ59" s="340">
        <v>44.28</v>
      </c>
      <c r="DR59" s="340">
        <v>0.52500000000000002</v>
      </c>
      <c r="DS59" s="339">
        <v>898</v>
      </c>
      <c r="DT59" s="339">
        <v>49.11</v>
      </c>
      <c r="DU59" s="339">
        <v>0.52500000000000002</v>
      </c>
      <c r="DV59" s="339">
        <v>895</v>
      </c>
      <c r="DW59" s="339">
        <v>43.65</v>
      </c>
      <c r="DX59" s="339">
        <v>0.52500000000000002</v>
      </c>
      <c r="DY59" s="339">
        <v>890</v>
      </c>
      <c r="DZ59" s="339">
        <v>45.38</v>
      </c>
      <c r="EA59" s="510">
        <v>0.52500000000000002</v>
      </c>
      <c r="EB59" s="340">
        <v>876.755</v>
      </c>
      <c r="EC59" s="340">
        <v>43.94</v>
      </c>
      <c r="ED59" s="340">
        <v>0.50749999999999995</v>
      </c>
      <c r="EE59" s="339">
        <v>878</v>
      </c>
      <c r="EF59" s="339">
        <v>41.11</v>
      </c>
      <c r="EG59" s="339">
        <v>0.50749999999999995</v>
      </c>
      <c r="EH59" s="339">
        <v>874</v>
      </c>
      <c r="EI59" s="339">
        <v>41.18</v>
      </c>
      <c r="EJ59" s="339">
        <v>0.50749999999999995</v>
      </c>
      <c r="EK59" s="339">
        <v>870</v>
      </c>
      <c r="EL59" s="339">
        <v>44.13</v>
      </c>
      <c r="EM59" s="510">
        <v>0.50749999999999995</v>
      </c>
      <c r="EN59" s="340">
        <v>871.38800000000003</v>
      </c>
      <c r="EO59" s="340">
        <v>46.92</v>
      </c>
      <c r="EP59" s="340">
        <v>0.49</v>
      </c>
      <c r="EQ59" s="339">
        <v>876</v>
      </c>
      <c r="ER59" s="339">
        <v>42.81</v>
      </c>
      <c r="ES59" s="339">
        <v>0.49</v>
      </c>
      <c r="ET59" s="339">
        <v>872</v>
      </c>
      <c r="EU59" s="339">
        <v>46.09</v>
      </c>
      <c r="EV59" s="339">
        <v>0.49</v>
      </c>
      <c r="EW59" s="339">
        <v>868</v>
      </c>
      <c r="EX59" s="339">
        <v>46.24</v>
      </c>
      <c r="EY59" s="510">
        <v>0.49</v>
      </c>
      <c r="EZ59" s="340">
        <v>856.89800000000002</v>
      </c>
      <c r="FA59" s="340">
        <v>44.93</v>
      </c>
      <c r="FB59" s="340">
        <v>0.47249999999999998</v>
      </c>
      <c r="FC59" s="339">
        <v>860</v>
      </c>
      <c r="FD59" s="339">
        <v>46.29</v>
      </c>
      <c r="FE59" s="339">
        <v>0.47249999999999998</v>
      </c>
      <c r="FF59" s="339">
        <v>855</v>
      </c>
      <c r="FG59" s="339">
        <v>42.37</v>
      </c>
      <c r="FH59" s="339">
        <v>0.47249999999999998</v>
      </c>
      <c r="FI59" s="339">
        <v>848</v>
      </c>
      <c r="FJ59" s="339">
        <v>40.380000000000003</v>
      </c>
      <c r="FK59" s="511">
        <v>0.47249999999999998</v>
      </c>
      <c r="FL59" s="339">
        <v>841.91499999999996</v>
      </c>
      <c r="FM59" s="339">
        <v>38.11</v>
      </c>
      <c r="FN59" s="339">
        <v>0.45500000000000002</v>
      </c>
      <c r="FO59" s="339">
        <v>835.95299999999997</v>
      </c>
      <c r="FP59" s="339">
        <v>38.229999999999997</v>
      </c>
      <c r="FQ59" s="339">
        <v>0.45500000000000002</v>
      </c>
      <c r="FR59" s="339">
        <v>828.36300000000006</v>
      </c>
      <c r="FS59" s="339">
        <v>37.24</v>
      </c>
      <c r="FT59" s="339">
        <v>0.45500000000000002</v>
      </c>
      <c r="FU59" s="339">
        <v>822.52599999999995</v>
      </c>
      <c r="FV59" s="339">
        <v>33.28</v>
      </c>
      <c r="FW59" s="339">
        <v>0.45500000000000002</v>
      </c>
      <c r="FX59" s="339">
        <v>810.15499999999997</v>
      </c>
      <c r="FY59" s="339">
        <v>33.159999999999997</v>
      </c>
      <c r="FZ59" s="339">
        <v>0.4375</v>
      </c>
      <c r="GA59" s="339">
        <v>798.41800000000001</v>
      </c>
      <c r="GB59" s="339">
        <v>33.32</v>
      </c>
      <c r="GC59" s="339">
        <v>0.4375</v>
      </c>
      <c r="GD59" s="339">
        <v>790.74800000000005</v>
      </c>
      <c r="GE59" s="339">
        <v>31.67</v>
      </c>
      <c r="GF59" s="339">
        <v>0.4375</v>
      </c>
      <c r="GG59" s="339">
        <v>779.85799999999995</v>
      </c>
      <c r="GH59" s="339">
        <v>31.16</v>
      </c>
      <c r="GI59" s="339">
        <v>0.4375</v>
      </c>
      <c r="GJ59" s="339">
        <v>776.26</v>
      </c>
      <c r="GK59" s="339">
        <v>30.62</v>
      </c>
      <c r="GL59" s="339">
        <v>0.42</v>
      </c>
      <c r="GM59" s="339">
        <v>772.62199999999996</v>
      </c>
      <c r="GN59" s="339">
        <v>37</v>
      </c>
      <c r="GO59" s="339">
        <v>0.42</v>
      </c>
      <c r="GP59" s="339">
        <v>769.12199999999996</v>
      </c>
      <c r="GQ59" s="339">
        <v>37.69</v>
      </c>
      <c r="GR59" s="339">
        <v>0.42</v>
      </c>
      <c r="GS59" s="339">
        <v>766.15</v>
      </c>
      <c r="GT59" s="339">
        <v>34.92</v>
      </c>
      <c r="GU59" s="510">
        <v>0.42</v>
      </c>
      <c r="GV59" s="339">
        <v>756.35</v>
      </c>
      <c r="GW59" s="339">
        <v>35.61</v>
      </c>
      <c r="GX59" s="339">
        <v>0.40250000000000002</v>
      </c>
      <c r="GY59" s="339">
        <v>758.30799999999999</v>
      </c>
      <c r="GZ59" s="339">
        <v>38.75</v>
      </c>
      <c r="HA59" s="339">
        <v>0.40250000000000002</v>
      </c>
      <c r="HB59" s="339">
        <v>755.13699999999994</v>
      </c>
      <c r="HC59" s="339">
        <v>36.28</v>
      </c>
      <c r="HD59" s="339">
        <v>0.40250000000000002</v>
      </c>
      <c r="HE59" s="339">
        <v>750.25900000000001</v>
      </c>
      <c r="HF59" s="339">
        <v>34.29</v>
      </c>
      <c r="HG59" s="339">
        <v>0.40250000000000002</v>
      </c>
      <c r="HH59" s="339">
        <v>743.14599999999996</v>
      </c>
      <c r="HI59" s="505">
        <v>36.65</v>
      </c>
      <c r="HJ59" s="339">
        <v>0.38750000000000001</v>
      </c>
      <c r="HK59" s="339">
        <v>742.88400000000001</v>
      </c>
      <c r="HL59" s="339">
        <v>36.86</v>
      </c>
      <c r="HM59" s="339">
        <v>0.38750000000000001</v>
      </c>
      <c r="HN59" s="339">
        <v>742.51499999999999</v>
      </c>
      <c r="HO59" s="339">
        <v>34.46</v>
      </c>
      <c r="HP59" s="339">
        <v>0.38750000000000001</v>
      </c>
      <c r="HQ59" s="339">
        <v>742.19500000000005</v>
      </c>
      <c r="HR59" s="339">
        <v>32.049999999999997</v>
      </c>
      <c r="HS59" s="512">
        <v>0.38750000000000001</v>
      </c>
      <c r="HT59" s="339">
        <v>742</v>
      </c>
      <c r="HU59" s="339">
        <v>32.770000000000003</v>
      </c>
      <c r="HV59" s="339">
        <v>0.3725</v>
      </c>
      <c r="HW59" s="339">
        <v>743.21400000000006</v>
      </c>
      <c r="HX59" s="506">
        <v>34.53</v>
      </c>
      <c r="HY59" s="513">
        <f>1.49/4</f>
        <v>0.3725</v>
      </c>
      <c r="HZ59" s="339">
        <v>746.82299999999998</v>
      </c>
      <c r="IA59" s="339">
        <v>35.76</v>
      </c>
      <c r="IB59" s="339">
        <v>0.3725</v>
      </c>
      <c r="IC59" s="339">
        <v>744.02499999999998</v>
      </c>
      <c r="ID59" s="339">
        <v>34.67</v>
      </c>
      <c r="IE59" s="339">
        <v>0.3725</v>
      </c>
      <c r="IF59" s="339">
        <v>739.34500000000003</v>
      </c>
      <c r="IG59" s="339">
        <v>31.83</v>
      </c>
      <c r="IH59" s="339">
        <v>0.35749999999999998</v>
      </c>
      <c r="II59" s="339">
        <v>739.34500000000003</v>
      </c>
      <c r="IJ59" s="505">
        <v>33.520000000000003</v>
      </c>
      <c r="IK59" s="339">
        <v>0.35749999999999998</v>
      </c>
      <c r="IL59" s="339">
        <v>738.18499999999995</v>
      </c>
      <c r="IM59" s="339">
        <v>29.98</v>
      </c>
      <c r="IN59" s="339">
        <v>0.35749999999999998</v>
      </c>
      <c r="IO59" s="339">
        <v>736.63800000000003</v>
      </c>
      <c r="IP59" s="339">
        <v>29.15</v>
      </c>
      <c r="IQ59" s="339">
        <v>0.35</v>
      </c>
      <c r="IR59" s="339">
        <v>734.61400000000003</v>
      </c>
      <c r="IS59" s="339">
        <v>30.5</v>
      </c>
      <c r="IT59" s="339">
        <v>0.35</v>
      </c>
      <c r="IU59" s="339">
        <v>729.81600000000003</v>
      </c>
      <c r="IV59" s="339">
        <v>30.25</v>
      </c>
      <c r="IW59" s="339">
        <v>0.35</v>
      </c>
      <c r="IX59" s="339">
        <v>724.62699999999995</v>
      </c>
      <c r="IY59" s="339">
        <v>29.35</v>
      </c>
      <c r="IZ59" s="339">
        <v>0.35</v>
      </c>
      <c r="JA59" s="339">
        <v>718.94299999999998</v>
      </c>
      <c r="JB59" s="339">
        <v>31.16</v>
      </c>
      <c r="JC59" s="339">
        <v>0.34250000000000003</v>
      </c>
      <c r="JD59" s="339">
        <v>715</v>
      </c>
      <c r="JE59" s="339">
        <v>28.44</v>
      </c>
      <c r="JF59" s="339">
        <v>0.34250000000000003</v>
      </c>
      <c r="JG59" s="339">
        <v>710.64700000000005</v>
      </c>
      <c r="JH59" s="339">
        <v>28.39</v>
      </c>
      <c r="JI59" s="339">
        <v>0.34250000000000003</v>
      </c>
      <c r="JJ59" s="339">
        <v>706.18100000000004</v>
      </c>
      <c r="JK59" s="339">
        <v>28.78</v>
      </c>
      <c r="JL59" s="339">
        <v>0.34250000000000003</v>
      </c>
      <c r="JM59" s="339">
        <v>701.01199999999994</v>
      </c>
      <c r="JN59" s="339">
        <v>27.4</v>
      </c>
      <c r="JO59" s="339">
        <v>0.33500000000000002</v>
      </c>
      <c r="JP59" s="339">
        <v>696</v>
      </c>
      <c r="JQ59" s="339">
        <v>26.49</v>
      </c>
      <c r="JR59" s="339">
        <v>0.33500000000000002</v>
      </c>
      <c r="JS59" s="339">
        <v>691.68700000000001</v>
      </c>
      <c r="JT59" s="339">
        <v>25.35</v>
      </c>
      <c r="JU59" s="339">
        <v>0.33500000000000002</v>
      </c>
      <c r="JV59" s="339">
        <v>686.702</v>
      </c>
      <c r="JW59" s="339">
        <v>23.98</v>
      </c>
      <c r="JX59" s="339">
        <v>0.33500000000000002</v>
      </c>
      <c r="JY59" s="339">
        <v>684</v>
      </c>
      <c r="JZ59" s="339">
        <v>23.25</v>
      </c>
      <c r="KA59" s="339">
        <v>0.33500000000000002</v>
      </c>
      <c r="KB59" s="339">
        <v>909.71</v>
      </c>
      <c r="KC59" s="339">
        <v>25.10707</v>
      </c>
      <c r="KD59" s="339">
        <v>0.2397</v>
      </c>
      <c r="KE59" s="339">
        <v>907.05</v>
      </c>
      <c r="KF59" s="339">
        <v>23.79</v>
      </c>
      <c r="KG59" s="339">
        <v>0.2397</v>
      </c>
      <c r="KH59" s="339">
        <v>906.63</v>
      </c>
      <c r="KI59" s="339">
        <v>23.25</v>
      </c>
      <c r="KJ59" s="339">
        <v>0.2397</v>
      </c>
      <c r="KK59" s="339">
        <v>912.64</v>
      </c>
      <c r="KL59" s="339">
        <v>16.68</v>
      </c>
      <c r="KM59" s="339">
        <v>0.2397</v>
      </c>
      <c r="KN59" s="339">
        <v>936.4</v>
      </c>
      <c r="KO59" s="339">
        <v>15.56</v>
      </c>
      <c r="KP59" s="339">
        <v>0.2397</v>
      </c>
      <c r="KQ59" s="339">
        <v>947.58</v>
      </c>
      <c r="KR59" s="339">
        <v>16.809999999999999</v>
      </c>
      <c r="KS59" s="339">
        <v>0.2397</v>
      </c>
      <c r="KT59" s="339">
        <v>969.2</v>
      </c>
      <c r="KU59" s="339">
        <v>18.420000000000002</v>
      </c>
      <c r="KV59" s="339">
        <v>0.2397</v>
      </c>
      <c r="KW59" s="334">
        <v>974.05</v>
      </c>
      <c r="KX59" s="334">
        <v>18.96</v>
      </c>
      <c r="KY59" s="334">
        <v>0.2397</v>
      </c>
      <c r="KZ59" s="334">
        <v>975.26</v>
      </c>
      <c r="LA59" s="334">
        <v>16.68</v>
      </c>
      <c r="LB59" s="334">
        <v>0.2397</v>
      </c>
      <c r="LC59" s="334">
        <v>975.26</v>
      </c>
      <c r="LD59" s="334">
        <v>20.79</v>
      </c>
      <c r="LE59" s="334">
        <v>0.2397</v>
      </c>
      <c r="LF59" s="334">
        <v>971.41</v>
      </c>
      <c r="LG59" s="334">
        <v>21.06</v>
      </c>
      <c r="LH59" s="334">
        <v>0.2397</v>
      </c>
      <c r="LI59" s="334">
        <v>971.41</v>
      </c>
      <c r="LJ59" s="334">
        <v>19.809999999999999</v>
      </c>
      <c r="LK59" s="334">
        <v>0.2397</v>
      </c>
      <c r="LL59" s="334">
        <v>960.38</v>
      </c>
      <c r="LM59" s="334">
        <v>19.809999999999999</v>
      </c>
      <c r="LN59" s="334">
        <v>0.23250000000000001</v>
      </c>
      <c r="LO59" s="334">
        <v>960.38</v>
      </c>
      <c r="LP59" s="334">
        <v>18.510000000000002</v>
      </c>
      <c r="LQ59" s="334">
        <v>0.23250000000000001</v>
      </c>
      <c r="LR59" s="334">
        <v>948.74</v>
      </c>
      <c r="LS59" s="334">
        <v>16.14</v>
      </c>
      <c r="LT59" s="334">
        <v>0.23250000000000001</v>
      </c>
      <c r="LU59" s="334">
        <v>948.74</v>
      </c>
      <c r="LV59" s="334">
        <v>15.65</v>
      </c>
      <c r="LW59" s="334">
        <v>0.23250000000000001</v>
      </c>
      <c r="LX59" s="334">
        <v>941.5</v>
      </c>
      <c r="LY59" s="334">
        <v>15.12</v>
      </c>
      <c r="LZ59" s="334">
        <v>0.23250000000000001</v>
      </c>
      <c r="MA59" s="334">
        <v>673.65099999999995</v>
      </c>
      <c r="MB59" s="334">
        <v>22.375</v>
      </c>
      <c r="MC59" s="334">
        <v>0.315</v>
      </c>
      <c r="MD59" s="334">
        <v>665.774</v>
      </c>
      <c r="ME59" s="334">
        <v>22.5</v>
      </c>
      <c r="MF59" s="334">
        <v>0.315</v>
      </c>
      <c r="MG59" s="334">
        <v>665.774</v>
      </c>
      <c r="MH59" s="334">
        <v>24.625</v>
      </c>
      <c r="MI59" s="334">
        <v>0.315</v>
      </c>
      <c r="MJ59" s="334">
        <v>665.774</v>
      </c>
      <c r="MK59" s="334">
        <v>23.875</v>
      </c>
      <c r="ML59" s="334">
        <v>0.315</v>
      </c>
      <c r="MM59" s="334">
        <v>665.774</v>
      </c>
      <c r="MN59" s="334">
        <v>24.625</v>
      </c>
      <c r="MO59" s="334">
        <v>0.30499999999999999</v>
      </c>
      <c r="MP59" s="334">
        <v>643.6</v>
      </c>
      <c r="MQ59" s="334">
        <v>23.5</v>
      </c>
      <c r="MR59" s="334">
        <v>0.30499999999999999</v>
      </c>
      <c r="MS59" s="334">
        <v>643.6</v>
      </c>
      <c r="MT59" s="334">
        <v>22.375</v>
      </c>
      <c r="MU59" s="334">
        <v>0.30499999999999999</v>
      </c>
      <c r="MV59" s="334">
        <v>643.6</v>
      </c>
      <c r="MW59" s="334">
        <v>20.375</v>
      </c>
      <c r="MX59" s="334">
        <v>0.30499999999999999</v>
      </c>
      <c r="MY59" s="334">
        <v>643.6</v>
      </c>
      <c r="MZ59" s="334">
        <v>20</v>
      </c>
      <c r="NA59" s="334">
        <v>0.29499999999999998</v>
      </c>
      <c r="NB59" s="334">
        <v>643.6</v>
      </c>
      <c r="NC59" s="334">
        <v>18.625</v>
      </c>
      <c r="ND59" s="334">
        <v>0.29499999999999998</v>
      </c>
      <c r="NE59" s="334">
        <v>643.6</v>
      </c>
      <c r="NF59" s="334">
        <v>18.75</v>
      </c>
      <c r="NG59" s="334">
        <v>0.29499999999999998</v>
      </c>
      <c r="NH59" s="334">
        <v>638.82799999999997</v>
      </c>
      <c r="NI59" s="334">
        <v>19</v>
      </c>
      <c r="NJ59" s="334">
        <v>0.29499999999999998</v>
      </c>
      <c r="NK59" s="334">
        <v>638.82799999999997</v>
      </c>
      <c r="NL59" s="334">
        <v>22.0625</v>
      </c>
      <c r="NM59" s="334">
        <v>0.28499999999999998</v>
      </c>
      <c r="NN59" s="334">
        <v>638.82799999999997</v>
      </c>
      <c r="NO59" s="334">
        <v>22.5</v>
      </c>
      <c r="NP59" s="334">
        <v>0.28499999999999998</v>
      </c>
      <c r="NQ59" s="334">
        <v>636.10799999999995</v>
      </c>
      <c r="NR59" s="334">
        <v>21.0625</v>
      </c>
      <c r="NS59" s="334">
        <v>0.28499999999999998</v>
      </c>
      <c r="NT59" s="334">
        <v>633.56600000000003</v>
      </c>
      <c r="NU59" s="334">
        <v>21.3125</v>
      </c>
      <c r="NV59" s="334">
        <v>0.28499999999999998</v>
      </c>
      <c r="NW59" s="334">
        <v>631.48599999999999</v>
      </c>
      <c r="NX59" s="334">
        <v>19.25</v>
      </c>
      <c r="NY59" s="334">
        <v>0.28000000000000003</v>
      </c>
      <c r="NZ59" s="334">
        <v>631.48599999999999</v>
      </c>
      <c r="OA59" s="334">
        <v>19</v>
      </c>
      <c r="OB59" s="334">
        <v>0.28000000000000003</v>
      </c>
      <c r="OC59" s="334">
        <v>631.30799999999999</v>
      </c>
      <c r="OD59" s="334">
        <v>17.440000000000001</v>
      </c>
      <c r="OE59" s="334">
        <v>0.28000000000000003</v>
      </c>
      <c r="OF59" s="334">
        <v>631.30799999999999</v>
      </c>
      <c r="OG59" s="334">
        <v>15.94</v>
      </c>
      <c r="OH59" s="334">
        <v>0.28000000000000003</v>
      </c>
      <c r="OI59" s="334">
        <v>631.30799999999999</v>
      </c>
      <c r="OJ59" s="334">
        <v>17.190000000000001</v>
      </c>
      <c r="OK59" s="334">
        <v>0.27</v>
      </c>
      <c r="OL59" s="334">
        <v>631.30799999999999</v>
      </c>
      <c r="OM59" s="334">
        <v>15.06</v>
      </c>
      <c r="ON59" s="334">
        <v>0.27</v>
      </c>
      <c r="OO59" s="334">
        <v>631.30799999999999</v>
      </c>
      <c r="OP59" s="334">
        <v>13.75</v>
      </c>
      <c r="OQ59" s="334">
        <v>0.27</v>
      </c>
      <c r="OR59" s="334">
        <v>631.30799999999999</v>
      </c>
      <c r="OS59" s="334">
        <v>14.31</v>
      </c>
      <c r="OT59" s="334">
        <v>0.27</v>
      </c>
      <c r="OU59" s="334">
        <v>631.30799999999999</v>
      </c>
      <c r="OV59" s="334">
        <v>13.94</v>
      </c>
    </row>
    <row r="60" spans="1:412">
      <c r="B60" s="333" t="s">
        <v>247</v>
      </c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9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339"/>
      <c r="AE60" s="339"/>
      <c r="AF60" s="339"/>
      <c r="AG60" s="339"/>
      <c r="AH60" s="339"/>
      <c r="AI60" s="339"/>
      <c r="AJ60" s="339"/>
      <c r="AK60" s="339"/>
      <c r="AL60" s="339"/>
      <c r="AM60" s="339"/>
      <c r="AN60" s="339"/>
      <c r="AO60" s="339"/>
      <c r="AP60" s="339"/>
      <c r="AQ60" s="339"/>
      <c r="AR60" s="339"/>
      <c r="AS60" s="339"/>
      <c r="AT60" s="339"/>
      <c r="AU60" s="339"/>
      <c r="AV60" s="339"/>
      <c r="AW60" s="339"/>
      <c r="AX60" s="339"/>
      <c r="AY60" s="503"/>
      <c r="AZ60" s="503"/>
      <c r="BA60" s="503"/>
      <c r="BB60" s="503"/>
      <c r="BC60" s="503"/>
      <c r="BD60" s="503"/>
      <c r="BE60" s="503"/>
      <c r="BF60" s="503"/>
      <c r="BG60" s="503"/>
      <c r="BH60" s="503"/>
      <c r="BI60" s="503"/>
      <c r="BJ60" s="503"/>
      <c r="BK60" s="503"/>
      <c r="BL60" s="503"/>
      <c r="BM60" s="503"/>
      <c r="BN60" s="503"/>
      <c r="BO60" s="503"/>
      <c r="BP60" s="503"/>
      <c r="BQ60" s="504"/>
      <c r="BR60" s="504"/>
      <c r="BS60" s="504"/>
      <c r="BT60" s="504"/>
      <c r="BU60" s="504"/>
      <c r="BV60" s="504"/>
      <c r="BW60" s="504"/>
      <c r="BX60" s="504"/>
      <c r="BY60" s="504"/>
      <c r="BZ60" s="503"/>
      <c r="CA60" s="503"/>
      <c r="CB60" s="503"/>
      <c r="CC60" s="503"/>
      <c r="CD60" s="503"/>
      <c r="CE60" s="503"/>
      <c r="CF60" s="503"/>
      <c r="CG60" s="503"/>
      <c r="CH60" s="503"/>
      <c r="CI60" s="503"/>
      <c r="CJ60" s="503"/>
      <c r="CK60" s="503"/>
      <c r="CL60" s="503"/>
      <c r="CM60" s="503"/>
      <c r="CN60" s="503"/>
      <c r="CO60" s="503"/>
      <c r="CP60" s="503"/>
      <c r="CQ60" s="503"/>
      <c r="CR60" s="504"/>
      <c r="CS60" s="504"/>
      <c r="CT60" s="504"/>
      <c r="CU60" s="503"/>
      <c r="CV60" s="503"/>
      <c r="CW60" s="503"/>
      <c r="CX60" s="339"/>
      <c r="CY60" s="339"/>
      <c r="CZ60" s="339"/>
      <c r="DA60" s="339"/>
      <c r="DB60" s="339"/>
      <c r="DC60" s="339"/>
      <c r="DD60" s="339"/>
      <c r="DE60" s="339"/>
      <c r="DF60" s="339"/>
      <c r="DG60" s="339"/>
      <c r="DH60" s="339"/>
      <c r="DI60" s="339"/>
      <c r="DJ60" s="339"/>
      <c r="DK60" s="339"/>
      <c r="DL60" s="339"/>
      <c r="DM60" s="339"/>
      <c r="DN60" s="339"/>
      <c r="DO60" s="339"/>
      <c r="DP60" s="339"/>
      <c r="DQ60" s="339"/>
      <c r="DR60" s="339"/>
      <c r="DS60" s="339"/>
      <c r="DT60" s="339"/>
      <c r="DU60" s="339"/>
      <c r="DV60" s="339"/>
      <c r="DW60" s="339"/>
      <c r="DX60" s="339"/>
      <c r="DY60" s="339"/>
      <c r="DZ60" s="339"/>
      <c r="EA60" s="339"/>
      <c r="EB60" s="340"/>
      <c r="EC60" s="340"/>
      <c r="ED60" s="340"/>
      <c r="EE60" s="339"/>
      <c r="EF60" s="339"/>
      <c r="EG60" s="339"/>
      <c r="EH60" s="339"/>
      <c r="EI60" s="339"/>
      <c r="EJ60" s="339"/>
      <c r="EK60" s="339"/>
      <c r="EL60" s="339"/>
      <c r="EM60" s="339"/>
      <c r="EN60" s="339"/>
      <c r="EO60" s="339"/>
      <c r="EP60" s="339"/>
      <c r="EQ60" s="339"/>
      <c r="ER60" s="339"/>
      <c r="ES60" s="339"/>
      <c r="ET60" s="339"/>
      <c r="EU60" s="339"/>
      <c r="EV60" s="339"/>
      <c r="EW60" s="339"/>
      <c r="EX60" s="339"/>
      <c r="EY60" s="339"/>
      <c r="EZ60" s="339"/>
      <c r="FA60" s="339"/>
      <c r="FB60" s="339"/>
      <c r="FC60" s="339"/>
      <c r="FD60" s="339"/>
      <c r="FE60" s="339"/>
      <c r="FF60" s="339"/>
      <c r="FG60" s="339"/>
      <c r="FH60" s="342"/>
      <c r="FI60" s="339"/>
      <c r="FJ60" s="339"/>
      <c r="FK60" s="339"/>
      <c r="FL60" s="339"/>
      <c r="FM60" s="339"/>
      <c r="FN60" s="339"/>
      <c r="FO60" s="339"/>
      <c r="FP60" s="339"/>
      <c r="FQ60" s="339"/>
      <c r="FR60" s="339"/>
      <c r="FS60" s="339"/>
      <c r="FT60" s="339"/>
      <c r="FU60" s="339"/>
      <c r="FV60" s="339"/>
      <c r="FW60" s="339"/>
      <c r="FX60" s="339"/>
      <c r="FY60" s="339"/>
      <c r="FZ60" s="339"/>
      <c r="GA60" s="339"/>
      <c r="GB60" s="339"/>
      <c r="GC60" s="339"/>
      <c r="GD60" s="339"/>
      <c r="GE60" s="339"/>
      <c r="GF60" s="339"/>
      <c r="GG60" s="339"/>
      <c r="GH60" s="339"/>
      <c r="GI60" s="339"/>
      <c r="GJ60" s="339"/>
      <c r="GK60" s="339"/>
      <c r="GL60" s="339"/>
      <c r="GM60" s="339"/>
      <c r="GN60" s="339"/>
      <c r="GO60" s="339"/>
      <c r="GP60" s="339"/>
      <c r="GQ60" s="339"/>
      <c r="GR60" s="339"/>
      <c r="GS60" s="339"/>
      <c r="GT60" s="339"/>
      <c r="GU60" s="339"/>
      <c r="GV60" s="339"/>
      <c r="GW60" s="339"/>
      <c r="GX60" s="339"/>
      <c r="GY60" s="339"/>
      <c r="GZ60" s="339"/>
      <c r="HA60" s="339"/>
      <c r="HB60" s="339"/>
      <c r="HC60" s="339"/>
      <c r="HD60" s="339"/>
      <c r="HE60" s="339"/>
      <c r="HF60" s="339"/>
      <c r="HG60" s="339"/>
      <c r="HH60" s="339"/>
      <c r="HI60" s="505"/>
      <c r="HJ60" s="339"/>
      <c r="HK60" s="339"/>
      <c r="HL60" s="339"/>
      <c r="HM60" s="339"/>
      <c r="HN60" s="339"/>
      <c r="HO60" s="339"/>
      <c r="HP60" s="339"/>
      <c r="HQ60" s="339"/>
      <c r="HR60" s="339"/>
      <c r="HS60" s="339"/>
      <c r="HT60" s="339"/>
      <c r="HU60" s="339"/>
      <c r="HV60" s="339"/>
      <c r="HW60" s="339"/>
      <c r="HX60" s="506"/>
      <c r="HY60" s="513"/>
      <c r="HZ60" s="339"/>
      <c r="IA60" s="339"/>
      <c r="IB60" s="339"/>
      <c r="IC60" s="339"/>
      <c r="ID60" s="339"/>
      <c r="IE60" s="339"/>
      <c r="IF60" s="339"/>
      <c r="IG60" s="339"/>
      <c r="IH60" s="339"/>
      <c r="II60" s="339"/>
      <c r="IJ60" s="505"/>
      <c r="IK60" s="339"/>
      <c r="IL60" s="339"/>
      <c r="IM60" s="339"/>
      <c r="IN60" s="339"/>
      <c r="IO60" s="339"/>
      <c r="IP60" s="339"/>
      <c r="IQ60" s="339"/>
      <c r="IR60" s="339"/>
      <c r="IS60" s="339"/>
      <c r="IT60" s="339"/>
      <c r="IU60" s="339"/>
      <c r="IV60" s="339"/>
      <c r="IW60" s="339"/>
      <c r="IX60" s="339"/>
      <c r="IY60" s="339"/>
      <c r="IZ60" s="342"/>
      <c r="JA60" s="339"/>
      <c r="JB60" s="339"/>
      <c r="JC60" s="339"/>
      <c r="JD60" s="339"/>
      <c r="JE60" s="339"/>
      <c r="JF60" s="339"/>
      <c r="JG60" s="339"/>
      <c r="JH60" s="339"/>
      <c r="JI60" s="339"/>
      <c r="JJ60" s="339"/>
      <c r="JK60" s="339"/>
      <c r="JL60" s="339"/>
      <c r="JM60" s="339"/>
      <c r="JN60" s="339"/>
      <c r="JO60" s="339"/>
      <c r="JP60" s="339"/>
      <c r="JQ60" s="339"/>
      <c r="JR60" s="339"/>
      <c r="JS60" s="339"/>
      <c r="JT60" s="342"/>
      <c r="JU60" s="342"/>
      <c r="JV60" s="339"/>
      <c r="JW60" s="339"/>
      <c r="JX60" s="339"/>
      <c r="JY60" s="339"/>
      <c r="JZ60" s="339"/>
      <c r="KA60" s="339"/>
      <c r="KB60" s="339"/>
      <c r="KC60" s="339"/>
      <c r="KD60" s="339"/>
      <c r="KE60" s="339"/>
      <c r="KF60" s="339"/>
      <c r="KG60" s="339"/>
      <c r="KH60" s="339"/>
      <c r="KI60" s="339"/>
      <c r="KJ60" s="339"/>
      <c r="KK60" s="339"/>
      <c r="KL60" s="339"/>
      <c r="KM60" s="339"/>
      <c r="KN60" s="339"/>
      <c r="KO60" s="339"/>
      <c r="KP60" s="339"/>
      <c r="KQ60" s="339"/>
      <c r="KR60" s="339"/>
      <c r="KS60" s="339"/>
      <c r="KT60" s="339"/>
      <c r="KU60" s="339"/>
      <c r="KV60" s="339"/>
      <c r="KW60" s="334"/>
      <c r="KX60" s="334"/>
      <c r="KY60" s="334"/>
      <c r="KZ60" s="334"/>
      <c r="LA60" s="334"/>
      <c r="LB60" s="334"/>
      <c r="LC60" s="334"/>
      <c r="LD60" s="334"/>
      <c r="LE60" s="334"/>
      <c r="LF60" s="334"/>
      <c r="LG60" s="334"/>
      <c r="LH60" s="334"/>
      <c r="LI60" s="334"/>
      <c r="LJ60" s="334"/>
      <c r="LK60" s="334"/>
      <c r="LL60" s="334"/>
      <c r="LM60" s="334"/>
      <c r="LN60" s="334"/>
      <c r="LO60" s="334"/>
      <c r="LP60" s="334"/>
      <c r="LQ60" s="334"/>
      <c r="LR60" s="334"/>
      <c r="LS60" s="334"/>
      <c r="LT60" s="334"/>
      <c r="LU60" s="334">
        <v>40.917999999999999</v>
      </c>
      <c r="LV60" s="334">
        <v>39.313000000000002</v>
      </c>
      <c r="LW60" s="334">
        <v>0.55000000000000004</v>
      </c>
      <c r="LX60" s="334">
        <v>40.917999999999999</v>
      </c>
      <c r="LY60" s="334">
        <v>35.875</v>
      </c>
      <c r="LZ60" s="334">
        <v>0.55000000000000004</v>
      </c>
      <c r="MA60" s="334">
        <v>40.917999999999999</v>
      </c>
      <c r="MB60" s="334">
        <v>35.375</v>
      </c>
      <c r="MC60" s="334">
        <v>0.55000000000000004</v>
      </c>
      <c r="MD60" s="334">
        <v>40.917999999999999</v>
      </c>
      <c r="ME60" s="334">
        <v>32.5</v>
      </c>
      <c r="MF60" s="334">
        <v>0.55000000000000004</v>
      </c>
      <c r="MG60" s="334">
        <v>40.917999999999999</v>
      </c>
      <c r="MH60" s="334">
        <v>32.625</v>
      </c>
      <c r="MI60" s="334">
        <v>0.55000000000000004</v>
      </c>
      <c r="MJ60" s="334">
        <v>40.917999999999999</v>
      </c>
      <c r="MK60" s="334">
        <v>33.25</v>
      </c>
      <c r="ML60" s="334">
        <v>0.55000000000000004</v>
      </c>
      <c r="MM60" s="334">
        <v>40.917999999999999</v>
      </c>
      <c r="MN60" s="334">
        <v>32.75</v>
      </c>
      <c r="MO60" s="334">
        <v>0.55000000000000004</v>
      </c>
      <c r="MP60" s="334">
        <v>40.917999999999999</v>
      </c>
      <c r="MQ60" s="334">
        <v>32.625</v>
      </c>
      <c r="MR60" s="334">
        <v>0.55000000000000004</v>
      </c>
      <c r="MS60" s="334">
        <v>40.917999999999999</v>
      </c>
      <c r="MT60" s="334">
        <v>29.5</v>
      </c>
      <c r="MU60" s="334">
        <v>0.55000000000000004</v>
      </c>
      <c r="MV60" s="334">
        <v>40.917999999999999</v>
      </c>
      <c r="MW60" s="334">
        <v>27.875</v>
      </c>
      <c r="MX60" s="334">
        <v>0.55000000000000004</v>
      </c>
      <c r="MY60" s="334">
        <v>40.917999999999999</v>
      </c>
      <c r="MZ60" s="334">
        <v>26.5</v>
      </c>
      <c r="NA60" s="334">
        <v>0.55000000000000004</v>
      </c>
      <c r="NB60" s="334">
        <v>40.917999999999999</v>
      </c>
      <c r="NC60" s="334">
        <v>26.25</v>
      </c>
      <c r="ND60" s="334">
        <v>0.55000000000000004</v>
      </c>
      <c r="NE60" s="334">
        <v>40.917999999999999</v>
      </c>
      <c r="NF60" s="334">
        <v>24.875</v>
      </c>
      <c r="NG60" s="334">
        <v>0.55000000000000004</v>
      </c>
      <c r="NH60" s="334">
        <v>40.917999999999999</v>
      </c>
      <c r="NI60" s="334">
        <v>28.25</v>
      </c>
      <c r="NJ60" s="334">
        <v>0.55000000000000004</v>
      </c>
      <c r="NK60" s="334">
        <v>40.917999999999999</v>
      </c>
      <c r="NL60" s="334">
        <v>30.5</v>
      </c>
      <c r="NM60" s="334">
        <v>0.55000000000000004</v>
      </c>
      <c r="NN60" s="334">
        <v>40.917999999999999</v>
      </c>
      <c r="NO60" s="334">
        <v>30.625</v>
      </c>
      <c r="NP60" s="334">
        <v>0.55000000000000004</v>
      </c>
      <c r="NQ60" s="334">
        <v>40.917999999999999</v>
      </c>
      <c r="NR60" s="334">
        <v>32.125</v>
      </c>
      <c r="NS60" s="334">
        <v>0.55000000000000004</v>
      </c>
      <c r="NT60" s="334">
        <v>40.917999999999999</v>
      </c>
      <c r="NU60" s="334">
        <v>33.25</v>
      </c>
      <c r="NV60" s="334">
        <v>0.55000000000000004</v>
      </c>
      <c r="NW60" s="334">
        <v>40.917999999999999</v>
      </c>
      <c r="NX60" s="334">
        <v>31.5</v>
      </c>
      <c r="NY60" s="334">
        <v>0.55000000000000004</v>
      </c>
      <c r="NZ60" s="334">
        <v>40.917999999999999</v>
      </c>
      <c r="OA60" s="334">
        <v>32.630000000000003</v>
      </c>
      <c r="OB60" s="334">
        <v>0.55000000000000004</v>
      </c>
      <c r="OC60" s="334">
        <v>40.917999999999999</v>
      </c>
      <c r="OD60" s="334">
        <v>31</v>
      </c>
      <c r="OE60" s="334">
        <v>0.55000000000000004</v>
      </c>
      <c r="OF60" s="334">
        <v>40.917999999999999</v>
      </c>
      <c r="OG60" s="334">
        <v>30.88</v>
      </c>
      <c r="OH60" s="334">
        <v>0.55000000000000004</v>
      </c>
      <c r="OI60" s="334">
        <v>40.917999999999999</v>
      </c>
      <c r="OJ60" s="334">
        <v>32.25</v>
      </c>
      <c r="OK60" s="334">
        <v>0.55000000000000004</v>
      </c>
      <c r="OL60" s="334">
        <v>40.917999999999999</v>
      </c>
      <c r="OM60" s="334">
        <v>31.38</v>
      </c>
      <c r="ON60" s="334">
        <v>0.55000000000000004</v>
      </c>
      <c r="OO60" s="334">
        <v>40.917999999999999</v>
      </c>
      <c r="OP60" s="334">
        <v>28.63</v>
      </c>
      <c r="OQ60" s="334">
        <v>0.55000000000000004</v>
      </c>
      <c r="OR60" s="334">
        <v>40.917999999999999</v>
      </c>
      <c r="OS60" s="334">
        <v>28.5</v>
      </c>
      <c r="OT60" s="334">
        <v>0.55000000000000004</v>
      </c>
      <c r="OU60" s="334">
        <v>40.917999999999999</v>
      </c>
      <c r="OV60" s="334">
        <v>28.25</v>
      </c>
    </row>
    <row r="61" spans="1:412">
      <c r="A61" s="294" t="s">
        <v>31</v>
      </c>
      <c r="B61" s="333" t="s">
        <v>137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/>
      <c r="AT61" s="339"/>
      <c r="AU61" s="339"/>
      <c r="AV61" s="339"/>
      <c r="AW61" s="339"/>
      <c r="AX61" s="339"/>
      <c r="AY61" s="503"/>
      <c r="AZ61" s="503"/>
      <c r="BA61" s="503"/>
      <c r="BB61" s="503"/>
      <c r="BC61" s="503"/>
      <c r="BD61" s="503"/>
      <c r="BE61" s="503"/>
      <c r="BF61" s="503"/>
      <c r="BG61" s="503"/>
      <c r="BH61" s="503"/>
      <c r="BI61" s="503"/>
      <c r="BJ61" s="503"/>
      <c r="BK61" s="503"/>
      <c r="BL61" s="503"/>
      <c r="BM61" s="503"/>
      <c r="BN61" s="503"/>
      <c r="BO61" s="503"/>
      <c r="BP61" s="503"/>
      <c r="BQ61" s="504"/>
      <c r="BR61" s="504"/>
      <c r="BS61" s="504"/>
      <c r="BT61" s="504"/>
      <c r="BU61" s="504"/>
      <c r="BV61" s="504"/>
      <c r="BW61" s="504"/>
      <c r="BX61" s="504"/>
      <c r="BY61" s="504"/>
      <c r="BZ61" s="503"/>
      <c r="CA61" s="503"/>
      <c r="CB61" s="503"/>
      <c r="CC61" s="503"/>
      <c r="CD61" s="503"/>
      <c r="CE61" s="503"/>
      <c r="CF61" s="503"/>
      <c r="CG61" s="503"/>
      <c r="CH61" s="503"/>
      <c r="CI61" s="503"/>
      <c r="CJ61" s="503"/>
      <c r="CK61" s="503"/>
      <c r="CL61" s="503"/>
      <c r="CM61" s="503"/>
      <c r="CN61" s="503"/>
      <c r="CO61" s="503"/>
      <c r="CP61" s="503"/>
      <c r="CQ61" s="503"/>
      <c r="CR61" s="504"/>
      <c r="CS61" s="504"/>
      <c r="CT61" s="504"/>
      <c r="CU61" s="503"/>
      <c r="CV61" s="503"/>
      <c r="CW61" s="503"/>
      <c r="CX61" s="339"/>
      <c r="CY61" s="339"/>
      <c r="CZ61" s="339"/>
      <c r="DA61" s="339">
        <v>234</v>
      </c>
      <c r="DB61" s="339">
        <v>27.64</v>
      </c>
      <c r="DC61" s="339">
        <v>0.23</v>
      </c>
      <c r="DD61" s="339">
        <v>233.1</v>
      </c>
      <c r="DE61" s="339">
        <v>27.53</v>
      </c>
      <c r="DF61" s="511">
        <v>0.23</v>
      </c>
      <c r="DG61" s="339">
        <v>233.2</v>
      </c>
      <c r="DH61" s="339">
        <v>26.65</v>
      </c>
      <c r="DI61" s="339">
        <v>0.22500000000000001</v>
      </c>
      <c r="DJ61" s="339">
        <v>233</v>
      </c>
      <c r="DK61" s="339">
        <v>26.26</v>
      </c>
      <c r="DL61" s="339">
        <v>0.22500000000000001</v>
      </c>
      <c r="DM61" s="339">
        <v>232.8</v>
      </c>
      <c r="DN61" s="339">
        <v>17.66</v>
      </c>
      <c r="DO61" s="339">
        <v>0.22500000000000001</v>
      </c>
      <c r="DP61" s="340">
        <v>232.5</v>
      </c>
      <c r="DQ61" s="340">
        <v>19.399999999999999</v>
      </c>
      <c r="DR61" s="515">
        <v>0.22500000000000001</v>
      </c>
      <c r="DS61" s="339">
        <v>227.8</v>
      </c>
      <c r="DT61" s="339">
        <v>20.49</v>
      </c>
      <c r="DU61" s="339">
        <v>0.22</v>
      </c>
      <c r="DV61" s="339">
        <v>215.4</v>
      </c>
      <c r="DW61" s="339">
        <v>17.38</v>
      </c>
      <c r="DX61" s="339">
        <v>0.22</v>
      </c>
      <c r="DY61" s="339">
        <v>215.2</v>
      </c>
      <c r="DZ61" s="339">
        <v>18.48</v>
      </c>
      <c r="EA61" s="339">
        <v>0.22</v>
      </c>
      <c r="EB61" s="340">
        <v>215</v>
      </c>
      <c r="EC61" s="340">
        <v>17.149999999999999</v>
      </c>
      <c r="ED61" s="340">
        <v>0.22</v>
      </c>
      <c r="EE61" s="339">
        <v>215.2</v>
      </c>
      <c r="EF61" s="339">
        <v>17.239999999999998</v>
      </c>
      <c r="EG61" s="339">
        <v>0.22</v>
      </c>
      <c r="EH61" s="339">
        <v>215</v>
      </c>
      <c r="EI61" s="339">
        <v>16.54</v>
      </c>
      <c r="EJ61" s="339">
        <v>0.22</v>
      </c>
      <c r="EK61" s="339">
        <v>214.6</v>
      </c>
      <c r="EL61" s="339">
        <v>17.190000000000001</v>
      </c>
      <c r="EM61" s="339">
        <v>0.22</v>
      </c>
      <c r="EN61" s="340">
        <v>214.3</v>
      </c>
      <c r="EO61" s="340">
        <v>17.82</v>
      </c>
      <c r="EP61" s="340">
        <v>0.22</v>
      </c>
      <c r="EQ61" s="339">
        <v>214.5</v>
      </c>
      <c r="ER61" s="339">
        <v>16.760000000000002</v>
      </c>
      <c r="ES61" s="339">
        <v>0.22</v>
      </c>
      <c r="ET61" s="339">
        <v>214.3</v>
      </c>
      <c r="EU61" s="339">
        <v>17.739999999999998</v>
      </c>
      <c r="EV61" s="339">
        <v>0.22</v>
      </c>
      <c r="EW61" s="339">
        <v>213.9</v>
      </c>
      <c r="EX61" s="339">
        <v>18.059999999999999</v>
      </c>
      <c r="EY61" s="339">
        <v>0.22</v>
      </c>
      <c r="EZ61" s="340">
        <v>213.6</v>
      </c>
      <c r="FA61" s="340">
        <v>17.55</v>
      </c>
      <c r="FB61" s="515">
        <v>0.22</v>
      </c>
      <c r="FC61" s="339">
        <v>213.8</v>
      </c>
      <c r="FD61" s="339">
        <v>19.14</v>
      </c>
      <c r="FE61" s="339">
        <v>0.215</v>
      </c>
      <c r="FF61" s="339">
        <v>213.6</v>
      </c>
      <c r="FG61" s="339">
        <v>17.13</v>
      </c>
      <c r="FH61" s="339">
        <v>0.215</v>
      </c>
      <c r="FI61" s="339">
        <v>213</v>
      </c>
      <c r="FJ61" s="339">
        <v>18.88</v>
      </c>
      <c r="FK61" s="339">
        <v>0.215</v>
      </c>
      <c r="FL61" s="339">
        <v>212.9</v>
      </c>
      <c r="FM61" s="339">
        <v>18.760000000000002</v>
      </c>
      <c r="FN61" s="511">
        <v>0.215</v>
      </c>
      <c r="FO61" s="339">
        <v>212.8</v>
      </c>
      <c r="FP61" s="339">
        <v>17.82</v>
      </c>
      <c r="FQ61" s="339">
        <v>0.20499999999999999</v>
      </c>
      <c r="FR61" s="339">
        <v>212.5</v>
      </c>
      <c r="FS61" s="339">
        <v>17.32</v>
      </c>
      <c r="FT61" s="339">
        <v>0.20499999999999999</v>
      </c>
      <c r="FU61" s="339">
        <v>212.2</v>
      </c>
      <c r="FV61" s="339">
        <v>15.07</v>
      </c>
      <c r="FW61" s="339">
        <v>0.20499999999999999</v>
      </c>
      <c r="FX61" s="339">
        <v>212.1</v>
      </c>
      <c r="FY61" s="339">
        <v>15.89</v>
      </c>
      <c r="FZ61" s="339">
        <v>0.2</v>
      </c>
      <c r="GA61" s="339">
        <v>211.9</v>
      </c>
      <c r="GB61" s="339">
        <v>16.22</v>
      </c>
      <c r="GC61" s="339">
        <v>0.2</v>
      </c>
      <c r="GD61" s="339">
        <v>211.7</v>
      </c>
      <c r="GE61" s="339">
        <v>14.08</v>
      </c>
      <c r="GF61" s="339">
        <v>0.2</v>
      </c>
      <c r="GG61" s="339">
        <v>211.4</v>
      </c>
      <c r="GH61" s="339">
        <v>11.93</v>
      </c>
      <c r="GI61" s="339">
        <v>0.2</v>
      </c>
      <c r="GJ61" s="339">
        <v>211.3</v>
      </c>
      <c r="GK61" s="339">
        <v>11.15</v>
      </c>
      <c r="GL61" s="339">
        <v>0.2</v>
      </c>
      <c r="GM61" s="339">
        <v>211.2</v>
      </c>
      <c r="GN61" s="339">
        <v>12.35</v>
      </c>
      <c r="GO61" s="339">
        <v>0.2</v>
      </c>
      <c r="GP61" s="339">
        <v>210.4</v>
      </c>
      <c r="GQ61" s="339">
        <v>15.73</v>
      </c>
      <c r="GR61" s="339">
        <v>0.2</v>
      </c>
      <c r="GS61" s="339">
        <v>209.7</v>
      </c>
      <c r="GT61" s="339">
        <v>21.49</v>
      </c>
      <c r="GU61" s="510">
        <v>0.2</v>
      </c>
      <c r="GV61" s="339">
        <v>209.1</v>
      </c>
      <c r="GW61" s="339">
        <v>15.95</v>
      </c>
      <c r="GX61" s="339">
        <v>0.19500000000000001</v>
      </c>
      <c r="GY61" s="339">
        <v>209.2</v>
      </c>
      <c r="GZ61" s="339">
        <v>17.21</v>
      </c>
      <c r="HA61" s="339">
        <v>0.19500000000000001</v>
      </c>
      <c r="HB61" s="339">
        <v>208.9</v>
      </c>
      <c r="HC61" s="339">
        <v>16.43</v>
      </c>
      <c r="HD61" s="339">
        <v>0.19500000000000001</v>
      </c>
      <c r="HE61" s="339">
        <v>208.6</v>
      </c>
      <c r="HF61" s="339">
        <v>17.18</v>
      </c>
      <c r="HG61" s="339">
        <v>0.19500000000000001</v>
      </c>
      <c r="HH61" s="339">
        <v>207.9</v>
      </c>
      <c r="HI61" s="505">
        <v>17.21</v>
      </c>
      <c r="HJ61" s="339">
        <v>0.19</v>
      </c>
      <c r="HK61" s="339">
        <v>207.9</v>
      </c>
      <c r="HL61" s="339">
        <v>17.23</v>
      </c>
      <c r="HM61" s="339">
        <v>0.19</v>
      </c>
      <c r="HN61" s="339">
        <v>207.7</v>
      </c>
      <c r="HO61" s="339">
        <v>15.65</v>
      </c>
      <c r="HP61" s="339">
        <v>0.19</v>
      </c>
      <c r="HQ61" s="339">
        <v>207.5</v>
      </c>
      <c r="HR61" s="339">
        <v>14.94</v>
      </c>
      <c r="HS61" s="339">
        <v>0.19</v>
      </c>
      <c r="HT61" s="339">
        <v>207.35499999999999</v>
      </c>
      <c r="HU61" s="339">
        <v>16.12</v>
      </c>
      <c r="HV61" s="339">
        <v>0.19</v>
      </c>
      <c r="HW61" s="339">
        <v>207.136</v>
      </c>
      <c r="HX61" s="506">
        <v>17.18</v>
      </c>
      <c r="HY61" s="513">
        <f>0.76/4</f>
        <v>0.19</v>
      </c>
      <c r="HZ61" s="339">
        <v>206.67599999999999</v>
      </c>
      <c r="IA61" s="339">
        <v>18.02</v>
      </c>
      <c r="IB61" s="339">
        <v>0.19</v>
      </c>
      <c r="IC61" s="339">
        <v>205.06</v>
      </c>
      <c r="ID61" s="339">
        <v>18.91</v>
      </c>
      <c r="IE61" s="339">
        <v>0.19</v>
      </c>
      <c r="IF61" s="339">
        <v>194.08099999999999</v>
      </c>
      <c r="IG61" s="339">
        <v>15.68</v>
      </c>
      <c r="IH61" s="339">
        <v>0.19</v>
      </c>
      <c r="II61" s="339">
        <v>194.08099999999999</v>
      </c>
      <c r="IJ61" s="505">
        <v>15.35</v>
      </c>
      <c r="IK61" s="339">
        <v>0.19</v>
      </c>
      <c r="IL61" s="339">
        <v>188.34899999999999</v>
      </c>
      <c r="IM61" s="339">
        <v>13.53</v>
      </c>
      <c r="IN61" s="339">
        <v>0.19</v>
      </c>
      <c r="IO61" s="339">
        <v>187.99</v>
      </c>
      <c r="IP61" s="339">
        <v>11.99</v>
      </c>
      <c r="IQ61" s="339">
        <v>0.19</v>
      </c>
      <c r="IR61" s="339">
        <v>187.82900000000001</v>
      </c>
      <c r="IS61" s="339">
        <v>14.63</v>
      </c>
      <c r="IT61" s="339">
        <v>0.19</v>
      </c>
      <c r="IU61" s="339">
        <v>179.46899999999999</v>
      </c>
      <c r="IV61" s="339">
        <v>14.41</v>
      </c>
      <c r="IW61" s="339">
        <v>0.19</v>
      </c>
      <c r="IX61" s="339">
        <v>176.4</v>
      </c>
      <c r="IY61" s="339">
        <v>13.82</v>
      </c>
      <c r="IZ61" s="339">
        <v>0.19</v>
      </c>
      <c r="JA61" s="339">
        <v>175.9</v>
      </c>
      <c r="JB61" s="339">
        <v>11.99</v>
      </c>
      <c r="JC61" s="339">
        <v>0.19</v>
      </c>
      <c r="JD61" s="339">
        <v>170.9</v>
      </c>
      <c r="JE61" s="339">
        <v>10.63</v>
      </c>
      <c r="JF61" s="339">
        <v>0.35499999999999998</v>
      </c>
      <c r="JG61" s="339">
        <v>156.126</v>
      </c>
      <c r="JH61" s="339">
        <v>15.47</v>
      </c>
      <c r="JI61" s="339">
        <v>0.35499999999999998</v>
      </c>
      <c r="JJ61" s="339">
        <v>144.19999999999999</v>
      </c>
      <c r="JK61" s="339">
        <v>15.88</v>
      </c>
      <c r="JL61" s="339">
        <v>0.35499999999999998</v>
      </c>
      <c r="JM61" s="339">
        <v>139.69999999999999</v>
      </c>
      <c r="JN61" s="339">
        <v>24.75</v>
      </c>
      <c r="JO61" s="339">
        <v>0.35499999999999998</v>
      </c>
      <c r="JP61" s="339">
        <v>138.69999999999999</v>
      </c>
      <c r="JQ61" s="339">
        <v>28.63</v>
      </c>
      <c r="JR61" s="339">
        <v>0.34499999999999997</v>
      </c>
      <c r="JS61" s="339">
        <v>136</v>
      </c>
      <c r="JT61" s="339">
        <v>26.24</v>
      </c>
      <c r="JU61" s="339">
        <v>0.34499999999999997</v>
      </c>
      <c r="JV61" s="339">
        <v>135.69999999999999</v>
      </c>
      <c r="JW61" s="339">
        <v>27.1</v>
      </c>
      <c r="JX61" s="339">
        <v>0.34499999999999997</v>
      </c>
      <c r="JY61" s="339">
        <v>135.19999999999999</v>
      </c>
      <c r="JZ61" s="339">
        <v>30.5</v>
      </c>
      <c r="KA61" s="339">
        <v>0.34499999999999997</v>
      </c>
      <c r="KB61" s="339">
        <v>126.1</v>
      </c>
      <c r="KC61" s="339">
        <v>29.96</v>
      </c>
      <c r="KD61" s="339">
        <v>0.33500000000000002</v>
      </c>
      <c r="KE61" s="339">
        <v>125.9</v>
      </c>
      <c r="KF61" s="339">
        <v>32.375</v>
      </c>
      <c r="KG61" s="339">
        <v>0.33500000000000002</v>
      </c>
      <c r="KH61" s="339">
        <v>125.3</v>
      </c>
      <c r="KI61" s="339">
        <v>28.75</v>
      </c>
      <c r="KJ61" s="339">
        <v>0.33500000000000002</v>
      </c>
      <c r="KK61" s="339">
        <v>126.2</v>
      </c>
      <c r="KL61" s="339">
        <v>20.0625</v>
      </c>
      <c r="KM61" s="339">
        <v>0.33500000000000002</v>
      </c>
      <c r="KN61" s="339">
        <v>128.80000000000001</v>
      </c>
      <c r="KO61" s="339">
        <v>19.4375</v>
      </c>
      <c r="KP61" s="339">
        <v>0.32500000000000001</v>
      </c>
      <c r="KQ61" s="339">
        <v>131.9</v>
      </c>
      <c r="KR61" s="339">
        <v>18.5625</v>
      </c>
      <c r="KS61" s="339">
        <v>0.32500000000000001</v>
      </c>
      <c r="KT61" s="339">
        <v>132</v>
      </c>
      <c r="KU61" s="339">
        <v>21.125</v>
      </c>
      <c r="KV61" s="339">
        <v>0.32500000000000001</v>
      </c>
      <c r="KW61" s="334">
        <v>131.69999999999999</v>
      </c>
      <c r="KX61" s="334">
        <v>22.75</v>
      </c>
      <c r="KY61" s="334">
        <v>0.32500000000000001</v>
      </c>
      <c r="KZ61" s="334">
        <v>131.80000000000001</v>
      </c>
      <c r="LA61" s="334">
        <v>19.875</v>
      </c>
      <c r="LB61" s="334">
        <v>0.31</v>
      </c>
      <c r="LC61" s="334">
        <v>131.80000000000001</v>
      </c>
      <c r="LD61" s="334">
        <v>28.187999999999999</v>
      </c>
      <c r="LE61" s="334">
        <v>0.31</v>
      </c>
      <c r="LF61" s="334">
        <v>131.6</v>
      </c>
      <c r="LG61" s="334">
        <v>28.562999999999999</v>
      </c>
      <c r="LH61" s="334">
        <v>0.31</v>
      </c>
      <c r="LI61" s="334">
        <v>131.6</v>
      </c>
      <c r="LJ61" s="334">
        <v>26.812999999999999</v>
      </c>
      <c r="LK61" s="334">
        <v>0.31</v>
      </c>
      <c r="LL61" s="334">
        <v>130.80000000000001</v>
      </c>
      <c r="LM61" s="334">
        <v>28.25</v>
      </c>
      <c r="LN61" s="334">
        <v>0.29499999999999998</v>
      </c>
      <c r="LO61" s="334">
        <v>130.80000000000001</v>
      </c>
      <c r="LP61" s="334">
        <v>28.125</v>
      </c>
      <c r="LQ61" s="334">
        <v>0.29499999999999998</v>
      </c>
      <c r="LR61" s="334">
        <v>117.44499999999999</v>
      </c>
      <c r="LS61" s="334">
        <v>24.5</v>
      </c>
      <c r="LT61" s="334">
        <v>0.29499999999999998</v>
      </c>
      <c r="LU61" s="334">
        <v>117.44499999999999</v>
      </c>
      <c r="LV61" s="334">
        <v>25.562999999999999</v>
      </c>
      <c r="LW61" s="334">
        <v>0.29499999999999998</v>
      </c>
      <c r="LX61" s="334">
        <v>117.44499999999999</v>
      </c>
      <c r="LY61" s="334">
        <v>24</v>
      </c>
      <c r="LZ61" s="334">
        <v>0.28000000000000003</v>
      </c>
      <c r="MA61" s="334">
        <v>117.27800000000001</v>
      </c>
      <c r="MB61" s="334">
        <v>24.125</v>
      </c>
      <c r="MC61" s="334">
        <v>0.28000000000000003</v>
      </c>
      <c r="MD61" s="334">
        <v>116.26600000000001</v>
      </c>
      <c r="ME61" s="334">
        <v>23.75</v>
      </c>
      <c r="MF61" s="334">
        <v>0.28000000000000003</v>
      </c>
      <c r="MG61" s="334">
        <v>116.26600000000001</v>
      </c>
      <c r="MH61" s="334">
        <v>25.25</v>
      </c>
      <c r="MI61" s="334">
        <v>0.28000000000000003</v>
      </c>
      <c r="MJ61" s="334">
        <v>116.26600000000001</v>
      </c>
      <c r="MK61" s="334">
        <v>24.875</v>
      </c>
      <c r="ML61" s="334">
        <v>0.26500000000000001</v>
      </c>
      <c r="MM61" s="334">
        <v>116.26600000000001</v>
      </c>
      <c r="MN61" s="334">
        <v>25.625</v>
      </c>
      <c r="MO61" s="334">
        <v>0.26500000000000001</v>
      </c>
      <c r="MP61" s="334">
        <v>116.26600000000001</v>
      </c>
      <c r="MQ61" s="334">
        <v>23.5</v>
      </c>
      <c r="MR61" s="334">
        <v>0.26500000000000001</v>
      </c>
      <c r="MS61" s="334">
        <v>116.26600000000001</v>
      </c>
      <c r="MT61" s="334">
        <v>22</v>
      </c>
      <c r="MU61" s="334">
        <v>0.26500000000000001</v>
      </c>
      <c r="MV61" s="334">
        <v>116.26600000000001</v>
      </c>
      <c r="MW61" s="334">
        <v>21</v>
      </c>
      <c r="MX61" s="334">
        <v>0.2525</v>
      </c>
      <c r="MY61" s="334">
        <v>115.44799999999999</v>
      </c>
      <c r="MZ61" s="334">
        <v>20.25</v>
      </c>
      <c r="NA61" s="334">
        <v>0.2525</v>
      </c>
      <c r="NB61" s="334">
        <v>115.44799999999999</v>
      </c>
      <c r="NC61" s="334">
        <v>19.125</v>
      </c>
      <c r="ND61" s="334">
        <v>0.2525</v>
      </c>
      <c r="NE61" s="334">
        <v>115.44799999999999</v>
      </c>
      <c r="NF61" s="334">
        <v>19.125</v>
      </c>
      <c r="NG61" s="334">
        <v>0.2525</v>
      </c>
      <c r="NH61" s="334">
        <v>115.44799999999999</v>
      </c>
      <c r="NI61" s="334">
        <v>19.5</v>
      </c>
      <c r="NJ61" s="334">
        <v>0.2525</v>
      </c>
      <c r="NK61" s="334">
        <v>115.44799999999999</v>
      </c>
      <c r="NL61" s="334">
        <v>22.625</v>
      </c>
      <c r="NM61" s="334">
        <v>0.24</v>
      </c>
      <c r="NN61" s="334">
        <v>115.44799999999999</v>
      </c>
      <c r="NO61" s="334">
        <v>25.5</v>
      </c>
      <c r="NP61" s="334">
        <v>0.24</v>
      </c>
      <c r="NQ61" s="334">
        <v>115.282</v>
      </c>
      <c r="NR61" s="334">
        <v>23.625</v>
      </c>
      <c r="NS61" s="334">
        <v>0.24</v>
      </c>
      <c r="NT61" s="334">
        <v>115.05800000000001</v>
      </c>
      <c r="NU61" s="334">
        <v>23</v>
      </c>
      <c r="NV61" s="334">
        <v>0.22750000000000001</v>
      </c>
      <c r="NW61" s="334">
        <v>114.51600000000001</v>
      </c>
      <c r="NX61" s="334">
        <v>20.81</v>
      </c>
      <c r="NY61" s="334">
        <v>0.23</v>
      </c>
      <c r="NZ61" s="334">
        <v>114.51600000000001</v>
      </c>
      <c r="OA61" s="334">
        <v>20.63</v>
      </c>
      <c r="OB61" s="334">
        <v>0.23</v>
      </c>
      <c r="OC61" s="334">
        <v>114.414</v>
      </c>
      <c r="OD61" s="334">
        <v>19.559999999999999</v>
      </c>
      <c r="OE61" s="334">
        <v>0.23</v>
      </c>
      <c r="OF61" s="334">
        <v>114.298</v>
      </c>
      <c r="OG61" s="334">
        <v>19.059999999999999</v>
      </c>
      <c r="OH61" s="334">
        <v>0.22</v>
      </c>
      <c r="OI61" s="334">
        <v>113.922</v>
      </c>
      <c r="OJ61" s="334">
        <v>20.88</v>
      </c>
      <c r="OK61" s="334">
        <v>0.22</v>
      </c>
      <c r="OL61" s="334">
        <v>113.83799999999999</v>
      </c>
      <c r="OM61" s="334">
        <v>19</v>
      </c>
      <c r="ON61" s="334">
        <v>0.22</v>
      </c>
      <c r="OO61" s="334">
        <v>113.768</v>
      </c>
      <c r="OP61" s="334">
        <v>17</v>
      </c>
      <c r="OQ61" s="334">
        <v>0.22</v>
      </c>
      <c r="OR61" s="334">
        <v>113.714</v>
      </c>
      <c r="OS61" s="334">
        <v>16.690000000000001</v>
      </c>
      <c r="OT61" s="334">
        <v>0.2</v>
      </c>
      <c r="OU61" s="334">
        <v>113.664</v>
      </c>
      <c r="OV61" s="334">
        <v>16.88</v>
      </c>
    </row>
    <row r="62" spans="1:412">
      <c r="B62" s="333" t="s">
        <v>248</v>
      </c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504"/>
      <c r="AZ62" s="504"/>
      <c r="BA62" s="504"/>
      <c r="BB62" s="503"/>
      <c r="BC62" s="503"/>
      <c r="BD62" s="503"/>
      <c r="BE62" s="503"/>
      <c r="BF62" s="503"/>
      <c r="BG62" s="503"/>
      <c r="BH62" s="503"/>
      <c r="BI62" s="503"/>
      <c r="BJ62" s="503"/>
      <c r="BK62" s="503"/>
      <c r="BL62" s="503"/>
      <c r="BM62" s="503"/>
      <c r="BN62" s="503"/>
      <c r="BO62" s="503"/>
      <c r="BP62" s="503"/>
      <c r="BQ62" s="504"/>
      <c r="BR62" s="504"/>
      <c r="BS62" s="504"/>
      <c r="BT62" s="504"/>
      <c r="BU62" s="504"/>
      <c r="BV62" s="504"/>
      <c r="BW62" s="504"/>
      <c r="BX62" s="504"/>
      <c r="BY62" s="504"/>
      <c r="BZ62" s="503"/>
      <c r="CA62" s="503"/>
      <c r="CB62" s="503"/>
      <c r="CC62" s="503"/>
      <c r="CD62" s="503"/>
      <c r="CE62" s="503"/>
      <c r="CF62" s="503"/>
      <c r="CG62" s="503"/>
      <c r="CH62" s="503"/>
      <c r="CI62" s="503"/>
      <c r="CJ62" s="503"/>
      <c r="CK62" s="503"/>
      <c r="CL62" s="503"/>
      <c r="CM62" s="503"/>
      <c r="CN62" s="503"/>
      <c r="CO62" s="503"/>
      <c r="CP62" s="503"/>
      <c r="CQ62" s="503"/>
      <c r="CR62" s="504"/>
      <c r="CS62" s="504"/>
      <c r="CT62" s="504"/>
      <c r="CU62" s="503"/>
      <c r="CV62" s="503"/>
      <c r="CW62" s="503"/>
      <c r="CX62" s="339"/>
      <c r="CY62" s="339"/>
      <c r="CZ62" s="339"/>
      <c r="DA62" s="339"/>
      <c r="DB62" s="339"/>
      <c r="DC62" s="339"/>
      <c r="DD62" s="339"/>
      <c r="DE62" s="339"/>
      <c r="DF62" s="339"/>
      <c r="DG62" s="339"/>
      <c r="DH62" s="339"/>
      <c r="DI62" s="339"/>
      <c r="DJ62" s="339"/>
      <c r="DK62" s="339"/>
      <c r="DL62" s="339"/>
      <c r="DM62" s="339"/>
      <c r="DN62" s="339"/>
      <c r="DO62" s="339"/>
      <c r="DP62" s="339"/>
      <c r="DQ62" s="339"/>
      <c r="DR62" s="339"/>
      <c r="DS62" s="339"/>
      <c r="DT62" s="339"/>
      <c r="DU62" s="339"/>
      <c r="DV62" s="339"/>
      <c r="DW62" s="339"/>
      <c r="DX62" s="339"/>
      <c r="DY62" s="339"/>
      <c r="DZ62" s="339"/>
      <c r="EA62" s="339"/>
      <c r="EB62" s="340"/>
      <c r="EC62" s="340"/>
      <c r="ED62" s="340"/>
      <c r="EE62" s="339"/>
      <c r="EF62" s="339"/>
      <c r="EG62" s="339"/>
      <c r="EH62" s="339"/>
      <c r="EI62" s="339"/>
      <c r="EJ62" s="339"/>
      <c r="EK62" s="339"/>
      <c r="EL62" s="339"/>
      <c r="EM62" s="339"/>
      <c r="EN62" s="339"/>
      <c r="EO62" s="339"/>
      <c r="EP62" s="339"/>
      <c r="EQ62" s="339"/>
      <c r="ER62" s="339"/>
      <c r="ES62" s="339"/>
      <c r="ET62" s="339"/>
      <c r="EU62" s="339"/>
      <c r="EV62" s="339"/>
      <c r="EW62" s="339"/>
      <c r="EX62" s="339"/>
      <c r="EY62" s="339"/>
      <c r="EZ62" s="339"/>
      <c r="FA62" s="339"/>
      <c r="FB62" s="339"/>
      <c r="FC62" s="339"/>
      <c r="FD62" s="339"/>
      <c r="FE62" s="339"/>
      <c r="FF62" s="339"/>
      <c r="FG62" s="339"/>
      <c r="FH62" s="342"/>
      <c r="FI62" s="339"/>
      <c r="FJ62" s="339"/>
      <c r="FK62" s="339"/>
      <c r="FL62" s="339"/>
      <c r="FM62" s="339"/>
      <c r="FN62" s="339"/>
      <c r="FO62" s="339"/>
      <c r="FP62" s="339"/>
      <c r="FQ62" s="339"/>
      <c r="FR62" s="339"/>
      <c r="FS62" s="339"/>
      <c r="FT62" s="339"/>
      <c r="FU62" s="339"/>
      <c r="FV62" s="339"/>
      <c r="FW62" s="339"/>
      <c r="FX62" s="339"/>
      <c r="FY62" s="339"/>
      <c r="FZ62" s="339"/>
      <c r="GA62" s="339"/>
      <c r="GB62" s="339"/>
      <c r="GC62" s="339"/>
      <c r="GD62" s="339"/>
      <c r="GE62" s="339"/>
      <c r="GF62" s="339"/>
      <c r="GG62" s="339"/>
      <c r="GH62" s="339"/>
      <c r="GI62" s="339"/>
      <c r="GJ62" s="339"/>
      <c r="GK62" s="339"/>
      <c r="GL62" s="339"/>
      <c r="GM62" s="339"/>
      <c r="GN62" s="339"/>
      <c r="GO62" s="339"/>
      <c r="GP62" s="339"/>
      <c r="GQ62" s="339"/>
      <c r="GR62" s="339"/>
      <c r="GS62" s="339"/>
      <c r="GT62" s="339"/>
      <c r="GU62" s="339"/>
      <c r="GV62" s="339"/>
      <c r="GW62" s="339"/>
      <c r="GX62" s="339"/>
      <c r="GY62" s="339"/>
      <c r="GZ62" s="339"/>
      <c r="HA62" s="339"/>
      <c r="HB62" s="339"/>
      <c r="HC62" s="339"/>
      <c r="HD62" s="339"/>
      <c r="HE62" s="339"/>
      <c r="HF62" s="339"/>
      <c r="HG62" s="339"/>
      <c r="HH62" s="339"/>
      <c r="HI62" s="505"/>
      <c r="HJ62" s="339"/>
      <c r="HK62" s="339"/>
      <c r="HL62" s="339"/>
      <c r="HM62" s="339"/>
      <c r="HN62" s="339"/>
      <c r="HO62" s="339"/>
      <c r="HP62" s="339"/>
      <c r="HQ62" s="339"/>
      <c r="HR62" s="339"/>
      <c r="HS62" s="339"/>
      <c r="HT62" s="339"/>
      <c r="HU62" s="339"/>
      <c r="HV62" s="339"/>
      <c r="HW62" s="339"/>
      <c r="HX62" s="506"/>
      <c r="HY62" s="513"/>
      <c r="HZ62" s="339"/>
      <c r="IA62" s="339"/>
      <c r="IB62" s="339"/>
      <c r="IC62" s="339"/>
      <c r="ID62" s="339"/>
      <c r="IE62" s="339"/>
      <c r="IF62" s="339"/>
      <c r="IG62" s="339"/>
      <c r="IH62" s="339"/>
      <c r="II62" s="339"/>
      <c r="IJ62" s="505"/>
      <c r="IK62" s="339"/>
      <c r="IL62" s="339"/>
      <c r="IM62" s="339"/>
      <c r="IN62" s="339"/>
      <c r="IO62" s="339"/>
      <c r="IP62" s="339"/>
      <c r="IQ62" s="339"/>
      <c r="IR62" s="339"/>
      <c r="IS62" s="339"/>
      <c r="IT62" s="339"/>
      <c r="IU62" s="339"/>
      <c r="IV62" s="339"/>
      <c r="IW62" s="339"/>
      <c r="IX62" s="339"/>
      <c r="IY62" s="339"/>
      <c r="IZ62" s="342"/>
      <c r="JA62" s="339"/>
      <c r="JB62" s="339"/>
      <c r="JC62" s="339"/>
      <c r="JD62" s="339"/>
      <c r="JE62" s="339"/>
      <c r="JF62" s="339"/>
      <c r="JG62" s="339"/>
      <c r="JH62" s="339"/>
      <c r="JI62" s="339"/>
      <c r="JJ62" s="339"/>
      <c r="JK62" s="339"/>
      <c r="JL62" s="339"/>
      <c r="JM62" s="339"/>
      <c r="JN62" s="339"/>
      <c r="JO62" s="339"/>
      <c r="JP62" s="339"/>
      <c r="JQ62" s="339"/>
      <c r="JR62" s="339"/>
      <c r="JS62" s="339"/>
      <c r="JT62" s="342"/>
      <c r="JU62" s="342"/>
      <c r="JV62" s="339"/>
      <c r="JW62" s="339"/>
      <c r="JX62" s="339"/>
      <c r="JY62" s="339"/>
      <c r="JZ62" s="339"/>
      <c r="KA62" s="339"/>
      <c r="KB62" s="339"/>
      <c r="KC62" s="339"/>
      <c r="KD62" s="339"/>
      <c r="KE62" s="339"/>
      <c r="KF62" s="339"/>
      <c r="KG62" s="339"/>
      <c r="KH62" s="339"/>
      <c r="KI62" s="339"/>
      <c r="KJ62" s="339"/>
      <c r="KK62" s="339"/>
      <c r="KL62" s="339"/>
      <c r="KM62" s="339"/>
      <c r="KN62" s="339">
        <v>13.417</v>
      </c>
      <c r="KO62" s="339">
        <v>43.8125</v>
      </c>
      <c r="KP62" s="339">
        <v>0.28999999999999998</v>
      </c>
      <c r="KQ62" s="339">
        <v>13.416</v>
      </c>
      <c r="KR62" s="339">
        <v>41.25</v>
      </c>
      <c r="KS62" s="339">
        <v>0.28999999999999998</v>
      </c>
      <c r="KT62" s="339">
        <v>13.398</v>
      </c>
      <c r="KU62" s="339">
        <v>38.9375</v>
      </c>
      <c r="KV62" s="339">
        <v>0.28999999999999998</v>
      </c>
      <c r="KW62" s="334">
        <v>13.24</v>
      </c>
      <c r="KX62" s="334">
        <v>36.25</v>
      </c>
      <c r="KY62" s="334">
        <v>0.28999999999999998</v>
      </c>
      <c r="KZ62" s="334">
        <v>13.26</v>
      </c>
      <c r="LA62" s="334">
        <v>28.75</v>
      </c>
      <c r="LB62" s="334">
        <v>0.28999999999999998</v>
      </c>
      <c r="LC62" s="334">
        <v>13.26</v>
      </c>
      <c r="LD62" s="334">
        <v>37.938000000000002</v>
      </c>
      <c r="LE62" s="334">
        <v>0.28999999999999998</v>
      </c>
      <c r="LF62" s="334">
        <v>13.19</v>
      </c>
      <c r="LG62" s="334">
        <v>34.938000000000002</v>
      </c>
      <c r="LH62" s="334">
        <v>0.27</v>
      </c>
      <c r="LI62" s="334">
        <v>13.19</v>
      </c>
      <c r="LJ62" s="334">
        <v>30.875</v>
      </c>
      <c r="LK62" s="334">
        <v>0.27</v>
      </c>
      <c r="LL62" s="334">
        <v>13.19</v>
      </c>
      <c r="LM62" s="334">
        <v>33.0625</v>
      </c>
      <c r="LN62" s="334">
        <v>0.27</v>
      </c>
      <c r="LO62" s="334">
        <v>13.188000000000001</v>
      </c>
      <c r="LP62" s="334">
        <v>33.25</v>
      </c>
      <c r="LQ62" s="334">
        <v>0.27</v>
      </c>
      <c r="LR62" s="334">
        <v>13.141</v>
      </c>
      <c r="LS62" s="334">
        <v>25.125</v>
      </c>
      <c r="LT62" s="334">
        <v>0.245</v>
      </c>
      <c r="LU62" s="334">
        <v>13.141</v>
      </c>
      <c r="LV62" s="334">
        <v>23.187999999999999</v>
      </c>
      <c r="LW62" s="334">
        <v>0.245</v>
      </c>
      <c r="LX62" s="334">
        <v>11.08</v>
      </c>
      <c r="LY62" s="334">
        <v>21.375</v>
      </c>
      <c r="LZ62" s="334">
        <v>0.245</v>
      </c>
      <c r="MA62" s="334">
        <v>11.08</v>
      </c>
      <c r="MB62" s="334">
        <v>27.375</v>
      </c>
      <c r="MC62" s="334">
        <v>0.245</v>
      </c>
      <c r="MD62" s="334">
        <v>10.877000000000001</v>
      </c>
      <c r="ME62" s="334">
        <v>24.75</v>
      </c>
      <c r="MF62" s="334">
        <v>0.24</v>
      </c>
      <c r="MG62" s="334">
        <v>10.877000000000001</v>
      </c>
      <c r="MH62" s="334">
        <v>28.375</v>
      </c>
      <c r="MI62" s="334">
        <v>0.22</v>
      </c>
      <c r="MJ62" s="334">
        <v>10.877000000000001</v>
      </c>
      <c r="MK62" s="334">
        <v>23.125</v>
      </c>
      <c r="ML62" s="334">
        <v>0.22</v>
      </c>
      <c r="MM62" s="334">
        <v>10.877000000000001</v>
      </c>
      <c r="MN62" s="334">
        <v>18.75</v>
      </c>
      <c r="MO62" s="334">
        <v>0.22</v>
      </c>
      <c r="MP62" s="334">
        <v>10.877000000000001</v>
      </c>
      <c r="MQ62" s="334">
        <v>17.75</v>
      </c>
      <c r="MR62" s="334">
        <v>0.2</v>
      </c>
      <c r="MS62" s="334">
        <v>10.877000000000001</v>
      </c>
      <c r="MT62" s="334">
        <v>16.125</v>
      </c>
      <c r="MU62" s="334">
        <v>0.2</v>
      </c>
      <c r="MV62" s="334">
        <v>10.877000000000001</v>
      </c>
      <c r="MW62" s="334">
        <v>15</v>
      </c>
      <c r="MX62" s="334">
        <v>0.2</v>
      </c>
      <c r="MY62" s="334">
        <v>10.69</v>
      </c>
      <c r="MZ62" s="334">
        <v>14.875</v>
      </c>
      <c r="NA62" s="334">
        <v>0.2</v>
      </c>
      <c r="NB62" s="334">
        <v>10.69</v>
      </c>
      <c r="NC62" s="334">
        <v>14.125</v>
      </c>
      <c r="ND62" s="334">
        <v>0.2</v>
      </c>
      <c r="NE62" s="334">
        <v>10.69</v>
      </c>
      <c r="NF62" s="334">
        <v>15</v>
      </c>
      <c r="NG62" s="334">
        <v>0.40749999999999997</v>
      </c>
      <c r="NH62" s="334">
        <v>10.653</v>
      </c>
      <c r="NI62" s="334">
        <v>16.625</v>
      </c>
      <c r="NJ62" s="334">
        <v>0.40749999999999997</v>
      </c>
      <c r="NK62" s="334">
        <v>10.653</v>
      </c>
      <c r="NL62" s="334">
        <v>16.5</v>
      </c>
      <c r="NM62" s="334">
        <v>0.40699999999999997</v>
      </c>
      <c r="NN62" s="334">
        <v>10.653</v>
      </c>
      <c r="NO62" s="334">
        <v>17.5</v>
      </c>
      <c r="NP62" s="334">
        <v>0.40699999999999997</v>
      </c>
      <c r="NQ62" s="334">
        <v>10.625999999999999</v>
      </c>
      <c r="NR62" s="334">
        <v>17.75</v>
      </c>
      <c r="NS62" s="334">
        <v>0.40699999999999997</v>
      </c>
      <c r="NT62" s="334">
        <v>10.603999999999999</v>
      </c>
      <c r="NU62" s="334">
        <v>19</v>
      </c>
      <c r="NV62" s="334">
        <v>0.40699999999999997</v>
      </c>
      <c r="NW62" s="334">
        <v>8.4109999999999996</v>
      </c>
      <c r="NX62" s="334">
        <v>19</v>
      </c>
      <c r="NY62" s="334">
        <v>0.41</v>
      </c>
      <c r="NZ62" s="334">
        <v>8.4109999999999996</v>
      </c>
      <c r="OA62" s="334">
        <v>18.13</v>
      </c>
      <c r="OB62" s="334">
        <v>0.41</v>
      </c>
      <c r="OC62" s="334">
        <v>8.3699999999999992</v>
      </c>
      <c r="OD62" s="334">
        <v>19</v>
      </c>
      <c r="OE62" s="334">
        <v>0.41</v>
      </c>
      <c r="OF62" s="334">
        <v>8.3330000000000002</v>
      </c>
      <c r="OG62" s="334">
        <v>19.5</v>
      </c>
      <c r="OH62" s="334">
        <v>0.41</v>
      </c>
      <c r="OI62" s="334">
        <v>8.2750000000000004</v>
      </c>
      <c r="OJ62" s="334">
        <v>19.25</v>
      </c>
      <c r="OK62" s="334">
        <v>0.41</v>
      </c>
      <c r="OL62" s="334">
        <v>8.2650000000000006</v>
      </c>
      <c r="OM62" s="334">
        <v>18</v>
      </c>
      <c r="ON62" s="334">
        <v>0.41</v>
      </c>
      <c r="OO62" s="334">
        <v>8.2550000000000008</v>
      </c>
      <c r="OP62" s="334">
        <v>17.63</v>
      </c>
      <c r="OQ62" s="334">
        <v>0.41</v>
      </c>
      <c r="OR62" s="334">
        <v>8.2439999999999998</v>
      </c>
      <c r="OS62" s="334">
        <v>20.13</v>
      </c>
      <c r="OT62" s="334">
        <v>0.41</v>
      </c>
      <c r="OU62" s="334">
        <v>8.2070000000000007</v>
      </c>
      <c r="OV62" s="334">
        <v>19.63</v>
      </c>
    </row>
    <row r="63" spans="1:412">
      <c r="B63" s="333" t="s">
        <v>249</v>
      </c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  <c r="AE63" s="339"/>
      <c r="AF63" s="339"/>
      <c r="AG63" s="339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503"/>
      <c r="AZ63" s="503"/>
      <c r="BA63" s="503"/>
      <c r="BB63" s="503"/>
      <c r="BC63" s="503"/>
      <c r="BD63" s="503"/>
      <c r="BE63" s="503"/>
      <c r="BF63" s="503"/>
      <c r="BG63" s="503"/>
      <c r="BH63" s="503"/>
      <c r="BI63" s="503"/>
      <c r="BJ63" s="503"/>
      <c r="BK63" s="503"/>
      <c r="BL63" s="503"/>
      <c r="BM63" s="503"/>
      <c r="BN63" s="503"/>
      <c r="BO63" s="503"/>
      <c r="BP63" s="503"/>
      <c r="BQ63" s="504"/>
      <c r="BR63" s="504"/>
      <c r="BS63" s="504"/>
      <c r="BT63" s="504"/>
      <c r="BU63" s="504"/>
      <c r="BV63" s="504"/>
      <c r="BW63" s="504"/>
      <c r="BX63" s="504"/>
      <c r="BY63" s="504"/>
      <c r="BZ63" s="503"/>
      <c r="CA63" s="503"/>
      <c r="CB63" s="503"/>
      <c r="CC63" s="503"/>
      <c r="CD63" s="503"/>
      <c r="CE63" s="503"/>
      <c r="CF63" s="503"/>
      <c r="CG63" s="503"/>
      <c r="CH63" s="503"/>
      <c r="CI63" s="503"/>
      <c r="CJ63" s="503"/>
      <c r="CK63" s="503"/>
      <c r="CL63" s="503"/>
      <c r="CM63" s="503"/>
      <c r="CN63" s="503"/>
      <c r="CO63" s="503"/>
      <c r="CP63" s="503"/>
      <c r="CQ63" s="503"/>
      <c r="CR63" s="504"/>
      <c r="CS63" s="504"/>
      <c r="CT63" s="504"/>
      <c r="CU63" s="503"/>
      <c r="CV63" s="503"/>
      <c r="CW63" s="503"/>
      <c r="CX63" s="339"/>
      <c r="CY63" s="339"/>
      <c r="CZ63" s="339"/>
      <c r="DA63" s="339"/>
      <c r="DB63" s="339"/>
      <c r="DC63" s="339"/>
      <c r="DD63" s="339"/>
      <c r="DE63" s="339"/>
      <c r="DF63" s="339"/>
      <c r="DG63" s="339"/>
      <c r="DH63" s="339"/>
      <c r="DI63" s="339"/>
      <c r="DJ63" s="339"/>
      <c r="DK63" s="339"/>
      <c r="DL63" s="339"/>
      <c r="DM63" s="339"/>
      <c r="DN63" s="339"/>
      <c r="DO63" s="339"/>
      <c r="DP63" s="339"/>
      <c r="DQ63" s="339"/>
      <c r="DR63" s="339"/>
      <c r="DS63" s="339"/>
      <c r="DT63" s="339"/>
      <c r="DU63" s="339"/>
      <c r="DV63" s="339"/>
      <c r="DW63" s="339"/>
      <c r="DX63" s="339"/>
      <c r="DY63" s="339"/>
      <c r="DZ63" s="339"/>
      <c r="EA63" s="339"/>
      <c r="EB63" s="340"/>
      <c r="EC63" s="340"/>
      <c r="ED63" s="340"/>
      <c r="EE63" s="339"/>
      <c r="EF63" s="339"/>
      <c r="EG63" s="339"/>
      <c r="EH63" s="339"/>
      <c r="EI63" s="339"/>
      <c r="EJ63" s="339"/>
      <c r="EK63" s="339"/>
      <c r="EL63" s="339"/>
      <c r="EM63" s="339"/>
      <c r="EN63" s="339"/>
      <c r="EO63" s="339"/>
      <c r="EP63" s="339"/>
      <c r="EQ63" s="339"/>
      <c r="ER63" s="339"/>
      <c r="ES63" s="339"/>
      <c r="ET63" s="339"/>
      <c r="EU63" s="339"/>
      <c r="EV63" s="339"/>
      <c r="EW63" s="339"/>
      <c r="EX63" s="339"/>
      <c r="EY63" s="339"/>
      <c r="EZ63" s="339"/>
      <c r="FA63" s="339"/>
      <c r="FB63" s="339"/>
      <c r="FC63" s="339"/>
      <c r="FD63" s="339"/>
      <c r="FE63" s="339"/>
      <c r="FF63" s="339"/>
      <c r="FG63" s="339"/>
      <c r="FH63" s="342"/>
      <c r="FI63" s="339"/>
      <c r="FJ63" s="339"/>
      <c r="FK63" s="339"/>
      <c r="FL63" s="339"/>
      <c r="FM63" s="339"/>
      <c r="FN63" s="339"/>
      <c r="FO63" s="339"/>
      <c r="FP63" s="339"/>
      <c r="FQ63" s="339"/>
      <c r="FR63" s="339"/>
      <c r="FS63" s="339"/>
      <c r="FT63" s="339"/>
      <c r="FU63" s="339"/>
      <c r="FV63" s="339"/>
      <c r="FW63" s="339"/>
      <c r="FX63" s="339"/>
      <c r="FY63" s="339"/>
      <c r="FZ63" s="339"/>
      <c r="GA63" s="339"/>
      <c r="GB63" s="339"/>
      <c r="GC63" s="339"/>
      <c r="GD63" s="339"/>
      <c r="GE63" s="339"/>
      <c r="GF63" s="339"/>
      <c r="GG63" s="339"/>
      <c r="GH63" s="339"/>
      <c r="GI63" s="339"/>
      <c r="GJ63" s="339"/>
      <c r="GK63" s="339"/>
      <c r="GL63" s="339"/>
      <c r="GM63" s="339"/>
      <c r="GN63" s="339"/>
      <c r="GO63" s="339"/>
      <c r="GP63" s="339"/>
      <c r="GQ63" s="339"/>
      <c r="GR63" s="339"/>
      <c r="GS63" s="339"/>
      <c r="GT63" s="339"/>
      <c r="GU63" s="339"/>
      <c r="GV63" s="339"/>
      <c r="GW63" s="339"/>
      <c r="GX63" s="339"/>
      <c r="GY63" s="339"/>
      <c r="GZ63" s="339"/>
      <c r="HA63" s="339"/>
      <c r="HB63" s="339">
        <v>458.8</v>
      </c>
      <c r="HC63" s="339">
        <v>68.47</v>
      </c>
      <c r="HD63" s="339">
        <v>0.4325</v>
      </c>
      <c r="HE63" s="339">
        <v>457.7</v>
      </c>
      <c r="HF63" s="339">
        <v>67.3</v>
      </c>
      <c r="HG63" s="339">
        <v>0.4325</v>
      </c>
      <c r="HH63" s="339">
        <v>459.7</v>
      </c>
      <c r="HI63" s="505">
        <v>64.099999999999994</v>
      </c>
      <c r="HJ63" s="339">
        <v>0.4325</v>
      </c>
      <c r="HK63" s="339">
        <v>459</v>
      </c>
      <c r="HL63" s="339">
        <v>54.21</v>
      </c>
      <c r="HM63" s="512">
        <v>0.4325</v>
      </c>
      <c r="HN63" s="339">
        <v>458</v>
      </c>
      <c r="HO63" s="339">
        <v>62.52</v>
      </c>
      <c r="HP63" s="339">
        <v>0.41249999999999998</v>
      </c>
      <c r="HQ63" s="339">
        <v>464</v>
      </c>
      <c r="HR63" s="339">
        <v>59.79</v>
      </c>
      <c r="HS63" s="339">
        <v>0.41249999999999998</v>
      </c>
      <c r="HT63" s="339">
        <v>474</v>
      </c>
      <c r="HU63" s="339">
        <v>44.76</v>
      </c>
      <c r="HV63" s="339">
        <v>0.41249999999999998</v>
      </c>
      <c r="HW63" s="528">
        <v>478</v>
      </c>
      <c r="HX63" s="529">
        <v>50.19</v>
      </c>
      <c r="HY63" s="513">
        <f>1.65/4</f>
        <v>0.41249999999999998</v>
      </c>
      <c r="HZ63" s="339">
        <v>476</v>
      </c>
      <c r="IA63" s="339">
        <v>56.44</v>
      </c>
      <c r="IB63" s="339">
        <v>0.28129999999999999</v>
      </c>
      <c r="IC63" s="339">
        <v>476</v>
      </c>
      <c r="ID63" s="339">
        <v>41.55</v>
      </c>
      <c r="IE63" s="339">
        <v>0.28129999999999999</v>
      </c>
      <c r="IF63" s="339">
        <v>590</v>
      </c>
      <c r="IG63" s="339">
        <v>39.82</v>
      </c>
      <c r="IH63" s="339">
        <v>0.28129999999999999</v>
      </c>
      <c r="II63" s="339">
        <v>590</v>
      </c>
      <c r="IJ63" s="506">
        <v>32.28</v>
      </c>
      <c r="IK63" s="339">
        <v>0.28129999999999999</v>
      </c>
      <c r="IL63" s="339">
        <v>640</v>
      </c>
      <c r="IM63" s="339">
        <v>23.96</v>
      </c>
      <c r="IN63" s="339">
        <v>6.25E-2</v>
      </c>
      <c r="IO63" s="339">
        <v>646</v>
      </c>
      <c r="IP63" s="339">
        <v>20.260000000000002</v>
      </c>
      <c r="IQ63" s="339">
        <v>6.25E-2</v>
      </c>
      <c r="IR63" s="339">
        <v>646</v>
      </c>
      <c r="IS63" s="339">
        <v>14.33</v>
      </c>
      <c r="IT63" s="339">
        <v>6.25E-2</v>
      </c>
      <c r="IU63" s="339">
        <v>644</v>
      </c>
      <c r="IV63" s="339">
        <v>11.86</v>
      </c>
      <c r="IW63" s="339">
        <v>6.25E-2</v>
      </c>
      <c r="IX63" s="339">
        <v>642</v>
      </c>
      <c r="IY63" s="339">
        <v>11.78</v>
      </c>
      <c r="IZ63" s="339">
        <v>6.25E-2</v>
      </c>
      <c r="JA63" s="339">
        <v>642</v>
      </c>
      <c r="JB63" s="339">
        <v>11.23</v>
      </c>
      <c r="JC63" s="339">
        <v>6.25E-2</v>
      </c>
      <c r="JD63" s="339">
        <v>556</v>
      </c>
      <c r="JE63" s="339">
        <v>8.93</v>
      </c>
      <c r="JF63" s="339">
        <v>6.25E-2</v>
      </c>
      <c r="JG63" s="339">
        <v>564</v>
      </c>
      <c r="JH63" s="339">
        <v>9.34</v>
      </c>
      <c r="JI63" s="339">
        <v>6.25E-2</v>
      </c>
      <c r="JJ63" s="339">
        <v>538</v>
      </c>
      <c r="JK63" s="339">
        <v>20.86</v>
      </c>
      <c r="JL63" s="339">
        <v>0.3</v>
      </c>
      <c r="JM63" s="339">
        <v>530</v>
      </c>
      <c r="JN63" s="339">
        <v>25.78</v>
      </c>
      <c r="JO63" s="339">
        <v>0.3</v>
      </c>
      <c r="JP63" s="339">
        <v>530</v>
      </c>
      <c r="JQ63" s="339">
        <v>27.26</v>
      </c>
      <c r="JR63" s="339">
        <v>0.3</v>
      </c>
      <c r="JS63" s="339">
        <v>520</v>
      </c>
      <c r="JT63" s="339">
        <v>23.58</v>
      </c>
      <c r="JU63" s="339">
        <v>0.3</v>
      </c>
      <c r="JV63" s="339">
        <v>512</v>
      </c>
      <c r="JW63" s="339">
        <v>23.16</v>
      </c>
      <c r="JX63" s="339">
        <v>0.3</v>
      </c>
      <c r="JY63" s="339">
        <v>516.20000000000005</v>
      </c>
      <c r="JZ63" s="339">
        <v>24.1</v>
      </c>
      <c r="KA63" s="339">
        <v>0.3</v>
      </c>
      <c r="KB63" s="339">
        <v>516.20000000000005</v>
      </c>
      <c r="KC63" s="339">
        <v>20.66</v>
      </c>
      <c r="KD63" s="339">
        <v>0.3</v>
      </c>
      <c r="KE63" s="339">
        <v>516.20000000000005</v>
      </c>
      <c r="KF63" s="339">
        <v>22.16</v>
      </c>
      <c r="KG63" s="339">
        <v>0.3</v>
      </c>
      <c r="KH63" s="339">
        <v>552</v>
      </c>
      <c r="KI63" s="339">
        <v>19.809999999999999</v>
      </c>
      <c r="KJ63" s="339">
        <v>0.3</v>
      </c>
      <c r="KK63" s="339">
        <v>557.11199999999997</v>
      </c>
      <c r="KL63" s="339">
        <v>29.5</v>
      </c>
      <c r="KM63" s="339">
        <v>0.3</v>
      </c>
      <c r="KN63" s="339">
        <v>552</v>
      </c>
      <c r="KO63" s="339">
        <v>29.6875</v>
      </c>
      <c r="KP63" s="339">
        <v>0.3</v>
      </c>
      <c r="KQ63" s="339">
        <v>552</v>
      </c>
      <c r="KR63" s="339">
        <v>35.5625</v>
      </c>
      <c r="KS63" s="339">
        <v>0.3</v>
      </c>
      <c r="KT63" s="339">
        <v>281.70400000000001</v>
      </c>
      <c r="KU63" s="339">
        <v>37.3125</v>
      </c>
      <c r="KV63" s="339">
        <v>0.57499999999999996</v>
      </c>
      <c r="KW63" s="334">
        <v>265</v>
      </c>
      <c r="KX63" s="334">
        <v>41.4375</v>
      </c>
      <c r="KY63" s="334">
        <v>0.57499999999999996</v>
      </c>
      <c r="KZ63" s="334">
        <v>281.39999999999998</v>
      </c>
      <c r="LA63" s="334">
        <v>42</v>
      </c>
      <c r="LB63" s="334">
        <v>0.57499999999999996</v>
      </c>
      <c r="LC63" s="334">
        <v>281.39999999999998</v>
      </c>
      <c r="LD63" s="334">
        <v>46.688000000000002</v>
      </c>
      <c r="LE63" s="334">
        <v>0.57499999999999996</v>
      </c>
      <c r="LF63" s="334">
        <v>245.24</v>
      </c>
      <c r="LG63" s="334">
        <v>46.563000000000002</v>
      </c>
      <c r="LH63" s="334">
        <v>0.55000000000000004</v>
      </c>
      <c r="LI63" s="334">
        <v>245.24</v>
      </c>
      <c r="LJ63" s="334">
        <v>41.625</v>
      </c>
      <c r="LK63" s="334">
        <v>0.55000000000000004</v>
      </c>
      <c r="LL63" s="334">
        <v>233.28</v>
      </c>
      <c r="LM63" s="334">
        <v>39.3125</v>
      </c>
      <c r="LN63" s="334">
        <v>0.55000000000000004</v>
      </c>
      <c r="LO63" s="334">
        <v>233.28299999999999</v>
      </c>
      <c r="LP63" s="334">
        <v>41.5</v>
      </c>
      <c r="LQ63" s="334">
        <v>0.55000000000000004</v>
      </c>
      <c r="LR63" s="334">
        <v>224.60300000000001</v>
      </c>
      <c r="LS63" s="334">
        <v>36</v>
      </c>
      <c r="LT63" s="334">
        <v>0.52500000000000002</v>
      </c>
      <c r="LU63" s="334">
        <v>224.60300000000001</v>
      </c>
      <c r="LV63" s="334">
        <v>34.438000000000002</v>
      </c>
      <c r="LW63" s="334">
        <v>0.52500000000000002</v>
      </c>
      <c r="LX63" s="334">
        <v>224.60300000000001</v>
      </c>
      <c r="LY63" s="334">
        <v>34.25</v>
      </c>
      <c r="LZ63" s="334">
        <v>0.52500000000000002</v>
      </c>
      <c r="MA63" s="334">
        <v>224.60300000000001</v>
      </c>
      <c r="MB63" s="334">
        <v>40.75</v>
      </c>
      <c r="MC63" s="334">
        <v>0.52500000000000002</v>
      </c>
      <c r="MD63" s="334">
        <v>225.84100000000001</v>
      </c>
      <c r="ME63" s="334">
        <v>39.75</v>
      </c>
      <c r="MF63" s="334">
        <v>0.5</v>
      </c>
      <c r="MG63" s="334">
        <v>225.84100000000001</v>
      </c>
      <c r="MH63" s="334">
        <v>42.375</v>
      </c>
      <c r="MI63" s="334">
        <v>0.5</v>
      </c>
      <c r="MJ63" s="334">
        <v>225.84100000000001</v>
      </c>
      <c r="MK63" s="334">
        <v>41.375</v>
      </c>
      <c r="ML63" s="334">
        <v>0.5</v>
      </c>
      <c r="MM63" s="334">
        <v>225.84100000000001</v>
      </c>
      <c r="MN63" s="334">
        <v>41</v>
      </c>
      <c r="MO63" s="334">
        <v>0.5</v>
      </c>
      <c r="MP63" s="334">
        <v>225.84100000000001</v>
      </c>
      <c r="MQ63" s="334">
        <v>34.875</v>
      </c>
      <c r="MR63" s="334">
        <v>0.77</v>
      </c>
      <c r="MS63" s="334">
        <v>225.84100000000001</v>
      </c>
      <c r="MT63" s="334">
        <v>34.375</v>
      </c>
      <c r="MU63" s="334">
        <v>0.77</v>
      </c>
      <c r="MV63" s="334">
        <v>225.84100000000001</v>
      </c>
      <c r="MW63" s="334">
        <v>31.75</v>
      </c>
      <c r="MX63" s="334">
        <v>0.77</v>
      </c>
      <c r="MY63" s="334">
        <v>225.84100000000001</v>
      </c>
      <c r="MZ63" s="334">
        <v>32</v>
      </c>
      <c r="NA63" s="334">
        <v>0.77</v>
      </c>
      <c r="NB63" s="334">
        <v>225.84100000000001</v>
      </c>
      <c r="NC63" s="334">
        <v>32.625</v>
      </c>
      <c r="ND63" s="334">
        <v>0.77</v>
      </c>
      <c r="NE63" s="334">
        <v>225.84100000000001</v>
      </c>
      <c r="NF63" s="334">
        <v>31.25</v>
      </c>
      <c r="NG63" s="334">
        <v>0.77</v>
      </c>
      <c r="NH63" s="334">
        <v>222.90799999999999</v>
      </c>
      <c r="NI63" s="334">
        <v>37.375</v>
      </c>
      <c r="NJ63" s="334">
        <v>0.77</v>
      </c>
      <c r="NK63" s="334">
        <v>222.90799999999999</v>
      </c>
      <c r="NL63" s="334">
        <v>43.125</v>
      </c>
      <c r="NM63" s="334">
        <v>0.77</v>
      </c>
      <c r="NN63" s="334">
        <v>222.90799999999999</v>
      </c>
      <c r="NO63" s="334">
        <v>45.875</v>
      </c>
      <c r="NP63" s="334">
        <v>0.77</v>
      </c>
      <c r="NQ63" s="334">
        <v>220.18700000000001</v>
      </c>
      <c r="NR63" s="334">
        <v>45.75</v>
      </c>
      <c r="NS63" s="334">
        <v>0.77</v>
      </c>
      <c r="NT63" s="334">
        <v>218.81100000000001</v>
      </c>
      <c r="NU63" s="334">
        <v>45.125</v>
      </c>
      <c r="NV63" s="334">
        <v>0.77</v>
      </c>
      <c r="NW63" s="334">
        <v>214.02799999999999</v>
      </c>
      <c r="NX63" s="334">
        <v>42.5</v>
      </c>
      <c r="NY63" s="334">
        <v>0.76</v>
      </c>
      <c r="NZ63" s="334">
        <v>214.02799999999999</v>
      </c>
      <c r="OA63" s="334">
        <v>42.13</v>
      </c>
      <c r="OB63" s="334">
        <v>0.76</v>
      </c>
      <c r="OC63" s="334">
        <v>213.16399999999999</v>
      </c>
      <c r="OD63" s="334">
        <v>39.130000000000003</v>
      </c>
      <c r="OE63" s="334">
        <v>0.76</v>
      </c>
      <c r="OF63" s="334">
        <v>212.30699999999999</v>
      </c>
      <c r="OG63" s="334">
        <v>37.630000000000003</v>
      </c>
      <c r="OH63" s="334">
        <v>0.75</v>
      </c>
      <c r="OI63" s="334">
        <v>207.358</v>
      </c>
      <c r="OJ63" s="334">
        <v>41.75</v>
      </c>
      <c r="OK63" s="334">
        <v>0.75</v>
      </c>
      <c r="OL63" s="334">
        <v>206.24700000000001</v>
      </c>
      <c r="OM63" s="334">
        <v>38.75</v>
      </c>
      <c r="ON63" s="334">
        <v>0.75</v>
      </c>
      <c r="OO63" s="334">
        <v>204.85499999999999</v>
      </c>
      <c r="OP63" s="334">
        <v>34.75</v>
      </c>
      <c r="OQ63" s="334">
        <v>0.75</v>
      </c>
      <c r="OR63" s="334">
        <v>202.53299999999999</v>
      </c>
      <c r="OS63" s="334">
        <v>36.5</v>
      </c>
      <c r="OT63" s="334">
        <v>0.74</v>
      </c>
      <c r="OU63" s="334">
        <v>193.46100000000001</v>
      </c>
      <c r="OV63" s="334">
        <v>36.630000000000003</v>
      </c>
    </row>
    <row r="64" spans="1:412">
      <c r="A64" s="294" t="s">
        <v>42</v>
      </c>
      <c r="B64" s="333" t="s">
        <v>451</v>
      </c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504"/>
      <c r="AZ64" s="504"/>
      <c r="BA64" s="504"/>
      <c r="BB64" s="503"/>
      <c r="BC64" s="503"/>
      <c r="BD64" s="503"/>
      <c r="BE64" s="503"/>
      <c r="BF64" s="503"/>
      <c r="BG64" s="503"/>
      <c r="BH64" s="503"/>
      <c r="BI64" s="503"/>
      <c r="BJ64" s="503"/>
      <c r="BK64" s="503"/>
      <c r="BL64" s="503"/>
      <c r="BM64" s="503"/>
      <c r="BN64" s="503"/>
      <c r="BO64" s="503"/>
      <c r="BP64" s="503"/>
      <c r="BQ64" s="504"/>
      <c r="BR64" s="504"/>
      <c r="BS64" s="504"/>
      <c r="BT64" s="504"/>
      <c r="BU64" s="504"/>
      <c r="BV64" s="504"/>
      <c r="BW64" s="504"/>
      <c r="BX64" s="504"/>
      <c r="BY64" s="504"/>
      <c r="BZ64" s="503"/>
      <c r="CA64" s="503"/>
      <c r="CB64" s="503"/>
      <c r="CC64" s="503"/>
      <c r="CD64" s="503"/>
      <c r="CE64" s="503"/>
      <c r="CF64" s="503"/>
      <c r="CG64" s="503"/>
      <c r="CH64" s="503"/>
      <c r="CI64" s="503"/>
      <c r="CJ64" s="503"/>
      <c r="CK64" s="503"/>
      <c r="CL64" s="503"/>
      <c r="CM64" s="503"/>
      <c r="CN64" s="503"/>
      <c r="CO64" s="503"/>
      <c r="CP64" s="503"/>
      <c r="CQ64" s="503"/>
      <c r="CR64" s="504"/>
      <c r="CS64" s="504"/>
      <c r="CT64" s="504"/>
      <c r="CU64" s="503"/>
      <c r="CV64" s="503"/>
      <c r="CW64" s="503"/>
      <c r="CX64" s="339"/>
      <c r="CY64" s="339"/>
      <c r="CZ64" s="339"/>
      <c r="DA64" s="339"/>
      <c r="DB64" s="339"/>
      <c r="DC64" s="339"/>
      <c r="DD64" s="339"/>
      <c r="DE64" s="339"/>
      <c r="DF64" s="339"/>
      <c r="DG64" s="339"/>
      <c r="DH64" s="339"/>
      <c r="DI64" s="339"/>
      <c r="DJ64" s="339"/>
      <c r="DK64" s="339"/>
      <c r="DL64" s="339"/>
      <c r="DM64" s="339"/>
      <c r="DN64" s="339"/>
      <c r="DO64" s="339"/>
      <c r="DP64" s="340"/>
      <c r="DQ64" s="340"/>
      <c r="DR64" s="340"/>
      <c r="DS64" s="339"/>
      <c r="DT64" s="339"/>
      <c r="DU64" s="339"/>
      <c r="DV64" s="339"/>
      <c r="DW64" s="339"/>
      <c r="DX64" s="339"/>
      <c r="DY64" s="339">
        <v>41.737000000000002</v>
      </c>
      <c r="DZ64" s="339">
        <v>60.41</v>
      </c>
      <c r="EA64" s="339">
        <v>0.48</v>
      </c>
      <c r="EB64" s="340">
        <v>41.618000000000002</v>
      </c>
      <c r="EC64" s="340">
        <v>60.03</v>
      </c>
      <c r="ED64" s="515">
        <v>0.48</v>
      </c>
      <c r="EE64" s="339">
        <v>41.65</v>
      </c>
      <c r="EF64" s="339">
        <v>59.85</v>
      </c>
      <c r="EG64" s="339">
        <v>0.435</v>
      </c>
      <c r="EH64" s="339">
        <v>41.597999999999999</v>
      </c>
      <c r="EI64" s="339">
        <v>46.62</v>
      </c>
      <c r="EJ64" s="339">
        <v>0.435</v>
      </c>
      <c r="EK64" s="339">
        <v>41.54</v>
      </c>
      <c r="EL64" s="339">
        <v>44.73</v>
      </c>
      <c r="EM64" s="339">
        <v>0.435</v>
      </c>
      <c r="EN64" s="340">
        <v>40.362000000000002</v>
      </c>
      <c r="EO64" s="340">
        <v>48.94</v>
      </c>
      <c r="EP64" s="515">
        <v>0.435</v>
      </c>
      <c r="EQ64" s="339">
        <v>41.445999999999998</v>
      </c>
      <c r="ER64" s="339">
        <v>42.42</v>
      </c>
      <c r="ES64" s="339">
        <v>0.43</v>
      </c>
      <c r="ET64" s="339">
        <v>40.470999999999997</v>
      </c>
      <c r="EU64" s="339">
        <v>41.86</v>
      </c>
      <c r="EV64" s="339">
        <v>0.43</v>
      </c>
      <c r="EW64" s="339">
        <v>38.030999999999999</v>
      </c>
      <c r="EX64" s="339">
        <v>38.409999999999997</v>
      </c>
      <c r="EY64" s="339">
        <v>0.43</v>
      </c>
      <c r="EZ64" s="340">
        <v>36.962000000000003</v>
      </c>
      <c r="FA64" s="340">
        <v>36.57</v>
      </c>
      <c r="FB64" s="515">
        <v>0.43</v>
      </c>
      <c r="FC64" s="339">
        <v>37.052999999999997</v>
      </c>
      <c r="FD64" s="339">
        <v>36.92</v>
      </c>
      <c r="FE64" s="339">
        <v>0.42</v>
      </c>
      <c r="FF64" s="339">
        <v>36.950000000000003</v>
      </c>
      <c r="FG64" s="339">
        <v>36.090000000000003</v>
      </c>
      <c r="FH64" s="339">
        <v>0.42</v>
      </c>
      <c r="FI64" s="339">
        <v>36.789000000000001</v>
      </c>
      <c r="FJ64" s="339">
        <v>37.33</v>
      </c>
      <c r="FK64" s="339">
        <v>0.42</v>
      </c>
      <c r="FL64" s="339">
        <v>36.695999999999998</v>
      </c>
      <c r="FM64" s="339">
        <v>36.130000000000003</v>
      </c>
      <c r="FN64" s="511">
        <v>0.42</v>
      </c>
      <c r="FO64" s="339">
        <v>36.533000000000001</v>
      </c>
      <c r="FP64" s="339">
        <v>35.840000000000003</v>
      </c>
      <c r="FQ64" s="339">
        <v>0.39</v>
      </c>
      <c r="FR64" s="339">
        <v>36.322000000000003</v>
      </c>
      <c r="FS64" s="339">
        <v>33.43</v>
      </c>
      <c r="FT64" s="339">
        <v>0.39</v>
      </c>
      <c r="FU64" s="339">
        <v>36.052</v>
      </c>
      <c r="FV64" s="339">
        <v>30.18</v>
      </c>
      <c r="FW64" s="339">
        <v>0.39</v>
      </c>
      <c r="FX64" s="339">
        <v>35.948</v>
      </c>
      <c r="FY64" s="339">
        <v>31.44</v>
      </c>
      <c r="FZ64" s="339">
        <v>0.39</v>
      </c>
      <c r="GA64" s="339">
        <v>35.927999999999997</v>
      </c>
      <c r="GB64" s="339">
        <v>32.19</v>
      </c>
      <c r="GC64" s="339">
        <v>0.28999999999999998</v>
      </c>
      <c r="GD64" s="339">
        <v>35.686999999999998</v>
      </c>
      <c r="GE64" s="339">
        <v>30.75</v>
      </c>
      <c r="GF64" s="339">
        <v>0.28999999999999998</v>
      </c>
      <c r="GG64" s="339">
        <v>35.664999999999999</v>
      </c>
      <c r="GH64" s="339">
        <v>26.54</v>
      </c>
      <c r="GI64" s="339">
        <v>0.28999999999999998</v>
      </c>
      <c r="GJ64" s="339">
        <v>35.68</v>
      </c>
      <c r="GK64" s="339">
        <v>28.19</v>
      </c>
      <c r="GL64" s="339">
        <v>0.28999999999999998</v>
      </c>
      <c r="GM64" s="339">
        <v>35.677</v>
      </c>
      <c r="GN64" s="339">
        <v>29.36</v>
      </c>
      <c r="GO64" s="339">
        <v>0.24</v>
      </c>
      <c r="GP64" s="339">
        <v>35.612000000000002</v>
      </c>
      <c r="GQ64" s="339">
        <v>29.19</v>
      </c>
      <c r="GR64" s="339">
        <v>0.24</v>
      </c>
      <c r="GS64" s="339">
        <v>35.558999999999997</v>
      </c>
      <c r="GT64" s="339">
        <v>31.01</v>
      </c>
      <c r="GU64" s="339">
        <v>0.24</v>
      </c>
      <c r="GV64" s="339">
        <v>35.485999999999997</v>
      </c>
      <c r="GW64" s="339">
        <v>22.26</v>
      </c>
      <c r="GX64" s="339">
        <v>0.24</v>
      </c>
      <c r="GY64" s="339">
        <v>35.514000000000003</v>
      </c>
      <c r="GZ64" s="339">
        <v>31.55</v>
      </c>
      <c r="HA64" s="339">
        <v>0.22500000000000001</v>
      </c>
      <c r="HB64" s="339">
        <v>35.472000000000001</v>
      </c>
      <c r="HC64" s="339">
        <v>29.89</v>
      </c>
      <c r="HD64" s="339">
        <v>0.22500000000000001</v>
      </c>
      <c r="HE64" s="339">
        <v>35.421999999999997</v>
      </c>
      <c r="HF64" s="339">
        <v>32.89</v>
      </c>
      <c r="HG64" s="339">
        <v>0.22500000000000001</v>
      </c>
      <c r="HH64" s="339">
        <v>35.264000000000003</v>
      </c>
      <c r="HI64" s="505">
        <v>37.549999999999997</v>
      </c>
      <c r="HJ64" s="339">
        <v>0.22500000000000001</v>
      </c>
      <c r="HK64" s="339">
        <v>35.308</v>
      </c>
      <c r="HL64" s="339">
        <v>36.53</v>
      </c>
      <c r="HM64" s="339">
        <v>0.21</v>
      </c>
      <c r="HN64" s="339">
        <v>35.244999999999997</v>
      </c>
      <c r="HO64" s="339">
        <v>33.33</v>
      </c>
      <c r="HP64" s="339">
        <v>0.21</v>
      </c>
      <c r="HQ64" s="339">
        <v>35.116</v>
      </c>
      <c r="HR64" s="339">
        <v>31.15</v>
      </c>
      <c r="HS64" s="339">
        <v>0.21</v>
      </c>
      <c r="HT64" s="339">
        <v>34.99</v>
      </c>
      <c r="HU64" s="339">
        <v>30.5</v>
      </c>
      <c r="HV64" s="339">
        <v>0.21</v>
      </c>
      <c r="HW64" s="339">
        <v>34.914999999999999</v>
      </c>
      <c r="HX64" s="506">
        <v>31.2</v>
      </c>
      <c r="HY64" s="513">
        <f>0.76/4</f>
        <v>0.19</v>
      </c>
      <c r="HZ64" s="339">
        <v>34.807000000000002</v>
      </c>
      <c r="IA64" s="339">
        <v>33.24</v>
      </c>
      <c r="IB64" s="339">
        <v>0.19</v>
      </c>
      <c r="IC64" s="339">
        <v>34.634999999999998</v>
      </c>
      <c r="ID64" s="339">
        <v>30.75</v>
      </c>
      <c r="IE64" s="339">
        <v>0.19</v>
      </c>
      <c r="IF64" s="339">
        <v>34.463999999999999</v>
      </c>
      <c r="IG64" s="339">
        <v>30.97</v>
      </c>
      <c r="IH64" s="339">
        <v>0.19</v>
      </c>
      <c r="II64" s="339">
        <v>34.463999999999999</v>
      </c>
      <c r="IJ64" s="505">
        <v>24.11</v>
      </c>
      <c r="IK64" s="339">
        <v>0.16</v>
      </c>
      <c r="IL64" s="339">
        <v>34.392000000000003</v>
      </c>
      <c r="IM64" s="339">
        <v>24.35</v>
      </c>
      <c r="IN64" s="339">
        <v>0.16</v>
      </c>
      <c r="IO64" s="339">
        <v>34.185000000000002</v>
      </c>
      <c r="IP64" s="339">
        <v>24.85</v>
      </c>
      <c r="IQ64" s="339">
        <v>0.16</v>
      </c>
      <c r="IR64" s="339">
        <v>33.914000000000001</v>
      </c>
      <c r="IS64" s="339">
        <v>24.57</v>
      </c>
      <c r="IT64" s="339">
        <v>0.16</v>
      </c>
      <c r="IU64" s="339">
        <v>33.838000000000001</v>
      </c>
      <c r="IV64" s="339">
        <v>24.66</v>
      </c>
      <c r="IW64" s="339">
        <v>0.15</v>
      </c>
      <c r="IX64" s="339">
        <v>33.820999999999998</v>
      </c>
      <c r="IY64" s="339">
        <v>19.02</v>
      </c>
      <c r="IZ64" s="339">
        <v>0.15</v>
      </c>
      <c r="JA64" s="339">
        <v>33.738999999999997</v>
      </c>
      <c r="JB64" s="339">
        <v>18.8</v>
      </c>
      <c r="JC64" s="339">
        <v>0.15</v>
      </c>
      <c r="JD64" s="339">
        <v>33.698999999999998</v>
      </c>
      <c r="JE64" s="339">
        <v>17.3</v>
      </c>
      <c r="JF64" s="339">
        <v>0.15</v>
      </c>
      <c r="JG64" s="339">
        <v>33.692</v>
      </c>
      <c r="JH64" s="339">
        <v>17.29</v>
      </c>
      <c r="JI64" s="339">
        <v>0.125</v>
      </c>
      <c r="JJ64" s="339">
        <v>33.683999999999997</v>
      </c>
      <c r="JK64" s="339">
        <v>15.25</v>
      </c>
      <c r="JL64" s="339">
        <v>0.125</v>
      </c>
      <c r="JM64" s="339">
        <v>33.613</v>
      </c>
      <c r="JN64" s="339">
        <v>18.600000000000001</v>
      </c>
      <c r="JO64" s="339">
        <v>0.125</v>
      </c>
      <c r="JP64" s="339">
        <v>33.514000000000003</v>
      </c>
      <c r="JQ64" s="339">
        <v>20.46</v>
      </c>
      <c r="JR64" s="339">
        <v>0.125</v>
      </c>
      <c r="JS64" s="339">
        <v>33.472000000000001</v>
      </c>
      <c r="JT64" s="339">
        <v>18.190000000000001</v>
      </c>
      <c r="JU64" s="339">
        <v>0.1</v>
      </c>
      <c r="JV64" s="339">
        <v>33.341999999999999</v>
      </c>
      <c r="JW64" s="339">
        <v>14</v>
      </c>
      <c r="JX64" s="339">
        <v>0.1</v>
      </c>
      <c r="JY64" s="339">
        <v>33.265999999999998</v>
      </c>
      <c r="JZ64" s="339">
        <v>22.97</v>
      </c>
      <c r="KA64" s="339">
        <v>0.1</v>
      </c>
      <c r="KB64" s="339">
        <v>32.590000000000003</v>
      </c>
      <c r="KC64" s="339">
        <v>21</v>
      </c>
      <c r="KD64" s="339">
        <v>0.1</v>
      </c>
      <c r="KE64" s="339">
        <v>32.423000000000002</v>
      </c>
      <c r="KF64" s="339">
        <v>18.8125</v>
      </c>
      <c r="KG64" s="339">
        <v>0.08</v>
      </c>
      <c r="KH64" s="339">
        <v>32.389000000000003</v>
      </c>
      <c r="KI64" s="339">
        <v>16.375</v>
      </c>
      <c r="KJ64" s="339">
        <v>0.08</v>
      </c>
      <c r="KK64" s="339">
        <v>32.4</v>
      </c>
      <c r="KL64" s="339">
        <v>15</v>
      </c>
      <c r="KM64" s="339">
        <v>0.08</v>
      </c>
      <c r="KN64" s="339">
        <v>32.348999999999997</v>
      </c>
      <c r="KO64" s="339">
        <v>14.6875</v>
      </c>
      <c r="KP64" s="339">
        <v>0.08</v>
      </c>
      <c r="KQ64" s="339">
        <v>32.338000000000001</v>
      </c>
      <c r="KR64" s="339">
        <v>11.1875</v>
      </c>
      <c r="KS64" s="339">
        <v>0.02</v>
      </c>
      <c r="KT64" s="339">
        <v>32.316000000000003</v>
      </c>
      <c r="KU64" s="339">
        <v>11.8125</v>
      </c>
      <c r="KV64" s="339">
        <v>0</v>
      </c>
      <c r="KW64" s="334">
        <v>32.18</v>
      </c>
      <c r="KX64" s="334">
        <v>11.9375</v>
      </c>
      <c r="KY64" s="334">
        <v>0</v>
      </c>
      <c r="KZ64" s="334">
        <v>32.15</v>
      </c>
      <c r="LA64" s="334">
        <v>11.0625</v>
      </c>
      <c r="LB64" s="334">
        <v>0</v>
      </c>
      <c r="LC64" s="334">
        <v>32.15</v>
      </c>
      <c r="LD64" s="334">
        <v>13.5</v>
      </c>
      <c r="LE64" s="334">
        <v>0</v>
      </c>
      <c r="LF64" s="334">
        <v>32.14</v>
      </c>
      <c r="LG64" s="334">
        <v>15.313000000000001</v>
      </c>
      <c r="LH64" s="334">
        <v>0</v>
      </c>
      <c r="LI64" s="334">
        <v>32.14</v>
      </c>
      <c r="LJ64" s="334">
        <v>15.75</v>
      </c>
      <c r="LK64" s="334">
        <v>0</v>
      </c>
      <c r="LL64" s="334">
        <v>32.14</v>
      </c>
      <c r="LM64" s="334">
        <v>17.375</v>
      </c>
      <c r="LN64" s="334">
        <v>0</v>
      </c>
      <c r="LO64" s="334">
        <v>32.136000000000003</v>
      </c>
      <c r="LP64" s="334">
        <v>18.125</v>
      </c>
      <c r="LQ64" s="334">
        <v>0</v>
      </c>
      <c r="LR64" s="334">
        <v>32.148400000000002</v>
      </c>
      <c r="LS64" s="334">
        <v>17.8125</v>
      </c>
      <c r="LT64" s="334">
        <v>0</v>
      </c>
      <c r="LU64" s="334">
        <v>32.148400000000002</v>
      </c>
      <c r="LV64" s="334">
        <v>14.5</v>
      </c>
      <c r="LW64" s="334">
        <v>0</v>
      </c>
      <c r="LX64" s="334">
        <v>32.148400000000002</v>
      </c>
      <c r="LY64" s="334">
        <v>14.375</v>
      </c>
      <c r="LZ64" s="334">
        <v>0</v>
      </c>
      <c r="MA64" s="334">
        <v>32.148400000000002</v>
      </c>
      <c r="MB64" s="334">
        <v>16.5</v>
      </c>
      <c r="MC64" s="334">
        <v>0</v>
      </c>
      <c r="MD64" s="334">
        <v>32.148400000000002</v>
      </c>
      <c r="ME64" s="334">
        <v>16.875</v>
      </c>
      <c r="MF64" s="334">
        <v>0</v>
      </c>
      <c r="MG64" s="334">
        <v>32.148400000000002</v>
      </c>
      <c r="MH64" s="334">
        <v>13.625</v>
      </c>
      <c r="MI64" s="334">
        <v>0</v>
      </c>
      <c r="MJ64" s="334">
        <v>32.148400000000002</v>
      </c>
      <c r="MK64" s="334">
        <v>15</v>
      </c>
      <c r="ML64" s="334">
        <v>0</v>
      </c>
      <c r="MM64" s="334">
        <v>32.148400000000002</v>
      </c>
      <c r="MN64" s="334">
        <v>16.25</v>
      </c>
      <c r="MO64" s="334">
        <v>0</v>
      </c>
      <c r="MP64" s="334">
        <v>32.148400000000002</v>
      </c>
      <c r="MQ64" s="334">
        <v>15.625</v>
      </c>
      <c r="MR64" s="334">
        <v>0</v>
      </c>
      <c r="MS64" s="334">
        <v>32.148400000000002</v>
      </c>
      <c r="MT64" s="334">
        <v>15.625</v>
      </c>
      <c r="MU64" s="334">
        <v>0</v>
      </c>
      <c r="MV64" s="334">
        <v>32.148400000000002</v>
      </c>
      <c r="MW64" s="334">
        <v>16.875</v>
      </c>
      <c r="MX64" s="334">
        <v>0</v>
      </c>
      <c r="MY64" s="334">
        <v>32.138199999999998</v>
      </c>
      <c r="MZ64" s="334">
        <v>15</v>
      </c>
      <c r="NA64" s="334">
        <v>0</v>
      </c>
      <c r="NB64" s="334">
        <v>32.138199999999998</v>
      </c>
      <c r="NC64" s="334">
        <v>17.5</v>
      </c>
      <c r="ND64" s="334">
        <v>0</v>
      </c>
      <c r="NE64" s="334">
        <v>32.138199999999998</v>
      </c>
      <c r="NF64" s="334">
        <v>14.375</v>
      </c>
      <c r="NG64" s="334">
        <v>0</v>
      </c>
      <c r="NH64" s="334">
        <v>32.118600000000001</v>
      </c>
      <c r="NI64" s="334">
        <v>18.75</v>
      </c>
      <c r="NJ64" s="334">
        <v>0</v>
      </c>
      <c r="NK64" s="334">
        <v>32.118600000000001</v>
      </c>
      <c r="NL64" s="334">
        <v>18.125</v>
      </c>
      <c r="NM64" s="334">
        <v>0</v>
      </c>
      <c r="NN64" s="334">
        <v>32.118600000000001</v>
      </c>
      <c r="NO64" s="334">
        <v>18.75</v>
      </c>
      <c r="NP64" s="334">
        <v>0</v>
      </c>
      <c r="NQ64" s="334">
        <v>32.085999999999999</v>
      </c>
      <c r="NR64" s="334">
        <v>20.625</v>
      </c>
      <c r="NS64" s="334">
        <v>0</v>
      </c>
      <c r="NT64" s="334">
        <v>32.085999999999999</v>
      </c>
      <c r="NU64" s="334">
        <v>14.375</v>
      </c>
      <c r="NV64" s="334">
        <v>0</v>
      </c>
      <c r="NW64" s="334">
        <v>5.1429999999999998</v>
      </c>
      <c r="NX64" s="334">
        <v>12.5</v>
      </c>
      <c r="NY64" s="334">
        <v>0</v>
      </c>
      <c r="NZ64" s="334">
        <v>5.1429999999999998</v>
      </c>
      <c r="OA64" s="334">
        <v>23.75</v>
      </c>
      <c r="OB64" s="334">
        <v>0</v>
      </c>
      <c r="OC64" s="334">
        <v>5.1429999999999998</v>
      </c>
      <c r="OD64" s="334">
        <v>26.25</v>
      </c>
      <c r="OE64" s="334">
        <v>0</v>
      </c>
      <c r="OF64" s="334">
        <v>5.1429999999999998</v>
      </c>
      <c r="OG64" s="334">
        <v>35</v>
      </c>
      <c r="OH64" s="334">
        <v>0</v>
      </c>
      <c r="OI64" s="334">
        <v>5.1429999999999998</v>
      </c>
      <c r="OJ64" s="334">
        <v>22.5</v>
      </c>
      <c r="OK64" s="334">
        <v>0</v>
      </c>
      <c r="OL64" s="334">
        <v>5.1429999999999998</v>
      </c>
      <c r="OM64" s="334">
        <v>25.63</v>
      </c>
      <c r="ON64" s="334">
        <v>0</v>
      </c>
      <c r="OO64" s="334">
        <v>5.1429999999999998</v>
      </c>
      <c r="OP64" s="334">
        <v>26.88</v>
      </c>
      <c r="OQ64" s="334">
        <v>0</v>
      </c>
      <c r="OR64" s="334">
        <v>5.1429999999999998</v>
      </c>
      <c r="OS64" s="334">
        <v>44.38</v>
      </c>
      <c r="OT64" s="334">
        <v>0</v>
      </c>
      <c r="OU64" s="334">
        <v>5.1269999999999998</v>
      </c>
      <c r="OV64" s="334">
        <v>30</v>
      </c>
    </row>
    <row r="65" spans="1:412">
      <c r="A65" s="294" t="s">
        <v>21</v>
      </c>
      <c r="B65" s="335" t="s">
        <v>138</v>
      </c>
      <c r="C65" s="335">
        <v>266.8</v>
      </c>
      <c r="D65" s="335">
        <v>89.14</v>
      </c>
      <c r="E65" s="335">
        <v>0.67</v>
      </c>
      <c r="F65" s="335">
        <v>266.7</v>
      </c>
      <c r="G65" s="335">
        <v>87.46</v>
      </c>
      <c r="H65" s="335">
        <v>0.67</v>
      </c>
      <c r="I65" s="335">
        <v>266.39999999999998</v>
      </c>
      <c r="J65" s="335">
        <v>71.11</v>
      </c>
      <c r="K65" s="335">
        <v>0.67</v>
      </c>
      <c r="L65" s="335">
        <v>263.5</v>
      </c>
      <c r="M65" s="335">
        <v>73.959999999999994</v>
      </c>
      <c r="N65" s="335">
        <v>0.67</v>
      </c>
      <c r="O65" s="335">
        <v>262.8</v>
      </c>
      <c r="P65" s="335">
        <v>72.34</v>
      </c>
      <c r="Q65" s="335">
        <v>0.63</v>
      </c>
      <c r="R65" s="340">
        <v>262.60000000000002</v>
      </c>
      <c r="S65" s="340">
        <v>74.83</v>
      </c>
      <c r="T65" s="340">
        <v>0.63</v>
      </c>
      <c r="U65" s="340">
        <v>262.2</v>
      </c>
      <c r="V65" s="340">
        <v>81.67</v>
      </c>
      <c r="W65" s="340">
        <v>0.63</v>
      </c>
      <c r="X65" s="340">
        <v>258.39999999999998</v>
      </c>
      <c r="Y65" s="340">
        <v>86.39</v>
      </c>
      <c r="Z65" s="340">
        <v>0.63</v>
      </c>
      <c r="AA65" s="340">
        <v>258.39999999999998</v>
      </c>
      <c r="AB65" s="340">
        <v>88.92</v>
      </c>
      <c r="AC65" s="340">
        <v>0.59</v>
      </c>
      <c r="AD65" s="340">
        <v>258.2</v>
      </c>
      <c r="AE65" s="340">
        <v>80.55</v>
      </c>
      <c r="AF65" s="340">
        <v>0.59</v>
      </c>
      <c r="AG65" s="340">
        <v>257.89999999999998</v>
      </c>
      <c r="AH65" s="340">
        <v>90.36</v>
      </c>
      <c r="AI65" s="340">
        <v>0.59</v>
      </c>
      <c r="AJ65" s="340">
        <v>256.3</v>
      </c>
      <c r="AK65" s="340">
        <v>93.76</v>
      </c>
      <c r="AL65" s="340">
        <v>0.59</v>
      </c>
      <c r="AM65" s="340">
        <v>257.3</v>
      </c>
      <c r="AN65" s="340">
        <v>89.01</v>
      </c>
      <c r="AO65" s="340">
        <v>0.55000000000000004</v>
      </c>
      <c r="AP65" s="340">
        <v>256.10000000000002</v>
      </c>
      <c r="AQ65" s="340">
        <v>81</v>
      </c>
      <c r="AR65" s="340">
        <v>0.55000000000000004</v>
      </c>
      <c r="AS65" s="340">
        <v>254.4</v>
      </c>
      <c r="AT65" s="340">
        <v>80.040000000000006</v>
      </c>
      <c r="AU65" s="340">
        <v>0.55000000000000004</v>
      </c>
      <c r="AV65" s="340">
        <v>247</v>
      </c>
      <c r="AW65" s="340">
        <v>81.36</v>
      </c>
      <c r="AX65" s="340">
        <v>0.55000000000000004</v>
      </c>
      <c r="AY65" s="503">
        <v>247.1</v>
      </c>
      <c r="AZ65" s="503">
        <v>78.06</v>
      </c>
      <c r="BA65" s="503">
        <v>0.51500000000000001</v>
      </c>
      <c r="BB65" s="504">
        <v>246.9</v>
      </c>
      <c r="BC65" s="504">
        <v>79.08</v>
      </c>
      <c r="BD65" s="504">
        <v>0.495</v>
      </c>
      <c r="BE65" s="504">
        <v>246.4</v>
      </c>
      <c r="BF65" s="504">
        <v>70.36</v>
      </c>
      <c r="BG65" s="504">
        <v>0.495</v>
      </c>
      <c r="BH65" s="504">
        <v>245.6</v>
      </c>
      <c r="BI65" s="504">
        <v>72.83</v>
      </c>
      <c r="BJ65" s="504">
        <v>0.495</v>
      </c>
      <c r="BK65" s="504">
        <v>245.9</v>
      </c>
      <c r="BL65" s="504">
        <v>76.8</v>
      </c>
      <c r="BM65" s="504">
        <v>0.495</v>
      </c>
      <c r="BN65" s="504">
        <v>245.6</v>
      </c>
      <c r="BO65" s="504">
        <v>80.05</v>
      </c>
      <c r="BP65" s="504">
        <v>0.47499999999999998</v>
      </c>
      <c r="BQ65" s="504">
        <v>244.9</v>
      </c>
      <c r="BR65" s="504">
        <v>75.11</v>
      </c>
      <c r="BS65" s="504">
        <v>0.47499999999999998</v>
      </c>
      <c r="BT65" s="504">
        <v>243.8</v>
      </c>
      <c r="BU65" s="504">
        <v>73.55</v>
      </c>
      <c r="BV65" s="504">
        <v>0.47499999999999998</v>
      </c>
      <c r="BW65" s="504">
        <v>244.1</v>
      </c>
      <c r="BX65" s="504">
        <v>65.23</v>
      </c>
      <c r="BY65" s="507">
        <v>0.47499999999999998</v>
      </c>
      <c r="BZ65" s="504">
        <v>243.7</v>
      </c>
      <c r="CA65" s="504">
        <v>63.22</v>
      </c>
      <c r="CB65" s="504">
        <v>0.45750000000000002</v>
      </c>
      <c r="CC65" s="503">
        <v>242.9</v>
      </c>
      <c r="CD65" s="503">
        <v>60.85</v>
      </c>
      <c r="CE65" s="503">
        <v>0.45750000000000002</v>
      </c>
      <c r="CF65" s="503">
        <v>242.6</v>
      </c>
      <c r="CG65" s="503">
        <v>56.63</v>
      </c>
      <c r="CH65" s="503">
        <v>0.45750000000000002</v>
      </c>
      <c r="CI65" s="503">
        <v>242.6</v>
      </c>
      <c r="CJ65" s="503">
        <v>58.99</v>
      </c>
      <c r="CK65" s="508">
        <v>0.45750000000000002</v>
      </c>
      <c r="CL65" s="503">
        <v>242.6</v>
      </c>
      <c r="CM65" s="503">
        <v>57.84</v>
      </c>
      <c r="CN65" s="503">
        <v>0.44</v>
      </c>
      <c r="CO65" s="503">
        <v>242.6</v>
      </c>
      <c r="CP65" s="503">
        <v>54.67</v>
      </c>
      <c r="CQ65" s="503">
        <v>0.44</v>
      </c>
      <c r="CR65" s="504">
        <v>242.6</v>
      </c>
      <c r="CS65" s="504">
        <v>54.59</v>
      </c>
      <c r="CT65" s="504">
        <v>0.44</v>
      </c>
      <c r="CU65" s="503">
        <v>242.6</v>
      </c>
      <c r="CV65" s="503">
        <v>52.46</v>
      </c>
      <c r="CW65" s="509">
        <v>0.44</v>
      </c>
      <c r="CX65" s="339">
        <v>242.6</v>
      </c>
      <c r="CY65" s="339">
        <v>49.18</v>
      </c>
      <c r="CZ65" s="339">
        <v>0.42499999999999999</v>
      </c>
      <c r="DA65" s="339">
        <v>242.6</v>
      </c>
      <c r="DB65" s="339">
        <v>53.58</v>
      </c>
      <c r="DC65" s="339">
        <v>0.42499999999999999</v>
      </c>
      <c r="DD65" s="339">
        <v>242.6</v>
      </c>
      <c r="DE65" s="339">
        <v>50.1</v>
      </c>
      <c r="DF65" s="339">
        <v>0.42499999999999999</v>
      </c>
      <c r="DG65" s="339">
        <v>242.6</v>
      </c>
      <c r="DH65" s="339">
        <v>43.23</v>
      </c>
      <c r="DI65" s="339">
        <v>0.42499999999999999</v>
      </c>
      <c r="DJ65" s="339">
        <v>242.6</v>
      </c>
      <c r="DK65" s="339">
        <v>42.27</v>
      </c>
      <c r="DL65" s="339">
        <v>0.41</v>
      </c>
      <c r="DM65" s="339">
        <v>242.6</v>
      </c>
      <c r="DN65" s="339">
        <v>37.68</v>
      </c>
      <c r="DO65" s="339">
        <v>0.41</v>
      </c>
      <c r="DP65" s="340">
        <v>242.6</v>
      </c>
      <c r="DQ65" s="340">
        <v>42.2</v>
      </c>
      <c r="DR65" s="340">
        <v>0.41</v>
      </c>
      <c r="DS65" s="339">
        <v>242.6</v>
      </c>
      <c r="DT65" s="339">
        <v>46.13</v>
      </c>
      <c r="DU65" s="510">
        <v>0.41</v>
      </c>
      <c r="DV65" s="339">
        <v>242.6</v>
      </c>
      <c r="DW65" s="339">
        <v>38.33</v>
      </c>
      <c r="DX65" s="339">
        <v>0.4</v>
      </c>
      <c r="DY65" s="339">
        <v>242.6</v>
      </c>
      <c r="DZ65" s="339">
        <v>40.880000000000003</v>
      </c>
      <c r="EA65" s="339">
        <v>0.4</v>
      </c>
      <c r="EB65" s="340">
        <v>242.6</v>
      </c>
      <c r="EC65" s="340">
        <v>41.2</v>
      </c>
      <c r="ED65" s="340">
        <v>0.4</v>
      </c>
      <c r="EE65" s="339">
        <v>242.6</v>
      </c>
      <c r="EF65" s="339">
        <v>36.159999999999997</v>
      </c>
      <c r="EG65" s="339">
        <v>0.4</v>
      </c>
      <c r="EH65" s="339">
        <v>242.6</v>
      </c>
      <c r="EI65" s="339">
        <v>34.840000000000003</v>
      </c>
      <c r="EJ65" s="339">
        <v>0.4</v>
      </c>
      <c r="EK65" s="339">
        <v>242.6</v>
      </c>
      <c r="EL65" s="339">
        <v>34.44</v>
      </c>
      <c r="EM65" s="339">
        <v>0.4</v>
      </c>
      <c r="EN65" s="340">
        <v>242.6</v>
      </c>
      <c r="EO65" s="340">
        <v>35.020000000000003</v>
      </c>
      <c r="EP65" s="340">
        <v>0.4</v>
      </c>
      <c r="EQ65" s="339">
        <v>242.6</v>
      </c>
      <c r="ER65" s="339">
        <v>30.72</v>
      </c>
      <c r="ES65" s="339">
        <v>0.4</v>
      </c>
      <c r="ET65" s="339">
        <v>246.6</v>
      </c>
      <c r="EU65" s="339">
        <v>32.67</v>
      </c>
      <c r="EV65" s="339">
        <v>0.4</v>
      </c>
      <c r="EW65" s="339">
        <v>242.6</v>
      </c>
      <c r="EX65" s="339">
        <v>33.54</v>
      </c>
      <c r="EY65" s="339">
        <v>0.4</v>
      </c>
      <c r="EZ65" s="340">
        <v>241.5</v>
      </c>
      <c r="FA65" s="340">
        <v>32.58</v>
      </c>
      <c r="FB65" s="340">
        <v>0.4</v>
      </c>
      <c r="FC65" s="339">
        <v>241.7</v>
      </c>
      <c r="FD65" s="339">
        <v>33.130000000000003</v>
      </c>
      <c r="FE65" s="339">
        <v>0.4</v>
      </c>
      <c r="FF65" s="339">
        <v>241.2</v>
      </c>
      <c r="FG65" s="339">
        <v>29.77</v>
      </c>
      <c r="FH65" s="339">
        <v>0.38500000000000001</v>
      </c>
      <c r="FI65" s="339">
        <v>240.6</v>
      </c>
      <c r="FJ65" s="339">
        <v>28.84</v>
      </c>
      <c r="FK65" s="339">
        <v>0.38500000000000001</v>
      </c>
      <c r="FL65" s="339">
        <v>239.9</v>
      </c>
      <c r="FM65" s="339">
        <v>28.07</v>
      </c>
      <c r="FN65" s="339">
        <v>0.38500000000000001</v>
      </c>
      <c r="FO65" s="339">
        <v>239.3</v>
      </c>
      <c r="FP65" s="339">
        <v>28.19</v>
      </c>
      <c r="FQ65" s="339">
        <v>0.38500000000000001</v>
      </c>
      <c r="FR65" s="339">
        <v>238.4</v>
      </c>
      <c r="FS65" s="339">
        <v>28.4</v>
      </c>
      <c r="FT65" s="339">
        <v>0.38500000000000001</v>
      </c>
      <c r="FU65" s="339">
        <v>237.6</v>
      </c>
      <c r="FV65" s="339">
        <v>23.77</v>
      </c>
      <c r="FW65" s="339">
        <v>0.38500000000000001</v>
      </c>
      <c r="FX65" s="339">
        <v>237</v>
      </c>
      <c r="FY65" s="339">
        <v>26.08</v>
      </c>
      <c r="FZ65" s="339">
        <v>0.38500000000000001</v>
      </c>
      <c r="GA65" s="339">
        <v>218.2</v>
      </c>
      <c r="GB65" s="339">
        <v>27.95</v>
      </c>
      <c r="GC65" s="339">
        <v>0.38500000000000001</v>
      </c>
      <c r="GD65" s="339">
        <v>213.6</v>
      </c>
      <c r="GE65" s="339">
        <v>25.28</v>
      </c>
      <c r="GF65" s="339">
        <v>0.38500000000000001</v>
      </c>
      <c r="GG65" s="339">
        <v>212.7</v>
      </c>
      <c r="GH65" s="339">
        <v>24.89</v>
      </c>
      <c r="GI65" s="339">
        <v>0.38500000000000001</v>
      </c>
      <c r="GJ65" s="339">
        <v>211.5</v>
      </c>
      <c r="GK65" s="339">
        <v>23.19</v>
      </c>
      <c r="GL65" s="339">
        <v>0.38500000000000001</v>
      </c>
      <c r="GM65" s="339">
        <v>210.3</v>
      </c>
      <c r="GN65" s="339">
        <v>33.26</v>
      </c>
      <c r="GO65" s="339">
        <v>0.63500000000000001</v>
      </c>
      <c r="GP65" s="339">
        <v>209.5</v>
      </c>
      <c r="GQ65" s="339">
        <v>39.03</v>
      </c>
      <c r="GR65" s="339">
        <v>0.63500000000000001</v>
      </c>
      <c r="GS65" s="339">
        <v>208.7</v>
      </c>
      <c r="GT65" s="339">
        <v>42.23</v>
      </c>
      <c r="GU65" s="339">
        <v>0.63500000000000001</v>
      </c>
      <c r="GV65" s="339">
        <v>207.4</v>
      </c>
      <c r="GW65" s="339">
        <v>44.04</v>
      </c>
      <c r="GX65" s="339">
        <v>0.63500000000000001</v>
      </c>
      <c r="GY65" s="339">
        <v>207.6</v>
      </c>
      <c r="GZ65" s="339">
        <v>54.21</v>
      </c>
      <c r="HA65" s="339">
        <v>0.63500000000000001</v>
      </c>
      <c r="HB65" s="339">
        <v>207.1</v>
      </c>
      <c r="HC65" s="339">
        <v>52.5</v>
      </c>
      <c r="HD65" s="339">
        <v>0.63500000000000001</v>
      </c>
      <c r="HE65" s="339">
        <v>206.6</v>
      </c>
      <c r="HF65" s="339">
        <v>49.01</v>
      </c>
      <c r="HG65" s="339">
        <v>0.63500000000000001</v>
      </c>
      <c r="HH65" s="339">
        <v>205.6</v>
      </c>
      <c r="HI65" s="505">
        <v>50.3</v>
      </c>
      <c r="HJ65" s="339">
        <v>0.63500000000000001</v>
      </c>
      <c r="HK65" s="339">
        <v>205.9</v>
      </c>
      <c r="HL65" s="339">
        <v>53.73</v>
      </c>
      <c r="HM65" s="339">
        <v>0.63500000000000001</v>
      </c>
      <c r="HN65" s="339">
        <v>205.4</v>
      </c>
      <c r="HO65" s="339">
        <v>52.79</v>
      </c>
      <c r="HP65" s="339">
        <v>0.63500000000000001</v>
      </c>
      <c r="HQ65" s="339">
        <v>204.8</v>
      </c>
      <c r="HR65" s="339">
        <v>50.5</v>
      </c>
      <c r="HS65" s="339">
        <v>0.63500000000000001</v>
      </c>
      <c r="HT65" s="339">
        <v>204.3</v>
      </c>
      <c r="HU65" s="339">
        <v>49.82</v>
      </c>
      <c r="HV65" s="339">
        <v>0.63500000000000001</v>
      </c>
      <c r="HW65" s="339">
        <v>203.8</v>
      </c>
      <c r="HX65" s="506">
        <v>51.24</v>
      </c>
      <c r="HY65" s="513">
        <f>2.54/4</f>
        <v>0.63500000000000001</v>
      </c>
      <c r="HZ65" s="339">
        <v>199.7</v>
      </c>
      <c r="IA65" s="339">
        <v>53.49</v>
      </c>
      <c r="IB65" s="339">
        <v>0.63500000000000001</v>
      </c>
      <c r="IC65" s="339">
        <v>195.3</v>
      </c>
      <c r="ID65" s="339">
        <v>55.3</v>
      </c>
      <c r="IE65" s="339">
        <v>0.63500000000000001</v>
      </c>
      <c r="IF65" s="339">
        <v>193.5</v>
      </c>
      <c r="IG65" s="339">
        <v>49.01</v>
      </c>
      <c r="IH65" s="339">
        <v>0.63500000000000001</v>
      </c>
      <c r="II65" s="339">
        <v>193.5</v>
      </c>
      <c r="IJ65" s="505">
        <v>50.14</v>
      </c>
      <c r="IK65" s="339">
        <v>0.63500000000000001</v>
      </c>
      <c r="IL65" s="339">
        <v>182.7</v>
      </c>
      <c r="IM65" s="339">
        <v>46.15</v>
      </c>
      <c r="IN65" s="339">
        <v>0.63500000000000001</v>
      </c>
      <c r="IO65" s="339">
        <v>174.3</v>
      </c>
      <c r="IP65" s="339">
        <v>42.96</v>
      </c>
      <c r="IQ65" s="339">
        <v>0.63500000000000001</v>
      </c>
      <c r="IR65" s="339">
        <v>162.4</v>
      </c>
      <c r="IS65" s="339">
        <v>46.09</v>
      </c>
      <c r="IT65" s="339">
        <v>0.63500000000000001</v>
      </c>
      <c r="IU65" s="339">
        <v>161.80000000000001</v>
      </c>
      <c r="IV65" s="339">
        <v>46</v>
      </c>
      <c r="IW65" s="339">
        <v>0.63500000000000001</v>
      </c>
      <c r="IX65" s="339">
        <v>161.19999999999999</v>
      </c>
      <c r="IY65" s="339">
        <v>42.91</v>
      </c>
      <c r="IZ65" s="339">
        <v>0.63500000000000001</v>
      </c>
      <c r="JA65" s="339">
        <v>158.9</v>
      </c>
      <c r="JB65" s="339">
        <v>44.1</v>
      </c>
      <c r="JC65" s="339">
        <v>0.63500000000000001</v>
      </c>
      <c r="JD65" s="339">
        <v>153.6</v>
      </c>
      <c r="JE65" s="339">
        <v>39.049999999999997</v>
      </c>
      <c r="JF65" s="339">
        <v>0.63500000000000001</v>
      </c>
      <c r="JG65" s="339">
        <v>146.69999999999999</v>
      </c>
      <c r="JH65" s="339">
        <v>41.57</v>
      </c>
      <c r="JI65" s="339">
        <v>0.63500000000000001</v>
      </c>
      <c r="JJ65" s="339">
        <v>144.4</v>
      </c>
      <c r="JK65" s="339">
        <v>41.65</v>
      </c>
      <c r="JL65" s="339">
        <v>0.63500000000000001</v>
      </c>
      <c r="JM65" s="339">
        <v>139.69999999999999</v>
      </c>
      <c r="JN65" s="339">
        <v>43.01</v>
      </c>
      <c r="JO65" s="339">
        <v>0.63500000000000001</v>
      </c>
      <c r="JP65" s="339">
        <v>138.04563899999999</v>
      </c>
      <c r="JQ65" s="339">
        <v>42.75</v>
      </c>
      <c r="JR65" s="339">
        <v>0.63500000000000001</v>
      </c>
      <c r="JS65" s="339">
        <v>137.22200000000001</v>
      </c>
      <c r="JT65" s="339">
        <v>42.3</v>
      </c>
      <c r="JU65" s="339">
        <v>0.63500000000000001</v>
      </c>
      <c r="JV65" s="339">
        <v>137.215</v>
      </c>
      <c r="JW65" s="339">
        <v>38.4</v>
      </c>
      <c r="JX65" s="339">
        <v>0.63500000000000001</v>
      </c>
      <c r="JY65" s="339">
        <v>137.215462</v>
      </c>
      <c r="JZ65" s="339">
        <v>42.7</v>
      </c>
      <c r="KA65" s="339">
        <v>0.63500000000000001</v>
      </c>
      <c r="KB65" s="339">
        <v>137.215462</v>
      </c>
      <c r="KC65" s="339">
        <v>40.950000000000003</v>
      </c>
      <c r="KD65" s="339">
        <v>0.63500000000000001</v>
      </c>
      <c r="KE65" s="339">
        <v>137.215462</v>
      </c>
      <c r="KF65" s="339">
        <v>46.3125</v>
      </c>
      <c r="KG65" s="339">
        <v>0.63500000000000001</v>
      </c>
      <c r="KH65" s="339">
        <v>137.215462</v>
      </c>
      <c r="KI65" s="339">
        <v>41.875</v>
      </c>
      <c r="KJ65" s="339">
        <v>0.63500000000000001</v>
      </c>
      <c r="KK65" s="339">
        <v>137.215462</v>
      </c>
      <c r="KL65" s="339">
        <v>33.75</v>
      </c>
      <c r="KM65" s="339">
        <v>0.63500000000000001</v>
      </c>
      <c r="KN65" s="339">
        <v>137.215462</v>
      </c>
      <c r="KO65" s="339">
        <v>30.9375</v>
      </c>
      <c r="KP65" s="339">
        <v>0.63500000000000001</v>
      </c>
      <c r="KQ65" s="339">
        <v>137.215462</v>
      </c>
      <c r="KR65" s="339">
        <v>32.75</v>
      </c>
      <c r="KS65" s="339">
        <v>0.63500000000000001</v>
      </c>
      <c r="KT65" s="339">
        <v>137.215462</v>
      </c>
      <c r="KU65" s="339">
        <v>37.8125</v>
      </c>
      <c r="KV65" s="339">
        <v>0.63500000000000001</v>
      </c>
      <c r="KW65" s="334">
        <v>137.22</v>
      </c>
      <c r="KX65" s="334">
        <v>38.375</v>
      </c>
      <c r="KY65" s="334">
        <v>0.63500000000000001</v>
      </c>
      <c r="KZ65" s="334">
        <v>137.22</v>
      </c>
      <c r="LA65" s="334">
        <v>36.1875</v>
      </c>
      <c r="LB65" s="334">
        <v>0.63500000000000001</v>
      </c>
      <c r="LC65" s="334">
        <v>137.22</v>
      </c>
      <c r="LD65" s="334">
        <v>42.688000000000002</v>
      </c>
      <c r="LE65" s="334">
        <v>0.63500000000000001</v>
      </c>
      <c r="LF65" s="334">
        <v>137.22</v>
      </c>
      <c r="LG65" s="334">
        <v>41.938000000000002</v>
      </c>
      <c r="LH65" s="334">
        <v>0.63500000000000001</v>
      </c>
      <c r="LI65" s="334">
        <v>137.22</v>
      </c>
      <c r="LJ65" s="334">
        <v>39.75</v>
      </c>
      <c r="LK65" s="334">
        <v>0.63500000000000001</v>
      </c>
      <c r="LL65" s="334">
        <v>102.12</v>
      </c>
      <c r="LM65" s="334">
        <v>42.125</v>
      </c>
      <c r="LN65" s="334">
        <v>0.63500000000000001</v>
      </c>
      <c r="LO65" s="334">
        <v>102.124</v>
      </c>
      <c r="LP65" s="334">
        <v>43.25</v>
      </c>
      <c r="LQ65" s="334">
        <v>0.63500000000000001</v>
      </c>
      <c r="LR65" s="334">
        <v>102.124</v>
      </c>
      <c r="LS65" s="334">
        <v>38.4375</v>
      </c>
      <c r="LT65" s="334">
        <v>0.63500000000000001</v>
      </c>
      <c r="LU65" s="334">
        <v>102.124</v>
      </c>
      <c r="LV65" s="334">
        <v>37.688000000000002</v>
      </c>
      <c r="LW65" s="334">
        <v>0.63500000000000001</v>
      </c>
      <c r="LX65" s="334">
        <v>102.124</v>
      </c>
      <c r="LY65" s="334">
        <v>36.875</v>
      </c>
      <c r="LZ65" s="334">
        <v>0.63500000000000001</v>
      </c>
      <c r="MA65" s="334">
        <v>102.124</v>
      </c>
      <c r="MB65" s="334">
        <v>38.5</v>
      </c>
      <c r="MC65" s="334">
        <v>0.64249999999999996</v>
      </c>
      <c r="MD65" s="334">
        <v>102.124</v>
      </c>
      <c r="ME65" s="334">
        <v>37</v>
      </c>
      <c r="MF65" s="334">
        <v>0.625</v>
      </c>
      <c r="MG65" s="334">
        <v>102.124</v>
      </c>
      <c r="MH65" s="334">
        <v>40.25</v>
      </c>
      <c r="MI65" s="334">
        <v>0.625</v>
      </c>
      <c r="MJ65" s="334">
        <v>102.124</v>
      </c>
      <c r="MK65" s="334">
        <v>41</v>
      </c>
      <c r="ML65" s="334">
        <v>0.625</v>
      </c>
      <c r="MM65" s="334">
        <v>102.124</v>
      </c>
      <c r="MN65" s="334">
        <v>41.75</v>
      </c>
      <c r="MO65" s="334">
        <v>0.625</v>
      </c>
      <c r="MP65" s="334">
        <v>102.124</v>
      </c>
      <c r="MQ65" s="334">
        <v>37.375</v>
      </c>
      <c r="MR65" s="334">
        <v>0.61</v>
      </c>
      <c r="MS65" s="334">
        <v>102.124</v>
      </c>
      <c r="MT65" s="334">
        <v>37.25</v>
      </c>
      <c r="MU65" s="334">
        <v>0.61</v>
      </c>
      <c r="MV65" s="334">
        <v>102.124</v>
      </c>
      <c r="MW65" s="334">
        <v>35.375</v>
      </c>
      <c r="MX65" s="334">
        <v>0.61</v>
      </c>
      <c r="MY65" s="334">
        <v>102.124</v>
      </c>
      <c r="MZ65" s="334">
        <v>35.375</v>
      </c>
      <c r="NA65" s="334">
        <v>0.61</v>
      </c>
      <c r="NB65" s="334">
        <v>102.124</v>
      </c>
      <c r="NC65" s="334">
        <v>35</v>
      </c>
      <c r="ND65" s="334">
        <v>0.59499999999999997</v>
      </c>
      <c r="NE65" s="334">
        <v>102.124</v>
      </c>
      <c r="NF65" s="334">
        <v>31.625</v>
      </c>
      <c r="NG65" s="334">
        <v>0.59499999999999997</v>
      </c>
      <c r="NH65" s="334">
        <v>102.124</v>
      </c>
      <c r="NI65" s="334">
        <v>35.125</v>
      </c>
      <c r="NJ65" s="334">
        <v>0.59499999999999997</v>
      </c>
      <c r="NK65" s="334">
        <v>102.124</v>
      </c>
      <c r="NL65" s="334">
        <v>39.25</v>
      </c>
      <c r="NM65" s="334">
        <v>0.59499999999999997</v>
      </c>
      <c r="NN65" s="334">
        <v>102.124</v>
      </c>
      <c r="NO65" s="334">
        <v>44</v>
      </c>
      <c r="NP65" s="334">
        <v>0.57999999999999996</v>
      </c>
      <c r="NQ65" s="334">
        <v>102.124</v>
      </c>
      <c r="NR65" s="334">
        <v>41.375</v>
      </c>
      <c r="NS65" s="334">
        <v>0.57999999999999996</v>
      </c>
      <c r="NT65" s="334">
        <v>102.124</v>
      </c>
      <c r="NU65" s="334">
        <v>39.125</v>
      </c>
      <c r="NV65" s="334">
        <v>0.57999999999999996</v>
      </c>
      <c r="NW65" s="334">
        <v>102.124</v>
      </c>
      <c r="NX65" s="334">
        <v>37.380000000000003</v>
      </c>
      <c r="NY65" s="334">
        <v>0.57999999999999996</v>
      </c>
      <c r="NZ65" s="334">
        <v>102.124</v>
      </c>
      <c r="OA65" s="334">
        <v>37.130000000000003</v>
      </c>
      <c r="OB65" s="334">
        <v>0.56000000000000005</v>
      </c>
      <c r="OC65" s="334">
        <v>102.124</v>
      </c>
      <c r="OD65" s="334">
        <v>35.880000000000003</v>
      </c>
      <c r="OE65" s="334">
        <v>0.56000000000000005</v>
      </c>
      <c r="OF65" s="334">
        <v>102.124</v>
      </c>
      <c r="OG65" s="334">
        <v>33</v>
      </c>
      <c r="OH65" s="334">
        <v>0.56000000000000005</v>
      </c>
      <c r="OI65" s="334">
        <v>102.124</v>
      </c>
      <c r="OJ65" s="334">
        <v>38.630000000000003</v>
      </c>
      <c r="OK65" s="334">
        <v>0.56000000000000005</v>
      </c>
      <c r="OL65" s="334">
        <v>102.124</v>
      </c>
      <c r="OM65" s="334">
        <v>34.130000000000003</v>
      </c>
      <c r="ON65" s="334">
        <v>0.54</v>
      </c>
      <c r="OO65" s="334">
        <v>102.124</v>
      </c>
      <c r="OP65" s="334">
        <v>29.75</v>
      </c>
      <c r="OQ65" s="334">
        <v>0.54</v>
      </c>
      <c r="OR65" s="334">
        <v>102.124</v>
      </c>
      <c r="OS65" s="334">
        <v>30.13</v>
      </c>
      <c r="OT65" s="334">
        <v>0.54</v>
      </c>
      <c r="OU65" s="334">
        <v>102.124</v>
      </c>
      <c r="OV65" s="334">
        <v>29.75</v>
      </c>
    </row>
    <row r="66" spans="1:412">
      <c r="A66" s="294" t="s">
        <v>46</v>
      </c>
      <c r="B66" s="333" t="s">
        <v>139</v>
      </c>
      <c r="C66" s="333"/>
      <c r="D66" s="333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503"/>
      <c r="AZ66" s="503"/>
      <c r="BA66" s="503"/>
      <c r="BB66" s="503"/>
      <c r="BC66" s="503"/>
      <c r="BD66" s="503"/>
      <c r="BE66" s="503"/>
      <c r="BF66" s="503"/>
      <c r="BG66" s="503"/>
      <c r="BH66" s="503"/>
      <c r="BI66" s="503"/>
      <c r="BJ66" s="503"/>
      <c r="BK66" s="503"/>
      <c r="BL66" s="503"/>
      <c r="BM66" s="503"/>
      <c r="BN66" s="503"/>
      <c r="BO66" s="503"/>
      <c r="BP66" s="503"/>
      <c r="BQ66" s="504"/>
      <c r="BR66" s="504"/>
      <c r="BS66" s="504"/>
      <c r="BT66" s="504"/>
      <c r="BU66" s="504"/>
      <c r="BV66" s="504"/>
      <c r="BW66" s="504"/>
      <c r="BX66" s="504"/>
      <c r="BY66" s="504"/>
      <c r="BZ66" s="503"/>
      <c r="CA66" s="503"/>
      <c r="CB66" s="503"/>
      <c r="CC66" s="503"/>
      <c r="CD66" s="503"/>
      <c r="CE66" s="503"/>
      <c r="CF66" s="503"/>
      <c r="CG66" s="503"/>
      <c r="CH66" s="503"/>
      <c r="CI66" s="503"/>
      <c r="CJ66" s="503"/>
      <c r="CK66" s="503"/>
      <c r="CL66" s="503"/>
      <c r="CM66" s="503"/>
      <c r="CN66" s="503"/>
      <c r="CO66" s="503"/>
      <c r="CP66" s="503"/>
      <c r="CQ66" s="503"/>
      <c r="CR66" s="504"/>
      <c r="CS66" s="504"/>
      <c r="CT66" s="504"/>
      <c r="CU66" s="527"/>
      <c r="CV66" s="527"/>
      <c r="CW66" s="527"/>
      <c r="CX66" s="519"/>
      <c r="CY66" s="519"/>
      <c r="CZ66" s="519"/>
      <c r="DA66" s="519"/>
      <c r="DB66" s="519"/>
      <c r="DC66" s="519"/>
      <c r="DD66" s="339"/>
      <c r="DE66" s="339"/>
      <c r="DF66" s="339"/>
      <c r="DG66" s="339"/>
      <c r="DH66" s="339"/>
      <c r="DI66" s="339"/>
      <c r="DJ66" s="339">
        <v>56.95</v>
      </c>
      <c r="DK66" s="339">
        <v>50.27</v>
      </c>
      <c r="DL66" s="339">
        <v>0.432</v>
      </c>
      <c r="DM66" s="339">
        <v>56.881</v>
      </c>
      <c r="DN66" s="339">
        <v>45.82</v>
      </c>
      <c r="DO66" s="339">
        <v>0.432</v>
      </c>
      <c r="DP66" s="340">
        <v>56.854999999999997</v>
      </c>
      <c r="DQ66" s="340">
        <v>51.42</v>
      </c>
      <c r="DR66" s="340">
        <v>0.432</v>
      </c>
      <c r="DS66" s="339">
        <v>56.854999999999997</v>
      </c>
      <c r="DT66" s="339">
        <v>43.54</v>
      </c>
      <c r="DU66" s="339">
        <v>0.432</v>
      </c>
      <c r="DV66" s="339">
        <v>56.841999999999999</v>
      </c>
      <c r="DW66" s="339">
        <v>35.4</v>
      </c>
      <c r="DX66" s="339">
        <v>0.432</v>
      </c>
      <c r="DY66" s="339">
        <v>56.779000000000003</v>
      </c>
      <c r="DZ66" s="339">
        <v>38.71</v>
      </c>
      <c r="EA66" s="339">
        <v>0.432</v>
      </c>
      <c r="EB66" s="340">
        <v>52.414999999999999</v>
      </c>
      <c r="EC66" s="340">
        <v>36.81</v>
      </c>
      <c r="ED66" s="340">
        <v>0.432</v>
      </c>
      <c r="EE66" s="339">
        <v>50.988999999999997</v>
      </c>
      <c r="EF66" s="339">
        <v>38.75</v>
      </c>
      <c r="EG66" s="339">
        <v>0.432</v>
      </c>
      <c r="EH66" s="339">
        <v>50.972000000000001</v>
      </c>
      <c r="EI66" s="339">
        <v>37.18</v>
      </c>
      <c r="EJ66" s="339">
        <v>0.432</v>
      </c>
      <c r="EK66" s="339">
        <v>50.887999999999998</v>
      </c>
      <c r="EL66" s="339">
        <v>38.25</v>
      </c>
      <c r="EM66" s="339">
        <v>0.432</v>
      </c>
      <c r="EN66" s="340">
        <v>50.831000000000003</v>
      </c>
      <c r="EO66" s="340">
        <v>39.590000000000003</v>
      </c>
      <c r="EP66" s="340">
        <v>0.432</v>
      </c>
      <c r="EQ66" s="339">
        <v>50.779000000000003</v>
      </c>
      <c r="ER66" s="339">
        <v>35.81</v>
      </c>
      <c r="ES66" s="339">
        <v>0.432</v>
      </c>
      <c r="ET66" s="339">
        <v>50.792999999999999</v>
      </c>
      <c r="EU66" s="339">
        <v>35.86</v>
      </c>
      <c r="EV66" s="339">
        <v>0.432</v>
      </c>
      <c r="EW66" s="339">
        <v>50.686</v>
      </c>
      <c r="EX66" s="339">
        <v>35.86</v>
      </c>
      <c r="EY66" s="339">
        <v>0.432</v>
      </c>
      <c r="EZ66" s="340">
        <v>50.609000000000002</v>
      </c>
      <c r="FA66" s="340">
        <v>34.76</v>
      </c>
      <c r="FB66" s="340">
        <v>0.432</v>
      </c>
      <c r="FC66" s="339">
        <v>50.643000000000001</v>
      </c>
      <c r="FD66" s="339">
        <v>35.369999999999997</v>
      </c>
      <c r="FE66" s="339">
        <v>0.432</v>
      </c>
      <c r="FF66" s="339">
        <v>50.628</v>
      </c>
      <c r="FG66" s="339">
        <v>32.93</v>
      </c>
      <c r="FH66" s="339">
        <v>0.432</v>
      </c>
      <c r="FI66" s="339">
        <v>50.518000000000001</v>
      </c>
      <c r="FJ66" s="339">
        <v>32.35</v>
      </c>
      <c r="FK66" s="339">
        <v>0.432</v>
      </c>
      <c r="FL66" s="339">
        <v>35.722000000000001</v>
      </c>
      <c r="FM66" s="339">
        <v>30.52</v>
      </c>
      <c r="FN66" s="339">
        <v>0.432</v>
      </c>
      <c r="FO66" s="339">
        <v>32.176000000000002</v>
      </c>
      <c r="FP66" s="339">
        <v>29.96</v>
      </c>
      <c r="FQ66" s="339">
        <v>0.432</v>
      </c>
      <c r="FR66" s="339">
        <v>30.093</v>
      </c>
      <c r="FS66" s="339">
        <v>28.16</v>
      </c>
      <c r="FT66" s="339">
        <v>0.432</v>
      </c>
      <c r="FU66" s="339">
        <v>30.013000000000002</v>
      </c>
      <c r="FV66" s="339">
        <v>25.03</v>
      </c>
      <c r="FW66" s="339">
        <v>0.432</v>
      </c>
      <c r="FX66" s="339">
        <v>29.998000000000001</v>
      </c>
      <c r="FY66" s="339">
        <v>27.5</v>
      </c>
      <c r="FZ66" s="339">
        <v>0.432</v>
      </c>
      <c r="GA66" s="339">
        <v>29.885000000000002</v>
      </c>
      <c r="GB66" s="339">
        <v>28.08</v>
      </c>
      <c r="GC66" s="339">
        <v>0.432</v>
      </c>
      <c r="GD66" s="339">
        <v>26.998999999999999</v>
      </c>
      <c r="GE66" s="339">
        <v>26.39</v>
      </c>
      <c r="GF66" s="339">
        <v>0.432</v>
      </c>
      <c r="GG66" s="339">
        <v>25.187999999999999</v>
      </c>
      <c r="GH66" s="339">
        <v>22.45</v>
      </c>
      <c r="GI66" s="339">
        <v>0.432</v>
      </c>
      <c r="GJ66" s="339">
        <v>25.16</v>
      </c>
      <c r="GK66" s="339">
        <v>22.32</v>
      </c>
      <c r="GL66" s="339">
        <v>0.432</v>
      </c>
      <c r="GM66" s="339">
        <v>25.135000000000002</v>
      </c>
      <c r="GN66" s="339">
        <v>30.03</v>
      </c>
      <c r="GO66" s="339">
        <v>0.432</v>
      </c>
      <c r="GP66" s="339">
        <v>25.113</v>
      </c>
      <c r="GQ66" s="339">
        <v>34.33</v>
      </c>
      <c r="GR66" s="339">
        <v>0.432</v>
      </c>
      <c r="GS66" s="339">
        <v>25.05</v>
      </c>
      <c r="GT66" s="339">
        <v>29.41</v>
      </c>
      <c r="GU66" s="339">
        <v>0.432</v>
      </c>
      <c r="GV66" s="339">
        <v>24.986000000000001</v>
      </c>
      <c r="GW66" s="339">
        <v>30.13</v>
      </c>
      <c r="GX66" s="339">
        <v>0.432</v>
      </c>
      <c r="GY66" s="339">
        <v>25.012</v>
      </c>
      <c r="GZ66" s="339">
        <v>36.950000000000003</v>
      </c>
      <c r="HA66" s="339">
        <v>0.4325</v>
      </c>
      <c r="HB66" s="339">
        <v>24.998000000000001</v>
      </c>
      <c r="HC66" s="339">
        <v>31.5</v>
      </c>
      <c r="HD66" s="339">
        <v>0.4325</v>
      </c>
      <c r="HE66" s="339">
        <v>24.91</v>
      </c>
      <c r="HF66" s="339">
        <v>33.1</v>
      </c>
      <c r="HG66" s="339">
        <v>0.4325</v>
      </c>
      <c r="HH66" s="339">
        <v>24.440999999999999</v>
      </c>
      <c r="HI66" s="505">
        <v>34.700000000000003</v>
      </c>
      <c r="HJ66" s="339">
        <v>0.4325</v>
      </c>
      <c r="HK66" s="340">
        <v>24.454999999999998</v>
      </c>
      <c r="HL66" s="340">
        <v>42.19</v>
      </c>
      <c r="HM66" s="340">
        <v>0.4325</v>
      </c>
      <c r="HN66" s="339">
        <v>24.364999999999998</v>
      </c>
      <c r="HO66" s="339">
        <v>37.5</v>
      </c>
      <c r="HP66" s="339">
        <v>0.4325</v>
      </c>
      <c r="HQ66" s="339">
        <v>24.324999999999999</v>
      </c>
      <c r="HR66" s="339">
        <v>33.770000000000003</v>
      </c>
      <c r="HS66" s="339">
        <v>0.4325</v>
      </c>
      <c r="HT66" s="339">
        <v>24.311699999999998</v>
      </c>
      <c r="HU66" s="339">
        <v>31.41</v>
      </c>
      <c r="HV66" s="339">
        <v>0.4325</v>
      </c>
      <c r="HW66" s="339">
        <v>24.28</v>
      </c>
      <c r="HX66" s="506">
        <v>27.59</v>
      </c>
      <c r="HY66" s="339">
        <v>0.4325</v>
      </c>
      <c r="HZ66" s="339">
        <v>24.215</v>
      </c>
      <c r="IA66" s="339">
        <v>31.39</v>
      </c>
      <c r="IB66" s="339">
        <v>0.4325</v>
      </c>
      <c r="IC66" s="339">
        <v>24.17</v>
      </c>
      <c r="ID66" s="339">
        <v>32.29</v>
      </c>
      <c r="IE66" s="339">
        <v>0.4325</v>
      </c>
      <c r="IF66" s="339">
        <v>23.99</v>
      </c>
      <c r="IG66" s="339">
        <v>30.39</v>
      </c>
      <c r="IH66" s="339">
        <v>0.4325</v>
      </c>
      <c r="II66" s="339">
        <v>23.99</v>
      </c>
      <c r="IJ66" s="505">
        <v>30.78</v>
      </c>
      <c r="IK66" s="339">
        <v>0.4325</v>
      </c>
      <c r="IL66" s="339">
        <v>23.93</v>
      </c>
      <c r="IM66" s="339">
        <v>29.51</v>
      </c>
      <c r="IN66" s="339">
        <v>0.4325</v>
      </c>
      <c r="IO66" s="339">
        <v>23.89</v>
      </c>
      <c r="IP66" s="339">
        <v>29.21</v>
      </c>
      <c r="IQ66" s="339">
        <v>0.4325</v>
      </c>
      <c r="IR66" s="339">
        <v>23.843</v>
      </c>
      <c r="IS66" s="339">
        <v>28.9</v>
      </c>
      <c r="IT66" s="339">
        <v>0.4325</v>
      </c>
      <c r="IU66" s="339">
        <v>23.824999999999999</v>
      </c>
      <c r="IV66" s="339">
        <v>27.06</v>
      </c>
      <c r="IW66" s="339">
        <v>0.4325</v>
      </c>
      <c r="IX66" s="339">
        <v>23.81</v>
      </c>
      <c r="IY66" s="339">
        <v>20.99</v>
      </c>
      <c r="IZ66" s="339">
        <v>0.4325</v>
      </c>
      <c r="JA66" s="339">
        <v>23.8</v>
      </c>
      <c r="JB66" s="339">
        <v>24.33</v>
      </c>
      <c r="JC66" s="339">
        <v>0.4325</v>
      </c>
      <c r="JD66" s="339">
        <v>23.79</v>
      </c>
      <c r="JE66" s="339">
        <v>20.82</v>
      </c>
      <c r="JF66" s="339">
        <v>0.4325</v>
      </c>
      <c r="JG66" s="339">
        <v>23.78</v>
      </c>
      <c r="JH66" s="339">
        <v>20.92</v>
      </c>
      <c r="JI66" s="339">
        <v>0.4325</v>
      </c>
      <c r="JJ66" s="339">
        <v>23.76</v>
      </c>
      <c r="JK66" s="339">
        <v>21.27</v>
      </c>
      <c r="JL66" s="339">
        <v>0.4325</v>
      </c>
      <c r="JM66" s="339">
        <v>23.61</v>
      </c>
      <c r="JN66" s="339">
        <v>32.68</v>
      </c>
      <c r="JO66" s="339">
        <v>0.4325</v>
      </c>
      <c r="JP66" s="339">
        <v>23.52</v>
      </c>
      <c r="JQ66" s="339">
        <v>34.86</v>
      </c>
      <c r="JR66" s="339">
        <v>0.4325</v>
      </c>
      <c r="JS66" s="339">
        <v>23.5</v>
      </c>
      <c r="JT66" s="339">
        <v>30.78</v>
      </c>
      <c r="JU66" s="339">
        <v>0.4325</v>
      </c>
      <c r="JV66" s="339">
        <v>23.49</v>
      </c>
      <c r="JW66" s="339">
        <v>28.61</v>
      </c>
      <c r="JX66" s="339">
        <v>0.4325</v>
      </c>
      <c r="JY66" s="339">
        <v>23.47</v>
      </c>
      <c r="JZ66" s="339">
        <v>29.15</v>
      </c>
      <c r="KA66" s="339">
        <v>0.4325</v>
      </c>
      <c r="KB66" s="339">
        <v>23.46</v>
      </c>
      <c r="KC66" s="339">
        <v>28.5</v>
      </c>
      <c r="KD66" s="339">
        <v>0.4325</v>
      </c>
      <c r="KE66" s="339">
        <v>23.45</v>
      </c>
      <c r="KF66" s="339">
        <v>29.85</v>
      </c>
      <c r="KG66" s="339">
        <v>0.4325</v>
      </c>
      <c r="KH66" s="339">
        <v>14.076000000000001</v>
      </c>
      <c r="KI66" s="339">
        <v>51.4375</v>
      </c>
      <c r="KJ66" s="339">
        <v>0.4325</v>
      </c>
      <c r="KK66" s="339">
        <v>14.069000000000001</v>
      </c>
      <c r="KL66" s="339">
        <v>43.75</v>
      </c>
      <c r="KM66" s="339">
        <v>0.4325</v>
      </c>
      <c r="KN66" s="339">
        <v>14.063000000000001</v>
      </c>
      <c r="KO66" s="339">
        <v>39.25</v>
      </c>
      <c r="KP66" s="339">
        <v>0.4325</v>
      </c>
      <c r="KQ66" s="339">
        <v>14.055999999999999</v>
      </c>
      <c r="KR66" s="339">
        <v>51.375</v>
      </c>
      <c r="KS66" s="339">
        <v>0.72</v>
      </c>
      <c r="KT66" s="339">
        <v>14.048999999999999</v>
      </c>
      <c r="KU66" s="339">
        <v>48.375</v>
      </c>
      <c r="KV66" s="339">
        <v>0.72</v>
      </c>
      <c r="KW66" s="334">
        <v>14.02</v>
      </c>
      <c r="KX66" s="334">
        <v>42.4375</v>
      </c>
      <c r="KY66" s="334">
        <v>0.72</v>
      </c>
      <c r="KZ66" s="334">
        <v>14</v>
      </c>
      <c r="LA66" s="334">
        <v>41.9375</v>
      </c>
      <c r="LB66" s="334">
        <v>0.72</v>
      </c>
      <c r="LC66" s="334">
        <v>14</v>
      </c>
      <c r="LD66" s="334">
        <v>51.5</v>
      </c>
      <c r="LE66" s="334">
        <v>0.72</v>
      </c>
      <c r="LF66" s="334">
        <v>13.99</v>
      </c>
      <c r="LG66" s="334">
        <v>52.25</v>
      </c>
      <c r="LH66" s="334">
        <v>0.72</v>
      </c>
      <c r="LI66" s="334">
        <v>13.99</v>
      </c>
      <c r="LJ66" s="334">
        <v>50.625</v>
      </c>
      <c r="LK66" s="334">
        <v>0.72</v>
      </c>
      <c r="LL66" s="334">
        <v>13.89</v>
      </c>
      <c r="LM66" s="334">
        <v>48.375</v>
      </c>
      <c r="LN66" s="334">
        <v>0.72</v>
      </c>
      <c r="LO66" s="334">
        <v>13.887</v>
      </c>
      <c r="LP66" s="334">
        <v>45.9375</v>
      </c>
      <c r="LQ66" s="334">
        <v>0.72</v>
      </c>
      <c r="LR66" s="334">
        <v>14.101000000000001</v>
      </c>
      <c r="LS66" s="334">
        <v>36.4375</v>
      </c>
      <c r="LT66" s="334">
        <v>0.72</v>
      </c>
      <c r="LU66" s="334">
        <v>14.101000000000001</v>
      </c>
      <c r="LV66" s="334">
        <v>30.875</v>
      </c>
      <c r="LW66" s="334">
        <v>0.72</v>
      </c>
      <c r="LX66" s="334">
        <v>14.101000000000001</v>
      </c>
      <c r="LY66" s="334">
        <v>26.125</v>
      </c>
      <c r="LZ66" s="334">
        <v>0.72</v>
      </c>
      <c r="MA66" s="334">
        <v>14.087</v>
      </c>
      <c r="MB66" s="334">
        <v>31.375</v>
      </c>
      <c r="MC66" s="334">
        <v>0.72</v>
      </c>
      <c r="MD66" s="334">
        <v>14.087</v>
      </c>
      <c r="ME66" s="334">
        <v>34.375</v>
      </c>
      <c r="MF66" s="334">
        <v>0.72</v>
      </c>
      <c r="MG66" s="334">
        <v>14.087</v>
      </c>
      <c r="MH66" s="334">
        <v>37.375</v>
      </c>
      <c r="MI66" s="334">
        <v>0.72</v>
      </c>
      <c r="MJ66" s="334">
        <v>14.087</v>
      </c>
      <c r="MK66" s="334">
        <v>36.875</v>
      </c>
      <c r="ML66" s="334">
        <v>0.72</v>
      </c>
      <c r="MM66" s="334">
        <v>14.087</v>
      </c>
      <c r="MN66" s="334">
        <v>37.375</v>
      </c>
      <c r="MO66" s="334">
        <v>0.70499999999999996</v>
      </c>
      <c r="MP66" s="334">
        <v>14.087</v>
      </c>
      <c r="MQ66" s="334">
        <v>35.125</v>
      </c>
      <c r="MR66" s="334">
        <v>0.70499999999999996</v>
      </c>
      <c r="MS66" s="334">
        <v>14.087</v>
      </c>
      <c r="MT66" s="334">
        <v>33</v>
      </c>
      <c r="MU66" s="334">
        <v>0.70499999999999996</v>
      </c>
      <c r="MV66" s="334">
        <v>14.087</v>
      </c>
      <c r="MW66" s="334">
        <v>32</v>
      </c>
      <c r="MX66" s="334">
        <v>0.70499999999999996</v>
      </c>
      <c r="MY66" s="334">
        <v>14.084</v>
      </c>
      <c r="MZ66" s="334">
        <v>29.5</v>
      </c>
      <c r="NA66" s="334">
        <v>0.69</v>
      </c>
      <c r="NB66" s="334">
        <v>14.084</v>
      </c>
      <c r="NC66" s="334">
        <v>30.125</v>
      </c>
      <c r="ND66" s="334">
        <v>0.69</v>
      </c>
      <c r="NE66" s="334">
        <v>14.084</v>
      </c>
      <c r="NF66" s="334">
        <v>32.875</v>
      </c>
      <c r="NG66" s="334">
        <v>0.69</v>
      </c>
      <c r="NH66" s="334">
        <v>14.073</v>
      </c>
      <c r="NI66" s="334">
        <v>36</v>
      </c>
      <c r="NJ66" s="334">
        <v>0.69</v>
      </c>
      <c r="NK66" s="334">
        <v>14.073</v>
      </c>
      <c r="NL66" s="334">
        <v>40.25</v>
      </c>
      <c r="NM66" s="334">
        <v>0.66500000000000004</v>
      </c>
      <c r="NN66" s="334">
        <v>14.073</v>
      </c>
      <c r="NO66" s="334">
        <v>45.25</v>
      </c>
      <c r="NP66" s="334">
        <v>0.66500000000000004</v>
      </c>
      <c r="NQ66" s="334">
        <v>14.055</v>
      </c>
      <c r="NR66" s="334">
        <v>42.875</v>
      </c>
      <c r="NS66" s="334">
        <v>0.66500000000000004</v>
      </c>
      <c r="NT66" s="334">
        <v>14.042999999999999</v>
      </c>
      <c r="NU66" s="334">
        <v>43.625</v>
      </c>
      <c r="NV66" s="334">
        <v>0.66500000000000004</v>
      </c>
      <c r="NW66" s="334">
        <v>13.935</v>
      </c>
      <c r="NX66" s="334">
        <v>41.5</v>
      </c>
      <c r="NY66" s="334">
        <v>0.64</v>
      </c>
      <c r="NZ66" s="334">
        <v>13.935</v>
      </c>
      <c r="OA66" s="334">
        <v>38.75</v>
      </c>
      <c r="OB66" s="334">
        <v>0.64</v>
      </c>
      <c r="OC66" s="334">
        <v>13.933999999999999</v>
      </c>
      <c r="OD66" s="334">
        <v>37.130000000000003</v>
      </c>
      <c r="OE66" s="334">
        <v>0.64</v>
      </c>
      <c r="OF66" s="334">
        <v>13.933</v>
      </c>
      <c r="OG66" s="334">
        <v>36.880000000000003</v>
      </c>
      <c r="OH66" s="334">
        <v>0.61</v>
      </c>
      <c r="OI66" s="334">
        <v>13.9</v>
      </c>
      <c r="OJ66" s="334">
        <v>39</v>
      </c>
      <c r="OK66" s="334">
        <v>0.61</v>
      </c>
      <c r="OL66" s="334">
        <v>13.89</v>
      </c>
      <c r="OM66" s="334">
        <v>34.5</v>
      </c>
      <c r="ON66" s="334">
        <v>0.61</v>
      </c>
      <c r="OO66" s="334">
        <v>13.888</v>
      </c>
      <c r="OP66" s="334">
        <v>34.25</v>
      </c>
      <c r="OQ66" s="334">
        <v>0.61</v>
      </c>
      <c r="OR66" s="334">
        <v>13.888</v>
      </c>
      <c r="OS66" s="334">
        <v>34.25</v>
      </c>
      <c r="OT66" s="334">
        <v>0.57999999999999996</v>
      </c>
      <c r="OU66" s="334">
        <v>13.888</v>
      </c>
      <c r="OV66" s="334">
        <v>31.13</v>
      </c>
    </row>
    <row r="67" spans="1:412">
      <c r="A67" s="294" t="s">
        <v>49</v>
      </c>
      <c r="B67" s="335" t="s">
        <v>140</v>
      </c>
      <c r="C67" s="335">
        <v>16.100000000000001</v>
      </c>
      <c r="D67" s="335">
        <v>54.19</v>
      </c>
      <c r="E67" s="335">
        <v>0.42499999999999999</v>
      </c>
      <c r="F67" s="335">
        <v>16.100000000000001</v>
      </c>
      <c r="G67" s="335">
        <v>60.58</v>
      </c>
      <c r="H67" s="335">
        <v>0.42499999999999999</v>
      </c>
      <c r="I67" s="335">
        <v>16.100000000000001</v>
      </c>
      <c r="J67" s="335">
        <v>51.79</v>
      </c>
      <c r="K67" s="335">
        <v>0.42499999999999999</v>
      </c>
      <c r="L67" s="335">
        <v>16.18</v>
      </c>
      <c r="M67" s="335">
        <v>52.35</v>
      </c>
      <c r="N67" s="335">
        <v>0.42499999999999999</v>
      </c>
      <c r="O67" s="335">
        <v>16.100000000000001</v>
      </c>
      <c r="P67" s="335">
        <v>52.57</v>
      </c>
      <c r="Q67" s="335">
        <v>0.40500000000000003</v>
      </c>
      <c r="R67" s="340">
        <v>16</v>
      </c>
      <c r="S67" s="340">
        <v>42.71</v>
      </c>
      <c r="T67" s="340">
        <v>0.40500000000000003</v>
      </c>
      <c r="U67" s="340">
        <v>16</v>
      </c>
      <c r="V67" s="340">
        <v>50.71</v>
      </c>
      <c r="W67" s="340">
        <v>0.40500000000000003</v>
      </c>
      <c r="X67" s="340">
        <v>15.991</v>
      </c>
      <c r="Y67" s="340">
        <v>57.04</v>
      </c>
      <c r="Z67" s="340">
        <v>0.40500000000000003</v>
      </c>
      <c r="AA67" s="340">
        <v>16</v>
      </c>
      <c r="AB67" s="340">
        <v>51.36</v>
      </c>
      <c r="AC67" s="340">
        <v>0.39</v>
      </c>
      <c r="AD67" s="340">
        <v>16</v>
      </c>
      <c r="AE67" s="340">
        <v>46.45</v>
      </c>
      <c r="AF67" s="340">
        <v>0.39</v>
      </c>
      <c r="AG67" s="340">
        <v>15.972</v>
      </c>
      <c r="AH67" s="340">
        <v>58.72</v>
      </c>
      <c r="AI67" s="340">
        <v>0.39</v>
      </c>
      <c r="AJ67" s="340">
        <v>15.372999999999999</v>
      </c>
      <c r="AK67" s="340">
        <v>49.88</v>
      </c>
      <c r="AL67" s="340">
        <v>0.39</v>
      </c>
      <c r="AM67" s="340">
        <v>15.541</v>
      </c>
      <c r="AN67" s="340">
        <v>45.99</v>
      </c>
      <c r="AO67" s="340">
        <v>0.38</v>
      </c>
      <c r="AP67" s="340">
        <v>15.01</v>
      </c>
      <c r="AQ67" s="340">
        <v>42.78</v>
      </c>
      <c r="AR67" s="340">
        <v>0.38</v>
      </c>
      <c r="AS67" s="340">
        <v>14.994</v>
      </c>
      <c r="AT67" s="340">
        <v>52.97</v>
      </c>
      <c r="AU67" s="340">
        <v>0.38</v>
      </c>
      <c r="AV67" s="340">
        <v>14.951000000000001</v>
      </c>
      <c r="AW67" s="340">
        <v>45.69</v>
      </c>
      <c r="AX67" s="340">
        <v>0.38</v>
      </c>
      <c r="AY67" s="503">
        <v>14.954000000000001</v>
      </c>
      <c r="AZ67" s="503">
        <v>44.27</v>
      </c>
      <c r="BA67" s="503">
        <v>0.375</v>
      </c>
      <c r="BB67" s="504">
        <v>14.948</v>
      </c>
      <c r="BC67" s="504">
        <v>38.64</v>
      </c>
      <c r="BD67" s="504">
        <v>0.375</v>
      </c>
      <c r="BE67" s="504">
        <v>14.933999999999999</v>
      </c>
      <c r="BF67" s="504">
        <v>44.82</v>
      </c>
      <c r="BG67" s="504">
        <v>0.375</v>
      </c>
      <c r="BH67" s="504">
        <v>14.894</v>
      </c>
      <c r="BI67" s="504">
        <v>52.32</v>
      </c>
      <c r="BJ67" s="518">
        <v>0.375</v>
      </c>
      <c r="BK67" s="504">
        <v>14.898</v>
      </c>
      <c r="BL67" s="504">
        <v>61.82</v>
      </c>
      <c r="BM67" s="504">
        <v>0.37</v>
      </c>
      <c r="BN67" s="504">
        <v>14.891999999999999</v>
      </c>
      <c r="BO67" s="504">
        <v>63.44</v>
      </c>
      <c r="BP67" s="504">
        <v>0.37</v>
      </c>
      <c r="BQ67" s="504">
        <v>14.875</v>
      </c>
      <c r="BR67" s="504">
        <v>59.89</v>
      </c>
      <c r="BS67" s="504">
        <v>0.37</v>
      </c>
      <c r="BT67" s="504">
        <v>14.824</v>
      </c>
      <c r="BU67" s="504">
        <v>54.17</v>
      </c>
      <c r="BV67" s="507">
        <v>0.37</v>
      </c>
      <c r="BW67" s="504">
        <v>14.829000000000001</v>
      </c>
      <c r="BX67" s="504">
        <v>50.64</v>
      </c>
      <c r="BY67" s="504">
        <v>0.36499999999999999</v>
      </c>
      <c r="BZ67" s="504">
        <v>14.821999999999999</v>
      </c>
      <c r="CA67" s="504">
        <v>50.9</v>
      </c>
      <c r="CB67" s="504">
        <v>0.36499999999999999</v>
      </c>
      <c r="CC67" s="503">
        <v>14.803000000000001</v>
      </c>
      <c r="CD67" s="503">
        <v>51.04</v>
      </c>
      <c r="CE67" s="503">
        <v>0.36499999999999999</v>
      </c>
      <c r="CF67" s="503">
        <v>14.212</v>
      </c>
      <c r="CG67" s="503">
        <v>46.41</v>
      </c>
      <c r="CH67" s="508">
        <v>0.36499999999999999</v>
      </c>
      <c r="CI67" s="503">
        <v>14.067</v>
      </c>
      <c r="CJ67" s="503">
        <v>45.62</v>
      </c>
      <c r="CK67" s="503">
        <v>0.36</v>
      </c>
      <c r="CL67" s="503">
        <v>14.06</v>
      </c>
      <c r="CM67" s="503">
        <v>49.46</v>
      </c>
      <c r="CN67" s="503">
        <v>0.36</v>
      </c>
      <c r="CO67" s="503">
        <v>14.042</v>
      </c>
      <c r="CP67" s="503">
        <v>48.31</v>
      </c>
      <c r="CQ67" s="503">
        <v>0.36</v>
      </c>
      <c r="CR67" s="504">
        <v>13.99</v>
      </c>
      <c r="CS67" s="504">
        <v>45.03</v>
      </c>
      <c r="CT67" s="514">
        <v>0.36</v>
      </c>
      <c r="CU67" s="503">
        <v>13.993</v>
      </c>
      <c r="CV67" s="503">
        <v>45.34</v>
      </c>
      <c r="CW67" s="503">
        <v>0.35499999999999998</v>
      </c>
      <c r="CX67" s="339">
        <v>13.984999999999999</v>
      </c>
      <c r="CY67" s="339">
        <v>39.06</v>
      </c>
      <c r="CZ67" s="339">
        <v>0.35499999999999998</v>
      </c>
      <c r="DA67" s="339">
        <v>13.968</v>
      </c>
      <c r="DB67" s="339">
        <v>42.67</v>
      </c>
      <c r="DC67" s="339">
        <v>0.35499999999999998</v>
      </c>
      <c r="DD67" s="339">
        <v>13.917</v>
      </c>
      <c r="DE67" s="339">
        <v>42.49</v>
      </c>
      <c r="DF67" s="511">
        <v>0.35499999999999998</v>
      </c>
      <c r="DG67" s="339">
        <v>13.922000000000001</v>
      </c>
      <c r="DH67" s="339">
        <v>35.880000000000003</v>
      </c>
      <c r="DI67" s="339">
        <v>0.35</v>
      </c>
      <c r="DJ67" s="339">
        <v>13.912000000000001</v>
      </c>
      <c r="DK67" s="339">
        <v>36.880000000000003</v>
      </c>
      <c r="DL67" s="339">
        <v>0.35</v>
      </c>
      <c r="DM67" s="339">
        <v>13.9</v>
      </c>
      <c r="DN67" s="339">
        <v>33.020000000000003</v>
      </c>
      <c r="DO67" s="339">
        <v>0.35</v>
      </c>
      <c r="DP67" s="340">
        <v>13.972</v>
      </c>
      <c r="DQ67" s="340">
        <v>34.770000000000003</v>
      </c>
      <c r="DR67" s="515">
        <v>0.35</v>
      </c>
      <c r="DS67" s="339">
        <v>13.8</v>
      </c>
      <c r="DT67" s="339">
        <v>36.67</v>
      </c>
      <c r="DU67" s="339">
        <v>0.34499999999999997</v>
      </c>
      <c r="DV67" s="339">
        <v>13.8</v>
      </c>
      <c r="DW67" s="339">
        <v>31.09</v>
      </c>
      <c r="DX67" s="339">
        <v>0.34499999999999997</v>
      </c>
      <c r="DY67" s="339">
        <v>13.8</v>
      </c>
      <c r="DZ67" s="339">
        <v>33.83</v>
      </c>
      <c r="EA67" s="339">
        <v>0.34499999999999997</v>
      </c>
      <c r="EB67" s="340">
        <v>13.772855</v>
      </c>
      <c r="EC67" s="340">
        <v>32.840000000000003</v>
      </c>
      <c r="ED67" s="340">
        <v>0.34499999999999997</v>
      </c>
      <c r="EE67" s="339">
        <v>13.776999999999999</v>
      </c>
      <c r="EF67" s="339">
        <v>30.49</v>
      </c>
      <c r="EG67" s="339">
        <v>0.34499999999999997</v>
      </c>
      <c r="EH67" s="339">
        <v>13.768000000000001</v>
      </c>
      <c r="EI67" s="339">
        <v>29.27</v>
      </c>
      <c r="EJ67" s="339">
        <v>0.34499999999999997</v>
      </c>
      <c r="EK67" s="339">
        <v>13.747999999999999</v>
      </c>
      <c r="EL67" s="339">
        <v>28.88</v>
      </c>
      <c r="EM67" s="339">
        <v>0.34499999999999997</v>
      </c>
      <c r="EN67" s="340">
        <v>12.669</v>
      </c>
      <c r="EO67" s="340">
        <v>28.13</v>
      </c>
      <c r="EP67" s="340">
        <v>0.34499999999999997</v>
      </c>
      <c r="EQ67" s="339">
        <v>13.707000000000001</v>
      </c>
      <c r="ER67" s="339">
        <v>25.92</v>
      </c>
      <c r="ES67" s="339">
        <v>0.34499999999999997</v>
      </c>
      <c r="ET67" s="339">
        <v>12.331</v>
      </c>
      <c r="EU67" s="339">
        <v>27.22</v>
      </c>
      <c r="EV67" s="339">
        <v>0.34499999999999997</v>
      </c>
      <c r="EW67" s="339">
        <v>10.917</v>
      </c>
      <c r="EX67" s="339">
        <v>26.5</v>
      </c>
      <c r="EY67" s="339">
        <v>0.34499999999999997</v>
      </c>
      <c r="EZ67" s="340">
        <v>10.88</v>
      </c>
      <c r="FA67" s="340">
        <v>26.83</v>
      </c>
      <c r="FB67" s="340">
        <v>0.34499999999999997</v>
      </c>
      <c r="FC67" s="339">
        <v>10.887</v>
      </c>
      <c r="FD67" s="339">
        <v>28.38</v>
      </c>
      <c r="FE67" s="339">
        <v>0.34499999999999997</v>
      </c>
      <c r="FF67" s="339">
        <v>10.877000000000001</v>
      </c>
      <c r="FG67" s="339">
        <v>25.68</v>
      </c>
      <c r="FH67" s="339">
        <v>0.34499999999999997</v>
      </c>
      <c r="FI67" s="339">
        <v>10.86</v>
      </c>
      <c r="FJ67" s="339">
        <v>26.3</v>
      </c>
      <c r="FK67" s="339">
        <v>0.34499999999999997</v>
      </c>
      <c r="FL67" s="339">
        <v>10.840999999999999</v>
      </c>
      <c r="FM67" s="339">
        <v>23.56</v>
      </c>
      <c r="FN67" s="339">
        <v>0.34499999999999997</v>
      </c>
      <c r="FO67" s="339">
        <v>10.83</v>
      </c>
      <c r="FP67" s="339">
        <v>22.74</v>
      </c>
      <c r="FQ67" s="339">
        <v>0.34499999999999997</v>
      </c>
      <c r="FR67" s="339">
        <v>10.82</v>
      </c>
      <c r="FS67" s="339">
        <v>21.95</v>
      </c>
      <c r="FT67" s="339">
        <v>0.34499999999999997</v>
      </c>
      <c r="FU67" s="339">
        <v>10.801</v>
      </c>
      <c r="FV67" s="339">
        <v>20.91</v>
      </c>
      <c r="FW67" s="339">
        <v>0.34499999999999997</v>
      </c>
      <c r="FX67" s="339">
        <v>10.787000000000001</v>
      </c>
      <c r="FY67" s="339">
        <v>23.25</v>
      </c>
      <c r="FZ67" s="339">
        <v>0.34499999999999997</v>
      </c>
      <c r="GA67" s="339">
        <v>10.766999999999999</v>
      </c>
      <c r="GB67" s="339">
        <v>22.98</v>
      </c>
      <c r="GC67" s="339">
        <v>0.34499999999999997</v>
      </c>
      <c r="GD67" s="339">
        <v>9.0139999999999993</v>
      </c>
      <c r="GE67" s="339">
        <v>22.45</v>
      </c>
      <c r="GF67" s="339">
        <v>0.34499999999999997</v>
      </c>
      <c r="GG67" s="339">
        <v>8.0180000000000007</v>
      </c>
      <c r="GH67" s="339">
        <v>20.62</v>
      </c>
      <c r="GI67" s="339">
        <v>0.34499999999999997</v>
      </c>
      <c r="GJ67" s="339">
        <v>6.12</v>
      </c>
      <c r="GK67" s="339">
        <v>20.079999999999998</v>
      </c>
      <c r="GL67" s="339">
        <v>0.34499999999999997</v>
      </c>
      <c r="GM67" s="339">
        <v>5.7450000000000001</v>
      </c>
      <c r="GN67" s="339">
        <v>20.65</v>
      </c>
      <c r="GO67" s="339">
        <v>0.34499999999999997</v>
      </c>
      <c r="GP67" s="339">
        <v>5.7359999999999998</v>
      </c>
      <c r="GQ67" s="339">
        <v>25.91</v>
      </c>
      <c r="GR67" s="339">
        <v>0.34499999999999997</v>
      </c>
      <c r="GS67" s="339">
        <v>5.7190000000000003</v>
      </c>
      <c r="GT67" s="339">
        <v>27.11</v>
      </c>
      <c r="GU67" s="339">
        <v>0.34499999999999997</v>
      </c>
      <c r="GV67" s="339">
        <v>5.6589999999999998</v>
      </c>
      <c r="GW67" s="339">
        <v>27</v>
      </c>
      <c r="GX67" s="339">
        <v>0.34499999999999997</v>
      </c>
      <c r="GY67" s="339">
        <v>5.6589999999999998</v>
      </c>
      <c r="GZ67" s="339">
        <v>28.509899999999998</v>
      </c>
      <c r="HA67" s="339">
        <v>0.34499999999999997</v>
      </c>
      <c r="HB67" s="339">
        <v>5.6420000000000003</v>
      </c>
      <c r="HC67" s="339">
        <v>29.5</v>
      </c>
      <c r="HD67" s="339">
        <v>0.34499999999999997</v>
      </c>
      <c r="HE67" s="339">
        <v>5.6269999999999998</v>
      </c>
      <c r="HF67" s="339">
        <v>27.3</v>
      </c>
      <c r="HG67" s="339">
        <v>0.34499999999999997</v>
      </c>
      <c r="HH67" s="339">
        <v>5.5974649999999997</v>
      </c>
      <c r="HI67" s="505">
        <v>27.24</v>
      </c>
      <c r="HJ67" s="339">
        <v>0.34499999999999997</v>
      </c>
      <c r="HK67" s="339">
        <v>5.6052080000000002</v>
      </c>
      <c r="HL67" s="339">
        <v>25.35</v>
      </c>
      <c r="HM67" s="339">
        <v>0.34499999999999997</v>
      </c>
      <c r="HN67" s="339">
        <v>5.5926159999999996</v>
      </c>
      <c r="HO67" s="339">
        <v>24.27</v>
      </c>
      <c r="HP67" s="339">
        <v>0.34499999999999997</v>
      </c>
      <c r="HQ67" s="339">
        <v>5.5765510000000003</v>
      </c>
      <c r="HR67" s="339">
        <v>24.06</v>
      </c>
      <c r="HS67" s="339">
        <v>0.34499999999999997</v>
      </c>
      <c r="HT67" s="339">
        <v>5.5582380000000002</v>
      </c>
      <c r="HU67" s="339">
        <v>26.11</v>
      </c>
      <c r="HV67" s="339">
        <v>0.34499999999999997</v>
      </c>
      <c r="HW67" s="339">
        <v>5.5582380000000002</v>
      </c>
      <c r="HX67" s="506">
        <v>25.16</v>
      </c>
      <c r="HY67" s="513">
        <f>1.38/4</f>
        <v>0.34499999999999997</v>
      </c>
      <c r="HZ67" s="339">
        <v>5.547269</v>
      </c>
      <c r="IA67" s="339">
        <v>28.1</v>
      </c>
      <c r="IB67" s="339">
        <v>0.34499999999999997</v>
      </c>
      <c r="IC67" s="339">
        <v>5.5331229999999998</v>
      </c>
      <c r="ID67" s="339">
        <v>27</v>
      </c>
      <c r="IE67" s="339">
        <v>0.34499999999999997</v>
      </c>
      <c r="IF67" s="339">
        <v>5.5146110000000004</v>
      </c>
      <c r="IG67" s="339">
        <v>25.8</v>
      </c>
      <c r="IH67" s="339">
        <v>0.34499999999999997</v>
      </c>
      <c r="II67" s="339">
        <v>5.5146110000000004</v>
      </c>
      <c r="IJ67" s="505">
        <v>28.3</v>
      </c>
      <c r="IK67" s="339">
        <v>0.34499999999999997</v>
      </c>
      <c r="IL67" s="339">
        <v>5.5048820000000003</v>
      </c>
      <c r="IM67" s="339">
        <v>27</v>
      </c>
      <c r="IN67" s="339">
        <v>0.34499999999999997</v>
      </c>
      <c r="IO67" s="339">
        <v>5.4942549999999999</v>
      </c>
      <c r="IP67" s="339">
        <v>26.35</v>
      </c>
      <c r="IQ67" s="339">
        <v>0.34499999999999997</v>
      </c>
      <c r="IR67" s="339">
        <v>4.8994879999999998</v>
      </c>
      <c r="IS67" s="339">
        <v>27.72</v>
      </c>
      <c r="IT67" s="339">
        <v>0.34499999999999997</v>
      </c>
      <c r="IU67" s="339">
        <v>4.7582950000000004</v>
      </c>
      <c r="IV67" s="339">
        <v>25.8</v>
      </c>
      <c r="IW67" s="339">
        <v>0.34499999999999997</v>
      </c>
      <c r="IX67" s="339">
        <v>4.7486189999999997</v>
      </c>
      <c r="IY67" s="339">
        <v>25.07</v>
      </c>
      <c r="IZ67" s="339">
        <v>0.34499999999999997</v>
      </c>
      <c r="JA67" s="339">
        <v>4.7436959999999999</v>
      </c>
      <c r="JB67" s="339">
        <v>24.3</v>
      </c>
      <c r="JC67" s="339">
        <v>0.34499999999999997</v>
      </c>
      <c r="JD67" s="339">
        <v>4.7662310000000003</v>
      </c>
      <c r="JE67" s="339">
        <v>25</v>
      </c>
      <c r="JF67" s="339">
        <v>0.34499999999999997</v>
      </c>
      <c r="JG67" s="339">
        <v>4.7436959999999999</v>
      </c>
      <c r="JH67" s="339">
        <v>24.8</v>
      </c>
      <c r="JI67" s="339">
        <v>0.34499999999999997</v>
      </c>
      <c r="JJ67" s="339">
        <v>4.7436959999999999</v>
      </c>
      <c r="JK67" s="339">
        <v>27.15</v>
      </c>
      <c r="JL67" s="339">
        <v>0.34499999999999997</v>
      </c>
      <c r="JM67" s="339">
        <v>4.7436959999999999</v>
      </c>
      <c r="JN67" s="339">
        <v>29.88</v>
      </c>
      <c r="JO67" s="339">
        <v>0.34499999999999997</v>
      </c>
      <c r="JP67" s="339">
        <v>4.7606169999999999</v>
      </c>
      <c r="JQ67" s="339">
        <v>26.55</v>
      </c>
      <c r="JR67" s="339">
        <v>0.34499999999999997</v>
      </c>
      <c r="JS67" s="339">
        <v>4.7460000000000004</v>
      </c>
      <c r="JT67" s="339">
        <v>23.4</v>
      </c>
      <c r="JU67" s="339">
        <v>0.34499999999999997</v>
      </c>
      <c r="JV67" s="339">
        <v>4.7430000000000003</v>
      </c>
      <c r="JW67" s="339">
        <v>24.25</v>
      </c>
      <c r="JX67" s="339">
        <v>0.34499999999999997</v>
      </c>
      <c r="JY67" s="339">
        <v>4.7377130000000003</v>
      </c>
      <c r="JZ67" s="339">
        <v>24.75</v>
      </c>
      <c r="KA67" s="339">
        <v>0.34499999999999997</v>
      </c>
      <c r="KB67" s="339">
        <v>4.7319769999999997</v>
      </c>
      <c r="KC67" s="339">
        <v>25.75</v>
      </c>
      <c r="KD67" s="339">
        <v>0.34499999999999997</v>
      </c>
      <c r="KE67" s="339">
        <v>4.7259890000000002</v>
      </c>
      <c r="KF67" s="339">
        <v>26.5</v>
      </c>
      <c r="KG67" s="339">
        <v>0.34499999999999997</v>
      </c>
      <c r="KH67" s="339">
        <v>4.7201779999999998</v>
      </c>
      <c r="KI67" s="339">
        <v>26.125</v>
      </c>
      <c r="KJ67" s="339">
        <v>0.34499999999999997</v>
      </c>
      <c r="KK67" s="339">
        <v>4.7145400000000004</v>
      </c>
      <c r="KL67" s="339">
        <v>26.6875</v>
      </c>
      <c r="KM67" s="339">
        <v>0.34499999999999997</v>
      </c>
      <c r="KN67" s="339">
        <v>4.709136</v>
      </c>
      <c r="KO67" s="339">
        <v>29.5625</v>
      </c>
      <c r="KP67" s="339">
        <v>0.34499999999999997</v>
      </c>
      <c r="KQ67" s="339">
        <v>4.7030690000000002</v>
      </c>
      <c r="KR67" s="339">
        <v>35.75</v>
      </c>
      <c r="KS67" s="339">
        <v>0.34499999999999997</v>
      </c>
      <c r="KT67" s="339">
        <v>4.7</v>
      </c>
      <c r="KU67" s="339">
        <v>24.3125</v>
      </c>
      <c r="KV67" s="339">
        <v>0.34499999999999997</v>
      </c>
      <c r="KW67" s="334">
        <v>4.5</v>
      </c>
      <c r="KX67" s="334">
        <v>25.1875</v>
      </c>
      <c r="KY67" s="334">
        <v>0.34499999999999997</v>
      </c>
      <c r="KZ67" s="334">
        <v>4.5</v>
      </c>
      <c r="LA67" s="334">
        <v>23</v>
      </c>
      <c r="LB67" s="334">
        <v>0.34499999999999997</v>
      </c>
      <c r="LC67" s="334">
        <v>4.5</v>
      </c>
      <c r="LD67" s="334">
        <v>25.437999999999999</v>
      </c>
      <c r="LE67" s="334">
        <v>0.34</v>
      </c>
      <c r="LF67" s="334">
        <v>4.4800000000000004</v>
      </c>
      <c r="LG67" s="334">
        <v>22.875</v>
      </c>
      <c r="LH67" s="334">
        <v>0.34</v>
      </c>
      <c r="LI67" s="334">
        <v>4.4800000000000004</v>
      </c>
      <c r="LJ67" s="334">
        <v>23.5</v>
      </c>
      <c r="LK67" s="334">
        <v>0.34</v>
      </c>
      <c r="LL67" s="334">
        <v>4.42</v>
      </c>
      <c r="LM67" s="334">
        <v>25.375</v>
      </c>
      <c r="LN67" s="334">
        <v>0.33500000000000002</v>
      </c>
      <c r="LO67" s="334">
        <v>4.4189999999999996</v>
      </c>
      <c r="LP67" s="334">
        <v>24.3125</v>
      </c>
      <c r="LQ67" s="334">
        <v>0.33500000000000002</v>
      </c>
      <c r="LR67" s="334">
        <v>4.3890000000000002</v>
      </c>
      <c r="LS67" s="334">
        <v>22.875</v>
      </c>
      <c r="LT67" s="334">
        <v>0.33500000000000002</v>
      </c>
      <c r="LU67" s="334">
        <v>4.3890000000000002</v>
      </c>
      <c r="LV67" s="334">
        <v>20.375</v>
      </c>
      <c r="LW67" s="334">
        <v>0.33500000000000002</v>
      </c>
      <c r="LX67" s="334">
        <v>4.2249999999999996</v>
      </c>
      <c r="LY67" s="334">
        <v>19.875</v>
      </c>
      <c r="LZ67" s="334">
        <v>0.33500000000000002</v>
      </c>
      <c r="MA67" s="334">
        <v>4.2249999999999996</v>
      </c>
      <c r="MB67" s="334">
        <v>20</v>
      </c>
      <c r="MC67" s="334">
        <v>0.33</v>
      </c>
      <c r="MD67" s="334">
        <v>4.2249999999999996</v>
      </c>
      <c r="ME67" s="334">
        <v>20.75</v>
      </c>
      <c r="MF67" s="334">
        <v>0.33</v>
      </c>
      <c r="MG67" s="334">
        <v>4.2249999999999996</v>
      </c>
      <c r="MH67" s="334">
        <v>22.75</v>
      </c>
      <c r="MI67" s="334">
        <v>0.33</v>
      </c>
      <c r="MJ67" s="334">
        <v>4.2249999999999996</v>
      </c>
      <c r="MK67" s="334">
        <v>23.125</v>
      </c>
      <c r="ML67" s="334">
        <v>0.33</v>
      </c>
      <c r="MM67" s="334">
        <v>4.2249999999999996</v>
      </c>
      <c r="MN67" s="334">
        <v>20.875</v>
      </c>
      <c r="MO67" s="334">
        <v>0.32</v>
      </c>
      <c r="MP67" s="334">
        <v>4.2249999999999996</v>
      </c>
      <c r="MQ67" s="334">
        <v>19.875</v>
      </c>
      <c r="MR67" s="334">
        <v>0.32</v>
      </c>
      <c r="MS67" s="334">
        <v>4.2249999999999996</v>
      </c>
      <c r="MT67" s="334">
        <v>17</v>
      </c>
      <c r="MU67" s="334">
        <v>0.32</v>
      </c>
      <c r="MV67" s="334">
        <v>4.2249999999999996</v>
      </c>
      <c r="MW67" s="334">
        <v>16.375</v>
      </c>
      <c r="MX67" s="334">
        <v>0.32</v>
      </c>
      <c r="MY67" s="334">
        <v>4.2249999999999996</v>
      </c>
      <c r="MZ67" s="334">
        <v>16.25</v>
      </c>
      <c r="NA67" s="334">
        <v>0.31</v>
      </c>
      <c r="NB67" s="334">
        <v>4.2249999999999996</v>
      </c>
      <c r="NC67" s="334">
        <v>17.25</v>
      </c>
      <c r="ND67" s="334">
        <v>0.31</v>
      </c>
      <c r="NE67" s="334">
        <v>4.2249999999999996</v>
      </c>
      <c r="NF67" s="334">
        <v>16.75</v>
      </c>
      <c r="NG67" s="334">
        <v>0.31</v>
      </c>
      <c r="NH67" s="334">
        <v>4.1890000000000001</v>
      </c>
      <c r="NI67" s="334">
        <v>18.625</v>
      </c>
      <c r="NJ67" s="334">
        <v>0.31</v>
      </c>
      <c r="NK67" s="334">
        <v>4.1890000000000001</v>
      </c>
      <c r="NL67" s="334">
        <v>19.5</v>
      </c>
      <c r="NM67" s="334">
        <v>0.28999999999999998</v>
      </c>
      <c r="NN67" s="334">
        <v>4.1890000000000001</v>
      </c>
      <c r="NO67" s="334">
        <v>21.375</v>
      </c>
      <c r="NP67" s="334">
        <v>0.28999999999999998</v>
      </c>
      <c r="NQ67" s="334">
        <v>4.1749999999999998</v>
      </c>
      <c r="NR67" s="334">
        <v>18.875</v>
      </c>
      <c r="NS67" s="334">
        <v>0.28999999999999998</v>
      </c>
      <c r="NT67" s="334">
        <v>4.1580000000000004</v>
      </c>
      <c r="NU67" s="334">
        <v>19.875</v>
      </c>
      <c r="NV67" s="334">
        <v>0.28000000000000003</v>
      </c>
      <c r="NW67" s="334">
        <v>4.1059999999999999</v>
      </c>
      <c r="NX67" s="334">
        <v>18</v>
      </c>
      <c r="NY67" s="334">
        <v>0.28000000000000003</v>
      </c>
      <c r="NZ67" s="334">
        <v>4.1059999999999999</v>
      </c>
      <c r="OA67" s="334">
        <v>17.440000000000001</v>
      </c>
      <c r="OB67" s="334">
        <v>0.28000000000000003</v>
      </c>
      <c r="OC67" s="334">
        <v>4.0919999999999996</v>
      </c>
      <c r="OD67" s="334">
        <v>15.56</v>
      </c>
      <c r="OE67" s="334">
        <v>0.28000000000000003</v>
      </c>
      <c r="OF67" s="334">
        <v>4.09</v>
      </c>
      <c r="OG67" s="334">
        <v>19.059999999999999</v>
      </c>
      <c r="OH67" s="334">
        <v>0.28000000000000003</v>
      </c>
      <c r="OI67" s="334">
        <v>1.4319999999999999</v>
      </c>
      <c r="OJ67" s="334">
        <v>19.38</v>
      </c>
      <c r="OK67" s="334">
        <v>0.28000000000000003</v>
      </c>
      <c r="OL67" s="334">
        <v>1.4279999999999999</v>
      </c>
      <c r="OM67" s="334">
        <v>19</v>
      </c>
      <c r="ON67" s="334">
        <v>0.28000000000000003</v>
      </c>
      <c r="OO67" s="334">
        <v>1.4279999999999999</v>
      </c>
      <c r="OP67" s="334">
        <v>18</v>
      </c>
      <c r="OQ67" s="334">
        <v>0.28000000000000003</v>
      </c>
      <c r="OR67" s="334">
        <v>3.67</v>
      </c>
      <c r="OS67" s="334">
        <v>16.88</v>
      </c>
      <c r="OT67" s="334">
        <v>0.28000000000000003</v>
      </c>
      <c r="OU67" s="334">
        <v>1.4139999999999999</v>
      </c>
      <c r="OV67" s="334">
        <v>16.38</v>
      </c>
    </row>
    <row r="68" spans="1:412">
      <c r="B68" s="333" t="s">
        <v>250</v>
      </c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39"/>
      <c r="AK68" s="339"/>
      <c r="AL68" s="339"/>
      <c r="AM68" s="339"/>
      <c r="AN68" s="339"/>
      <c r="AO68" s="339"/>
      <c r="AP68" s="339"/>
      <c r="AQ68" s="339"/>
      <c r="AR68" s="339"/>
      <c r="AS68" s="339"/>
      <c r="AT68" s="339"/>
      <c r="AU68" s="339"/>
      <c r="AV68" s="339"/>
      <c r="AW68" s="339"/>
      <c r="AX68" s="339"/>
      <c r="AY68" s="504"/>
      <c r="AZ68" s="504"/>
      <c r="BA68" s="504"/>
      <c r="BB68" s="503"/>
      <c r="BC68" s="503"/>
      <c r="BD68" s="503"/>
      <c r="BE68" s="503"/>
      <c r="BF68" s="503"/>
      <c r="BG68" s="503"/>
      <c r="BH68" s="503"/>
      <c r="BI68" s="503"/>
      <c r="BJ68" s="503"/>
      <c r="BK68" s="503"/>
      <c r="BL68" s="503"/>
      <c r="BM68" s="503"/>
      <c r="BN68" s="503"/>
      <c r="BO68" s="503"/>
      <c r="BP68" s="503"/>
      <c r="BQ68" s="504"/>
      <c r="BR68" s="504"/>
      <c r="BS68" s="504"/>
      <c r="BT68" s="504"/>
      <c r="BU68" s="504"/>
      <c r="BV68" s="504"/>
      <c r="BW68" s="504"/>
      <c r="BX68" s="504"/>
      <c r="BY68" s="504"/>
      <c r="BZ68" s="503"/>
      <c r="CA68" s="503"/>
      <c r="CB68" s="503"/>
      <c r="CC68" s="503"/>
      <c r="CD68" s="503"/>
      <c r="CE68" s="503"/>
      <c r="CF68" s="503"/>
      <c r="CG68" s="503"/>
      <c r="CH68" s="503"/>
      <c r="CI68" s="503"/>
      <c r="CJ68" s="503"/>
      <c r="CK68" s="503"/>
      <c r="CL68" s="503"/>
      <c r="CM68" s="503"/>
      <c r="CN68" s="503"/>
      <c r="CO68" s="503"/>
      <c r="CP68" s="503"/>
      <c r="CQ68" s="503"/>
      <c r="CR68" s="504"/>
      <c r="CS68" s="504"/>
      <c r="CT68" s="504"/>
      <c r="CU68" s="503"/>
      <c r="CV68" s="503"/>
      <c r="CW68" s="503"/>
      <c r="CX68" s="339"/>
      <c r="CY68" s="339"/>
      <c r="CZ68" s="339"/>
      <c r="DA68" s="339"/>
      <c r="DB68" s="339"/>
      <c r="DC68" s="339"/>
      <c r="DD68" s="339"/>
      <c r="DE68" s="339"/>
      <c r="DF68" s="339"/>
      <c r="DG68" s="339"/>
      <c r="DH68" s="339"/>
      <c r="DI68" s="339"/>
      <c r="DJ68" s="339"/>
      <c r="DK68" s="339"/>
      <c r="DL68" s="339"/>
      <c r="DM68" s="339"/>
      <c r="DN68" s="339"/>
      <c r="DO68" s="339"/>
      <c r="DP68" s="339"/>
      <c r="DQ68" s="339"/>
      <c r="DR68" s="339"/>
      <c r="DS68" s="339"/>
      <c r="DT68" s="339"/>
      <c r="DU68" s="339"/>
      <c r="DV68" s="339"/>
      <c r="DW68" s="339"/>
      <c r="DX68" s="339"/>
      <c r="DY68" s="339"/>
      <c r="DZ68" s="339"/>
      <c r="EA68" s="339"/>
      <c r="EB68" s="340"/>
      <c r="EC68" s="340"/>
      <c r="ED68" s="340"/>
      <c r="EE68" s="339"/>
      <c r="EF68" s="339"/>
      <c r="EG68" s="339"/>
      <c r="EH68" s="339"/>
      <c r="EI68" s="339"/>
      <c r="EJ68" s="339"/>
      <c r="EK68" s="339"/>
      <c r="EL68" s="339"/>
      <c r="EM68" s="339"/>
      <c r="EN68" s="339"/>
      <c r="EO68" s="339"/>
      <c r="EP68" s="339"/>
      <c r="EQ68" s="339"/>
      <c r="ER68" s="339"/>
      <c r="ES68" s="339"/>
      <c r="ET68" s="339"/>
      <c r="EU68" s="339"/>
      <c r="EV68" s="339"/>
      <c r="EW68" s="339"/>
      <c r="EX68" s="339"/>
      <c r="EY68" s="339"/>
      <c r="EZ68" s="339"/>
      <c r="FA68" s="339"/>
      <c r="FB68" s="339"/>
      <c r="FC68" s="339"/>
      <c r="FD68" s="339"/>
      <c r="FE68" s="339"/>
      <c r="FF68" s="339"/>
      <c r="FG68" s="339"/>
      <c r="FH68" s="342"/>
      <c r="FI68" s="339"/>
      <c r="FJ68" s="339"/>
      <c r="FK68" s="339"/>
      <c r="FL68" s="339"/>
      <c r="FM68" s="339"/>
      <c r="FN68" s="339"/>
      <c r="FO68" s="339"/>
      <c r="FP68" s="339"/>
      <c r="FQ68" s="339"/>
      <c r="FR68" s="339"/>
      <c r="FS68" s="339"/>
      <c r="FT68" s="339"/>
      <c r="FU68" s="339"/>
      <c r="FV68" s="339"/>
      <c r="FW68" s="339"/>
      <c r="FX68" s="339"/>
      <c r="FY68" s="339"/>
      <c r="FZ68" s="339"/>
      <c r="GA68" s="339"/>
      <c r="GB68" s="339"/>
      <c r="GC68" s="339"/>
      <c r="GD68" s="339"/>
      <c r="GE68" s="339"/>
      <c r="GF68" s="339"/>
      <c r="GG68" s="339"/>
      <c r="GH68" s="339"/>
      <c r="GI68" s="339"/>
      <c r="GJ68" s="339"/>
      <c r="GK68" s="339"/>
      <c r="GL68" s="339"/>
      <c r="GM68" s="339"/>
      <c r="GN68" s="339"/>
      <c r="GO68" s="339"/>
      <c r="GP68" s="339"/>
      <c r="GQ68" s="339"/>
      <c r="GR68" s="339"/>
      <c r="GS68" s="339"/>
      <c r="GT68" s="339"/>
      <c r="GU68" s="339"/>
      <c r="GV68" s="339"/>
      <c r="GW68" s="339"/>
      <c r="GX68" s="339"/>
      <c r="GY68" s="339"/>
      <c r="GZ68" s="339"/>
      <c r="HA68" s="339"/>
      <c r="HB68" s="339"/>
      <c r="HC68" s="339"/>
      <c r="HD68" s="339"/>
      <c r="HE68" s="339"/>
      <c r="HF68" s="339"/>
      <c r="HG68" s="339"/>
      <c r="HH68" s="339"/>
      <c r="HI68" s="505"/>
      <c r="HJ68" s="339"/>
      <c r="HK68" s="339"/>
      <c r="HL68" s="339"/>
      <c r="HM68" s="339"/>
      <c r="HN68" s="339"/>
      <c r="HO68" s="339"/>
      <c r="HP68" s="339"/>
      <c r="HQ68" s="339"/>
      <c r="HR68" s="339"/>
      <c r="HS68" s="339"/>
      <c r="HT68" s="339"/>
      <c r="HU68" s="339"/>
      <c r="HV68" s="339"/>
      <c r="HW68" s="339"/>
      <c r="HX68" s="506"/>
      <c r="HY68" s="513"/>
      <c r="HZ68" s="339"/>
      <c r="IA68" s="339"/>
      <c r="IB68" s="339"/>
      <c r="IC68" s="339"/>
      <c r="ID68" s="339"/>
      <c r="IE68" s="339"/>
      <c r="IF68" s="339"/>
      <c r="IG68" s="339"/>
      <c r="IH68" s="339"/>
      <c r="II68" s="339"/>
      <c r="IJ68" s="505"/>
      <c r="IK68" s="339"/>
      <c r="IL68" s="339"/>
      <c r="IM68" s="339"/>
      <c r="IN68" s="339"/>
      <c r="IO68" s="339"/>
      <c r="IP68" s="339"/>
      <c r="IQ68" s="339"/>
      <c r="IR68" s="339"/>
      <c r="IS68" s="339"/>
      <c r="IT68" s="339"/>
      <c r="IU68" s="339"/>
      <c r="IV68" s="339"/>
      <c r="IW68" s="339"/>
      <c r="IX68" s="339"/>
      <c r="IY68" s="339"/>
      <c r="IZ68" s="342"/>
      <c r="JA68" s="339"/>
      <c r="JB68" s="339"/>
      <c r="JC68" s="339"/>
      <c r="JD68" s="339"/>
      <c r="JE68" s="339"/>
      <c r="JF68" s="339"/>
      <c r="JG68" s="339"/>
      <c r="JH68" s="339"/>
      <c r="JI68" s="339"/>
      <c r="JJ68" s="339"/>
      <c r="JK68" s="339"/>
      <c r="JL68" s="339"/>
      <c r="JM68" s="339"/>
      <c r="JN68" s="339"/>
      <c r="JO68" s="339"/>
      <c r="JP68" s="339"/>
      <c r="JQ68" s="339"/>
      <c r="JR68" s="339"/>
      <c r="JS68" s="339"/>
      <c r="JT68" s="342"/>
      <c r="JU68" s="342"/>
      <c r="JV68" s="339"/>
      <c r="JW68" s="339"/>
      <c r="JX68" s="339"/>
      <c r="JY68" s="339"/>
      <c r="JZ68" s="339"/>
      <c r="KA68" s="339"/>
      <c r="KB68" s="339"/>
      <c r="KC68" s="339"/>
      <c r="KD68" s="339"/>
      <c r="KE68" s="339"/>
      <c r="KF68" s="339"/>
      <c r="KG68" s="339"/>
      <c r="KH68" s="339"/>
      <c r="KI68" s="339"/>
      <c r="KJ68" s="339"/>
      <c r="KK68" s="339"/>
      <c r="KL68" s="339"/>
      <c r="KM68" s="339"/>
      <c r="KN68" s="339"/>
      <c r="KO68" s="339"/>
      <c r="KP68" s="339"/>
      <c r="KQ68" s="339"/>
      <c r="KR68" s="339"/>
      <c r="KS68" s="339"/>
      <c r="KT68" s="339"/>
      <c r="KU68" s="339"/>
      <c r="KV68" s="339"/>
      <c r="KW68" s="334"/>
      <c r="KX68" s="334"/>
      <c r="KY68" s="334"/>
      <c r="KZ68" s="334"/>
      <c r="LA68" s="334"/>
      <c r="LB68" s="334"/>
      <c r="LC68" s="334"/>
      <c r="LD68" s="334"/>
      <c r="LE68" s="334"/>
      <c r="LF68" s="334">
        <v>2.95</v>
      </c>
      <c r="LG68" s="334">
        <v>30.375</v>
      </c>
      <c r="LH68" s="334">
        <v>0.32</v>
      </c>
      <c r="LI68" s="334">
        <v>2.95</v>
      </c>
      <c r="LJ68" s="334">
        <v>26.25</v>
      </c>
      <c r="LK68" s="334">
        <v>0.32</v>
      </c>
      <c r="LL68" s="334">
        <v>2.95</v>
      </c>
      <c r="LM68" s="334">
        <v>26.875</v>
      </c>
      <c r="LN68" s="334">
        <v>0.32</v>
      </c>
      <c r="LO68" s="334">
        <v>2.95</v>
      </c>
      <c r="LP68" s="334">
        <v>27</v>
      </c>
      <c r="LQ68" s="334">
        <v>0.32</v>
      </c>
      <c r="LR68" s="334">
        <v>2.9689999999999999</v>
      </c>
      <c r="LS68" s="334">
        <v>23.125</v>
      </c>
      <c r="LT68" s="334">
        <v>0.32</v>
      </c>
      <c r="LU68" s="334">
        <v>2.9689999999999999</v>
      </c>
      <c r="LV68" s="334">
        <v>19.75</v>
      </c>
      <c r="LW68" s="334">
        <v>0.32</v>
      </c>
      <c r="LX68" s="334">
        <v>2.9689999999999999</v>
      </c>
      <c r="LY68" s="334">
        <v>18.5</v>
      </c>
      <c r="LZ68" s="334">
        <v>0.32</v>
      </c>
      <c r="MA68" s="334">
        <v>2.9689999999999999</v>
      </c>
      <c r="MB68" s="334">
        <v>17.25</v>
      </c>
      <c r="MC68" s="334">
        <v>0.32</v>
      </c>
      <c r="MD68" s="334">
        <v>2.9689999999999999</v>
      </c>
      <c r="ME68" s="334">
        <v>18.75</v>
      </c>
      <c r="MF68" s="334">
        <v>0.3125</v>
      </c>
      <c r="MG68" s="334">
        <v>2.9689999999999999</v>
      </c>
      <c r="MH68" s="334">
        <v>18.5</v>
      </c>
      <c r="MI68" s="334">
        <v>0.3125</v>
      </c>
      <c r="MJ68" s="334">
        <v>2.9689999999999999</v>
      </c>
      <c r="MK68" s="334">
        <v>19</v>
      </c>
      <c r="ML68" s="334">
        <v>0.3125</v>
      </c>
      <c r="MM68" s="334">
        <v>2.9689999999999999</v>
      </c>
      <c r="MN68" s="334">
        <v>18.5</v>
      </c>
      <c r="MO68" s="334">
        <v>0.32</v>
      </c>
      <c r="MP68" s="334">
        <v>2.9689999999999999</v>
      </c>
      <c r="MQ68" s="334">
        <v>18.25</v>
      </c>
      <c r="MR68" s="334">
        <v>0.3</v>
      </c>
      <c r="MS68" s="334">
        <v>2.9689999999999999</v>
      </c>
      <c r="MT68" s="334">
        <v>17</v>
      </c>
      <c r="MU68" s="334">
        <v>0.3</v>
      </c>
      <c r="MV68" s="334">
        <v>2.9689999999999999</v>
      </c>
      <c r="MW68" s="334">
        <v>16</v>
      </c>
      <c r="MX68" s="334">
        <v>0.3</v>
      </c>
      <c r="MY68" s="334">
        <v>2.988</v>
      </c>
      <c r="MZ68" s="334">
        <v>15.5</v>
      </c>
      <c r="NA68" s="334">
        <v>0.3</v>
      </c>
      <c r="NB68" s="334">
        <v>2.988</v>
      </c>
      <c r="NC68" s="334">
        <v>17</v>
      </c>
      <c r="ND68" s="334">
        <v>0.3</v>
      </c>
      <c r="NE68" s="334">
        <v>2.988</v>
      </c>
      <c r="NF68" s="334">
        <v>18</v>
      </c>
      <c r="NG68" s="334">
        <v>0.29199999999999998</v>
      </c>
      <c r="NH68" s="334">
        <v>3.048</v>
      </c>
      <c r="NI68" s="334">
        <v>17.25</v>
      </c>
      <c r="NJ68" s="334">
        <v>0.29199999999999998</v>
      </c>
      <c r="NK68" s="334">
        <v>3.048</v>
      </c>
      <c r="NL68" s="334">
        <v>19.25</v>
      </c>
      <c r="NM68" s="334">
        <v>0.29199999999999998</v>
      </c>
      <c r="NN68" s="334">
        <v>3.048</v>
      </c>
      <c r="NO68" s="334">
        <v>19</v>
      </c>
      <c r="NP68" s="334">
        <v>0.29199999999999998</v>
      </c>
      <c r="NQ68" s="334">
        <v>3.048</v>
      </c>
      <c r="NR68" s="334">
        <v>17.75</v>
      </c>
      <c r="NS68" s="334">
        <v>0.29199999999999998</v>
      </c>
      <c r="NT68" s="334">
        <v>3.048</v>
      </c>
      <c r="NU68" s="334">
        <v>19.5</v>
      </c>
      <c r="NV68" s="334">
        <v>0.29199999999999998</v>
      </c>
      <c r="NW68" s="334">
        <v>3.032</v>
      </c>
      <c r="NX68" s="334">
        <v>18</v>
      </c>
      <c r="NY68" s="334">
        <v>0.28999999999999998</v>
      </c>
      <c r="NZ68" s="334">
        <v>3.032</v>
      </c>
      <c r="OA68" s="334">
        <v>19.25</v>
      </c>
      <c r="OB68" s="334">
        <v>0.28999999999999998</v>
      </c>
      <c r="OC68" s="334">
        <v>3.028</v>
      </c>
      <c r="OD68" s="334">
        <v>18.5</v>
      </c>
      <c r="OE68" s="334">
        <v>0.28999999999999998</v>
      </c>
      <c r="OF68" s="334">
        <v>3.028</v>
      </c>
      <c r="OG68" s="334">
        <v>17.38</v>
      </c>
      <c r="OH68" s="334">
        <v>0.28999999999999998</v>
      </c>
      <c r="OI68" s="334">
        <v>3.012</v>
      </c>
      <c r="OJ68" s="334">
        <v>16.88</v>
      </c>
      <c r="OK68" s="334">
        <v>0.28999999999999998</v>
      </c>
      <c r="OL68" s="334">
        <v>3.01</v>
      </c>
      <c r="OM68" s="334">
        <v>15.5</v>
      </c>
      <c r="ON68" s="334">
        <v>0.28999999999999998</v>
      </c>
      <c r="OO68" s="334">
        <v>3.0059999999999998</v>
      </c>
      <c r="OP68" s="334">
        <v>13.88</v>
      </c>
      <c r="OQ68" s="334">
        <v>0.28000000000000003</v>
      </c>
      <c r="OR68" s="334">
        <v>3.004</v>
      </c>
      <c r="OS68" s="334">
        <v>14.38</v>
      </c>
      <c r="OT68" s="334">
        <v>0.28000000000000003</v>
      </c>
      <c r="OU68" s="334">
        <v>2.984</v>
      </c>
      <c r="OV68" s="334">
        <v>13.75</v>
      </c>
    </row>
    <row r="69" spans="1:412">
      <c r="A69" s="294" t="s">
        <v>20</v>
      </c>
      <c r="B69" s="333" t="s">
        <v>141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39"/>
      <c r="AU69" s="339"/>
      <c r="AV69" s="339"/>
      <c r="AW69" s="339"/>
      <c r="AX69" s="339"/>
      <c r="AY69" s="503"/>
      <c r="AZ69" s="503"/>
      <c r="BA69" s="503"/>
      <c r="BB69" s="503"/>
      <c r="BC69" s="503"/>
      <c r="BD69" s="503"/>
      <c r="BE69" s="503"/>
      <c r="BF69" s="503"/>
      <c r="BG69" s="503"/>
      <c r="BH69" s="503"/>
      <c r="BI69" s="503"/>
      <c r="BJ69" s="503"/>
      <c r="BK69" s="503"/>
      <c r="BL69" s="503"/>
      <c r="BM69" s="503"/>
      <c r="BN69" s="503"/>
      <c r="BO69" s="503"/>
      <c r="BP69" s="503"/>
      <c r="BQ69" s="504"/>
      <c r="BR69" s="504"/>
      <c r="BS69" s="504"/>
      <c r="BT69" s="504"/>
      <c r="BU69" s="504"/>
      <c r="BV69" s="504"/>
      <c r="BW69" s="504"/>
      <c r="BX69" s="504"/>
      <c r="BY69" s="504"/>
      <c r="BZ69" s="503"/>
      <c r="CA69" s="503"/>
      <c r="CB69" s="503"/>
      <c r="CC69" s="503"/>
      <c r="CD69" s="503"/>
      <c r="CE69" s="503"/>
      <c r="CF69" s="503"/>
      <c r="CG69" s="503"/>
      <c r="CH69" s="503"/>
      <c r="CI69" s="503"/>
      <c r="CJ69" s="503"/>
      <c r="CK69" s="503"/>
      <c r="CL69" s="503"/>
      <c r="CM69" s="503"/>
      <c r="CN69" s="503"/>
      <c r="CO69" s="503"/>
      <c r="CP69" s="503"/>
      <c r="CQ69" s="503"/>
      <c r="CR69" s="504"/>
      <c r="CS69" s="504"/>
      <c r="CT69" s="504"/>
      <c r="CU69" s="503"/>
      <c r="CV69" s="503"/>
      <c r="CW69" s="503"/>
      <c r="CX69" s="339"/>
      <c r="CY69" s="339"/>
      <c r="CZ69" s="339"/>
      <c r="DA69" s="339"/>
      <c r="DB69" s="339"/>
      <c r="DC69" s="339"/>
      <c r="DD69" s="339"/>
      <c r="DE69" s="339"/>
      <c r="DF69" s="339"/>
      <c r="DG69" s="339"/>
      <c r="DH69" s="339"/>
      <c r="DI69" s="339"/>
      <c r="DJ69" s="339"/>
      <c r="DK69" s="339"/>
      <c r="DL69" s="339"/>
      <c r="DM69" s="339"/>
      <c r="DN69" s="339"/>
      <c r="DO69" s="339"/>
      <c r="DP69" s="339"/>
      <c r="DQ69" s="339"/>
      <c r="DR69" s="339"/>
      <c r="DS69" s="339"/>
      <c r="DT69" s="339"/>
      <c r="DU69" s="339"/>
      <c r="DV69" s="339"/>
      <c r="DW69" s="339"/>
      <c r="DX69" s="339"/>
      <c r="DY69" s="339"/>
      <c r="DZ69" s="339"/>
      <c r="EA69" s="339"/>
      <c r="EB69" s="340"/>
      <c r="EC69" s="340"/>
      <c r="ED69" s="340"/>
      <c r="EE69" s="339"/>
      <c r="EF69" s="339"/>
      <c r="EG69" s="339"/>
      <c r="EH69" s="339"/>
      <c r="EI69" s="339"/>
      <c r="EJ69" s="339"/>
      <c r="EK69" s="339"/>
      <c r="EL69" s="339"/>
      <c r="EM69" s="339"/>
      <c r="EN69" s="339"/>
      <c r="EO69" s="339"/>
      <c r="EP69" s="339"/>
      <c r="EQ69" s="339"/>
      <c r="ER69" s="339"/>
      <c r="ES69" s="339"/>
      <c r="ET69" s="339"/>
      <c r="EU69" s="339"/>
      <c r="EV69" s="339"/>
      <c r="EW69" s="339"/>
      <c r="EX69" s="339"/>
      <c r="EY69" s="339"/>
      <c r="EZ69" s="340"/>
      <c r="FA69" s="340"/>
      <c r="FB69" s="340"/>
      <c r="FC69" s="339">
        <v>200.4</v>
      </c>
      <c r="FD69" s="339">
        <v>39.630000000000003</v>
      </c>
      <c r="FE69" s="339">
        <v>0.24</v>
      </c>
      <c r="FF69" s="339">
        <v>200.1</v>
      </c>
      <c r="FG69" s="339">
        <v>38.06</v>
      </c>
      <c r="FH69" s="339">
        <v>0.24</v>
      </c>
      <c r="FI69" s="339">
        <v>199.4</v>
      </c>
      <c r="FJ69" s="339">
        <v>37.96</v>
      </c>
      <c r="FK69" s="339">
        <v>0.24</v>
      </c>
      <c r="FL69" s="339">
        <v>199.8</v>
      </c>
      <c r="FM69" s="339">
        <v>31.13</v>
      </c>
      <c r="FN69" s="339">
        <v>0.24</v>
      </c>
      <c r="FO69" s="339">
        <v>201.1</v>
      </c>
      <c r="FP69" s="339">
        <v>30.63</v>
      </c>
      <c r="FQ69" s="339">
        <v>0.24</v>
      </c>
      <c r="FR69" s="339">
        <v>200.8</v>
      </c>
      <c r="FS69" s="339">
        <v>32.24</v>
      </c>
      <c r="FT69" s="339">
        <v>0.24</v>
      </c>
      <c r="FU69" s="339">
        <v>200.3</v>
      </c>
      <c r="FV69" s="339">
        <v>32.25</v>
      </c>
      <c r="FW69" s="339">
        <v>0.24</v>
      </c>
      <c r="FX69" s="339">
        <v>199.9</v>
      </c>
      <c r="FY69" s="339">
        <v>35.11</v>
      </c>
      <c r="FZ69" s="339">
        <v>0.24</v>
      </c>
      <c r="GA69" s="339">
        <v>199.6</v>
      </c>
      <c r="GB69" s="339">
        <v>35.17</v>
      </c>
      <c r="GC69" s="339">
        <v>0.24</v>
      </c>
      <c r="GD69" s="339">
        <v>199.2</v>
      </c>
      <c r="GE69" s="339">
        <v>32.369999999999997</v>
      </c>
      <c r="GF69" s="339">
        <v>0.24</v>
      </c>
      <c r="GG69" s="339">
        <v>198.5</v>
      </c>
      <c r="GH69" s="339">
        <v>26.58</v>
      </c>
      <c r="GI69" s="339">
        <v>0.24</v>
      </c>
      <c r="GJ69" s="339">
        <v>181.4</v>
      </c>
      <c r="GK69" s="339">
        <v>20.66</v>
      </c>
      <c r="GL69" s="339">
        <v>0.24</v>
      </c>
      <c r="GM69" s="339">
        <v>178.4</v>
      </c>
      <c r="GN69" s="339">
        <v>25.09</v>
      </c>
      <c r="GO69" s="339">
        <v>0.47749999999999998</v>
      </c>
      <c r="GP69" s="339">
        <v>178.4</v>
      </c>
      <c r="GQ69" s="339">
        <v>24.3</v>
      </c>
      <c r="GR69" s="339">
        <v>0.47749999999999998</v>
      </c>
      <c r="GS69" s="339">
        <v>178.2</v>
      </c>
      <c r="GT69" s="339">
        <v>82.1</v>
      </c>
      <c r="GU69" s="339">
        <v>0.47749999999999998</v>
      </c>
      <c r="GV69" s="339">
        <v>180.2</v>
      </c>
      <c r="GW69" s="339">
        <v>88.27</v>
      </c>
      <c r="GX69" s="339">
        <v>0.47749999999999998</v>
      </c>
      <c r="GY69" s="339">
        <v>180.5</v>
      </c>
      <c r="GZ69" s="339">
        <v>102.53</v>
      </c>
      <c r="HA69" s="339">
        <v>0.435</v>
      </c>
      <c r="HB69" s="339">
        <v>180.3</v>
      </c>
      <c r="HC69" s="339">
        <v>85.79</v>
      </c>
      <c r="HD69" s="339">
        <v>0.435</v>
      </c>
      <c r="HE69" s="339">
        <v>180.6</v>
      </c>
      <c r="HF69" s="339">
        <v>87.18</v>
      </c>
      <c r="HG69" s="339">
        <v>0.435</v>
      </c>
      <c r="HH69" s="339">
        <v>179.4</v>
      </c>
      <c r="HI69" s="505">
        <v>86.95</v>
      </c>
      <c r="HJ69" s="339">
        <v>0.435</v>
      </c>
      <c r="HK69" s="339">
        <v>179.7</v>
      </c>
      <c r="HL69" s="339">
        <v>68.819999999999993</v>
      </c>
      <c r="HM69" s="339">
        <v>0.3775</v>
      </c>
      <c r="HN69" s="339">
        <v>179.1</v>
      </c>
      <c r="HO69" s="339">
        <v>59.2</v>
      </c>
      <c r="HP69" s="339">
        <v>0.3775</v>
      </c>
      <c r="HQ69" s="339">
        <v>178.6</v>
      </c>
      <c r="HR69" s="339">
        <v>54.52</v>
      </c>
      <c r="HS69" s="339">
        <v>0.3775</v>
      </c>
      <c r="HT69" s="339">
        <v>177.4</v>
      </c>
      <c r="HU69" s="339">
        <v>54.71</v>
      </c>
      <c r="HV69" s="339">
        <v>0.3775</v>
      </c>
      <c r="HW69" s="339">
        <v>178.1</v>
      </c>
      <c r="HX69" s="506">
        <v>57.6</v>
      </c>
      <c r="HY69" s="513">
        <f>1.34/4</f>
        <v>0.33500000000000002</v>
      </c>
      <c r="HZ69" s="339">
        <v>177.6</v>
      </c>
      <c r="IA69" s="339">
        <v>61.6</v>
      </c>
      <c r="IB69" s="339">
        <v>0.33500000000000002</v>
      </c>
      <c r="IC69" s="339">
        <v>176.8</v>
      </c>
      <c r="ID69" s="339">
        <v>57.69</v>
      </c>
      <c r="IE69" s="339">
        <v>0.33500000000000002</v>
      </c>
      <c r="IF69" s="339">
        <v>175.5</v>
      </c>
      <c r="IG69" s="339">
        <v>51.7</v>
      </c>
      <c r="IH69" s="339">
        <v>0.33500000000000002</v>
      </c>
      <c r="II69" s="339">
        <v>175.5</v>
      </c>
      <c r="IJ69" s="505">
        <v>43.71</v>
      </c>
      <c r="IK69" s="339">
        <v>0.28499999999999998</v>
      </c>
      <c r="IL69" s="339">
        <v>168.7</v>
      </c>
      <c r="IM69" s="339">
        <v>39.840000000000003</v>
      </c>
      <c r="IN69" s="339">
        <v>0.28499999999999998</v>
      </c>
      <c r="IO69" s="339">
        <v>168.1</v>
      </c>
      <c r="IP69" s="339">
        <v>37.9</v>
      </c>
      <c r="IQ69" s="339">
        <v>0.28499999999999998</v>
      </c>
      <c r="IR69" s="339">
        <v>167.4</v>
      </c>
      <c r="IS69" s="339">
        <v>39.950000000000003</v>
      </c>
      <c r="IT69" s="339">
        <v>0.28499999999999998</v>
      </c>
      <c r="IU69" s="339">
        <v>167</v>
      </c>
      <c r="IV69" s="339">
        <v>39.159999999999997</v>
      </c>
      <c r="IW69" s="339">
        <v>0.26</v>
      </c>
      <c r="IX69" s="339">
        <v>165.8</v>
      </c>
      <c r="IY69" s="339">
        <v>35.78</v>
      </c>
      <c r="IZ69" s="339">
        <v>0.26</v>
      </c>
      <c r="JA69" s="339">
        <v>164.9</v>
      </c>
      <c r="JB69" s="339">
        <v>34.299999999999997</v>
      </c>
      <c r="JC69" s="339">
        <v>0.51</v>
      </c>
      <c r="JD69" s="339">
        <v>164.8</v>
      </c>
      <c r="JE69" s="339">
        <v>27.73</v>
      </c>
      <c r="JF69" s="339">
        <v>0.26</v>
      </c>
      <c r="JG69" s="339">
        <v>164.4</v>
      </c>
      <c r="JH69" s="339">
        <v>27.82</v>
      </c>
      <c r="JI69" s="339">
        <v>0.24</v>
      </c>
      <c r="JJ69" s="339">
        <v>164</v>
      </c>
      <c r="JK69" s="339">
        <v>24.79</v>
      </c>
      <c r="JL69" s="339">
        <v>0.24</v>
      </c>
      <c r="JM69" s="339">
        <v>163.69999999999999</v>
      </c>
      <c r="JN69" s="339">
        <v>29.34</v>
      </c>
      <c r="JO69" s="339">
        <v>0.24</v>
      </c>
      <c r="JP69" s="339">
        <v>163.69999999999999</v>
      </c>
      <c r="JQ69" s="339">
        <v>30.85</v>
      </c>
      <c r="JR69" s="339">
        <v>0.24</v>
      </c>
      <c r="JS69" s="339">
        <v>163.69999999999999</v>
      </c>
      <c r="JT69" s="339">
        <v>26.55</v>
      </c>
      <c r="JU69" s="339">
        <v>0.12</v>
      </c>
      <c r="JV69" s="339">
        <v>163.69999999999999</v>
      </c>
      <c r="JW69" s="339">
        <v>24.2</v>
      </c>
      <c r="JX69" s="339">
        <v>0.12</v>
      </c>
      <c r="JY69" s="339">
        <v>163.69999999999999</v>
      </c>
      <c r="JZ69" s="339">
        <v>42.6</v>
      </c>
      <c r="KA69" s="339">
        <v>0.12</v>
      </c>
      <c r="KB69" s="339">
        <v>150.5</v>
      </c>
      <c r="KC69" s="339">
        <v>44.1</v>
      </c>
      <c r="KD69" s="339">
        <v>0.12</v>
      </c>
      <c r="KE69" s="339">
        <v>150.1</v>
      </c>
      <c r="KF69" s="339">
        <v>45.0625</v>
      </c>
      <c r="KG69" s="339">
        <v>0.42</v>
      </c>
      <c r="KH69" s="339">
        <v>149.69999999999999</v>
      </c>
      <c r="KI69" s="339">
        <v>49.75</v>
      </c>
      <c r="KJ69" s="339">
        <v>0.42</v>
      </c>
      <c r="KK69" s="339">
        <v>149.6</v>
      </c>
      <c r="KL69" s="339">
        <v>32.5625</v>
      </c>
      <c r="KM69" s="339">
        <v>0.42</v>
      </c>
      <c r="KN69" s="339">
        <v>149.6</v>
      </c>
      <c r="KO69" s="339">
        <v>31.875</v>
      </c>
      <c r="KP69" s="339">
        <v>0.42</v>
      </c>
      <c r="KQ69" s="339">
        <v>149.6</v>
      </c>
      <c r="KR69" s="339">
        <v>29</v>
      </c>
      <c r="KS69" s="339">
        <v>0.42</v>
      </c>
      <c r="KT69" s="339">
        <v>149.6</v>
      </c>
      <c r="KU69" s="339">
        <v>28.125</v>
      </c>
      <c r="KV69" s="339">
        <v>0.42</v>
      </c>
      <c r="KW69" s="334">
        <v>148.5</v>
      </c>
      <c r="KX69" s="334">
        <v>29.625</v>
      </c>
      <c r="KY69" s="334">
        <v>0.42</v>
      </c>
      <c r="KZ69" s="334">
        <v>148.69999999999999</v>
      </c>
      <c r="LA69" s="334">
        <v>25.375</v>
      </c>
      <c r="LB69" s="334">
        <v>0.42</v>
      </c>
      <c r="LC69" s="334">
        <v>148.69999999999999</v>
      </c>
      <c r="LD69" s="334">
        <v>30.875</v>
      </c>
      <c r="LE69" s="334">
        <v>0.42</v>
      </c>
      <c r="LF69" s="334">
        <v>147.9</v>
      </c>
      <c r="LG69" s="334">
        <v>33.375</v>
      </c>
      <c r="LH69" s="334">
        <v>0.42</v>
      </c>
      <c r="LI69" s="334">
        <v>147.9</v>
      </c>
      <c r="LJ69" s="334">
        <v>31.062999999999999</v>
      </c>
      <c r="LK69" s="334">
        <v>0.42</v>
      </c>
      <c r="LL69" s="334">
        <v>147.66999999999999</v>
      </c>
      <c r="LM69" s="334">
        <v>32.6875</v>
      </c>
      <c r="LN69" s="334">
        <v>0.41</v>
      </c>
      <c r="LO69" s="334">
        <v>147.667</v>
      </c>
      <c r="LP69" s="334">
        <v>34.125</v>
      </c>
      <c r="LQ69" s="334">
        <v>0.41</v>
      </c>
      <c r="LR69" s="334">
        <v>147.667</v>
      </c>
      <c r="LS69" s="334">
        <v>27.75</v>
      </c>
      <c r="LT69" s="334">
        <v>0.41</v>
      </c>
      <c r="LU69" s="334">
        <v>147.667</v>
      </c>
      <c r="LV69" s="334">
        <v>26.687999999999999</v>
      </c>
      <c r="LW69" s="334">
        <v>0.41</v>
      </c>
      <c r="LX69" s="334">
        <v>147.52699999999999</v>
      </c>
      <c r="LY69" s="334">
        <v>26.75</v>
      </c>
      <c r="LZ69" s="334">
        <v>0.4</v>
      </c>
      <c r="MA69" s="334">
        <v>147.52699999999999</v>
      </c>
      <c r="MB69" s="334">
        <v>26.75</v>
      </c>
      <c r="MC69" s="334">
        <v>0.4</v>
      </c>
      <c r="MD69" s="334">
        <v>147.52699999999999</v>
      </c>
      <c r="ME69" s="334">
        <v>26.125</v>
      </c>
      <c r="MF69" s="334">
        <v>0.4</v>
      </c>
      <c r="MG69" s="334">
        <v>147.52699999999999</v>
      </c>
      <c r="MH69" s="334">
        <v>28.375</v>
      </c>
      <c r="MI69" s="334">
        <v>0.4</v>
      </c>
      <c r="MJ69" s="334">
        <v>147.52699999999999</v>
      </c>
      <c r="MK69" s="334">
        <v>27.625</v>
      </c>
      <c r="ML69" s="334">
        <v>0.39</v>
      </c>
      <c r="MM69" s="334">
        <v>147.52699999999999</v>
      </c>
      <c r="MN69" s="334">
        <v>28.5</v>
      </c>
      <c r="MO69" s="334">
        <v>0.39</v>
      </c>
      <c r="MP69" s="334">
        <v>145.63499999999999</v>
      </c>
      <c r="MQ69" s="334">
        <v>25.875</v>
      </c>
      <c r="MR69" s="334">
        <v>0.39</v>
      </c>
      <c r="MS69" s="334">
        <v>145.63499999999999</v>
      </c>
      <c r="MT69" s="334">
        <v>25</v>
      </c>
      <c r="MU69" s="334">
        <v>0.39</v>
      </c>
      <c r="MV69" s="334">
        <v>145.63499999999999</v>
      </c>
      <c r="MW69" s="334">
        <v>23.625</v>
      </c>
      <c r="MX69" s="334">
        <v>0.38</v>
      </c>
      <c r="MY69" s="334">
        <v>145.63499999999999</v>
      </c>
      <c r="MZ69" s="334">
        <v>22.125</v>
      </c>
      <c r="NA69" s="334">
        <v>0.38</v>
      </c>
      <c r="NB69" s="334">
        <v>145.63499999999999</v>
      </c>
      <c r="NC69" s="334">
        <v>23</v>
      </c>
      <c r="ND69" s="334">
        <v>0.38</v>
      </c>
      <c r="NE69" s="334">
        <v>145.63499999999999</v>
      </c>
      <c r="NF69" s="334">
        <v>21.25</v>
      </c>
      <c r="NG69" s="334">
        <v>0.38</v>
      </c>
      <c r="NH69" s="334">
        <v>145.36699999999999</v>
      </c>
      <c r="NI69" s="334">
        <v>23.125</v>
      </c>
      <c r="NJ69" s="334">
        <v>0.38</v>
      </c>
      <c r="NK69" s="334">
        <v>145.36699999999999</v>
      </c>
      <c r="NL69" s="334">
        <v>25.375</v>
      </c>
      <c r="NM69" s="334">
        <v>0.37</v>
      </c>
      <c r="NN69" s="334">
        <v>145.36699999999999</v>
      </c>
      <c r="NO69" s="334">
        <v>26.5</v>
      </c>
      <c r="NP69" s="334">
        <v>0.37</v>
      </c>
      <c r="NQ69" s="334">
        <v>144.75700000000001</v>
      </c>
      <c r="NR69" s="334">
        <v>25.625</v>
      </c>
      <c r="NS69" s="334">
        <v>0.37</v>
      </c>
      <c r="NT69" s="334">
        <v>144.184</v>
      </c>
      <c r="NU69" s="334">
        <v>25.375</v>
      </c>
      <c r="NV69" s="334">
        <v>0.36</v>
      </c>
      <c r="NW69" s="334">
        <v>133.75200000000001</v>
      </c>
      <c r="NX69" s="334">
        <v>23.38</v>
      </c>
      <c r="NY69" s="334">
        <v>0.36</v>
      </c>
      <c r="NZ69" s="334">
        <v>133.75200000000001</v>
      </c>
      <c r="OA69" s="334">
        <v>22.88</v>
      </c>
      <c r="OB69" s="334">
        <v>0.36</v>
      </c>
      <c r="OC69" s="334">
        <v>132.655</v>
      </c>
      <c r="OD69" s="334">
        <v>22.25</v>
      </c>
      <c r="OE69" s="334">
        <v>0.35</v>
      </c>
      <c r="OF69" s="334">
        <v>129.99</v>
      </c>
      <c r="OG69" s="334">
        <v>20.079999999999998</v>
      </c>
      <c r="OH69" s="334">
        <v>0.35</v>
      </c>
      <c r="OI69" s="334">
        <v>126.093</v>
      </c>
      <c r="OJ69" s="334">
        <v>22.83</v>
      </c>
      <c r="OK69" s="334">
        <v>0.35</v>
      </c>
      <c r="OL69" s="334">
        <v>125.9</v>
      </c>
      <c r="OM69" s="334">
        <v>21.25</v>
      </c>
      <c r="ON69" s="334">
        <v>0.35</v>
      </c>
      <c r="OO69" s="334">
        <v>125.456</v>
      </c>
      <c r="OP69" s="334">
        <v>19.5</v>
      </c>
      <c r="OQ69" s="334">
        <v>0.35</v>
      </c>
      <c r="OR69" s="334">
        <v>125.456</v>
      </c>
      <c r="OS69" s="334">
        <v>19.420000000000002</v>
      </c>
      <c r="OT69" s="334">
        <v>0.35</v>
      </c>
      <c r="OU69" s="334">
        <v>123.54900000000001</v>
      </c>
      <c r="OV69" s="334">
        <v>18.670000000000002</v>
      </c>
    </row>
    <row r="70" spans="1:412">
      <c r="B70" s="333" t="s">
        <v>251</v>
      </c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503"/>
      <c r="AZ70" s="503"/>
      <c r="BA70" s="503"/>
      <c r="BB70" s="503"/>
      <c r="BC70" s="503"/>
      <c r="BD70" s="503"/>
      <c r="BE70" s="503"/>
      <c r="BF70" s="503"/>
      <c r="BG70" s="503"/>
      <c r="BH70" s="503"/>
      <c r="BI70" s="503"/>
      <c r="BJ70" s="503"/>
      <c r="BK70" s="503"/>
      <c r="BL70" s="503"/>
      <c r="BM70" s="503"/>
      <c r="BN70" s="503"/>
      <c r="BO70" s="503"/>
      <c r="BP70" s="503"/>
      <c r="BQ70" s="504"/>
      <c r="BR70" s="504"/>
      <c r="BS70" s="504"/>
      <c r="BT70" s="504"/>
      <c r="BU70" s="504"/>
      <c r="BV70" s="504"/>
      <c r="BW70" s="504"/>
      <c r="BX70" s="504"/>
      <c r="BY70" s="504"/>
      <c r="BZ70" s="503"/>
      <c r="CA70" s="503"/>
      <c r="CB70" s="503"/>
      <c r="CC70" s="503"/>
      <c r="CD70" s="503"/>
      <c r="CE70" s="503"/>
      <c r="CF70" s="503"/>
      <c r="CG70" s="503"/>
      <c r="CH70" s="503"/>
      <c r="CI70" s="503"/>
      <c r="CJ70" s="503"/>
      <c r="CK70" s="503"/>
      <c r="CL70" s="503"/>
      <c r="CM70" s="503"/>
      <c r="CN70" s="503"/>
      <c r="CO70" s="503"/>
      <c r="CP70" s="503"/>
      <c r="CQ70" s="503"/>
      <c r="CR70" s="504"/>
      <c r="CS70" s="504"/>
      <c r="CT70" s="504"/>
      <c r="CU70" s="503"/>
      <c r="CV70" s="503"/>
      <c r="CW70" s="503"/>
      <c r="CX70" s="339"/>
      <c r="CY70" s="339"/>
      <c r="CZ70" s="339"/>
      <c r="DA70" s="339"/>
      <c r="DB70" s="339"/>
      <c r="DC70" s="339"/>
      <c r="DD70" s="339"/>
      <c r="DE70" s="339"/>
      <c r="DF70" s="339"/>
      <c r="DG70" s="339"/>
      <c r="DH70" s="339"/>
      <c r="DI70" s="339"/>
      <c r="DJ70" s="339"/>
      <c r="DK70" s="339"/>
      <c r="DL70" s="339"/>
      <c r="DM70" s="339"/>
      <c r="DN70" s="339"/>
      <c r="DO70" s="339"/>
      <c r="DP70" s="339"/>
      <c r="DQ70" s="339"/>
      <c r="DR70" s="339"/>
      <c r="DS70" s="339"/>
      <c r="DT70" s="339"/>
      <c r="DU70" s="339"/>
      <c r="DV70" s="339"/>
      <c r="DW70" s="339"/>
      <c r="DX70" s="339"/>
      <c r="DY70" s="339"/>
      <c r="DZ70" s="339"/>
      <c r="EA70" s="339"/>
      <c r="EB70" s="340"/>
      <c r="EC70" s="340"/>
      <c r="ED70" s="340"/>
      <c r="EE70" s="339"/>
      <c r="EF70" s="339"/>
      <c r="EG70" s="339"/>
      <c r="EH70" s="339"/>
      <c r="EI70" s="339"/>
      <c r="EJ70" s="339"/>
      <c r="EK70" s="339"/>
      <c r="EL70" s="339"/>
      <c r="EM70" s="339"/>
      <c r="EN70" s="339"/>
      <c r="EO70" s="339"/>
      <c r="EP70" s="339"/>
      <c r="EQ70" s="339"/>
      <c r="ER70" s="339"/>
      <c r="ES70" s="339"/>
      <c r="ET70" s="339"/>
      <c r="EU70" s="339"/>
      <c r="EV70" s="339"/>
      <c r="EW70" s="339"/>
      <c r="EX70" s="339"/>
      <c r="EY70" s="339"/>
      <c r="EZ70" s="339"/>
      <c r="FA70" s="339"/>
      <c r="FB70" s="339"/>
      <c r="FC70" s="339"/>
      <c r="FD70" s="339"/>
      <c r="FE70" s="339"/>
      <c r="FF70" s="339"/>
      <c r="FG70" s="339"/>
      <c r="FH70" s="342"/>
      <c r="FI70" s="339"/>
      <c r="FJ70" s="339"/>
      <c r="FK70" s="339"/>
      <c r="FL70" s="339"/>
      <c r="FM70" s="339"/>
      <c r="FN70" s="339"/>
      <c r="FO70" s="339"/>
      <c r="FP70" s="339"/>
      <c r="FQ70" s="339"/>
      <c r="FR70" s="339"/>
      <c r="FS70" s="339"/>
      <c r="FT70" s="339"/>
      <c r="FU70" s="339"/>
      <c r="FV70" s="339"/>
      <c r="FW70" s="339"/>
      <c r="FX70" s="339"/>
      <c r="FY70" s="339"/>
      <c r="FZ70" s="339"/>
      <c r="GA70" s="339"/>
      <c r="GB70" s="339"/>
      <c r="GC70" s="339"/>
      <c r="GD70" s="339"/>
      <c r="GE70" s="339"/>
      <c r="GF70" s="339"/>
      <c r="GG70" s="339"/>
      <c r="GH70" s="339"/>
      <c r="GI70" s="339"/>
      <c r="GJ70" s="339"/>
      <c r="GK70" s="339"/>
      <c r="GL70" s="339"/>
      <c r="GM70" s="339"/>
      <c r="GN70" s="339"/>
      <c r="GO70" s="339"/>
      <c r="GP70" s="339"/>
      <c r="GQ70" s="339"/>
      <c r="GR70" s="339"/>
      <c r="GS70" s="339"/>
      <c r="GT70" s="339"/>
      <c r="GU70" s="339"/>
      <c r="GV70" s="339"/>
      <c r="GW70" s="339"/>
      <c r="GX70" s="339"/>
      <c r="GY70" s="339"/>
      <c r="GZ70" s="339"/>
      <c r="HA70" s="339"/>
      <c r="HB70" s="339"/>
      <c r="HC70" s="339"/>
      <c r="HD70" s="339"/>
      <c r="HE70" s="339"/>
      <c r="HF70" s="339"/>
      <c r="HG70" s="339"/>
      <c r="HH70" s="339"/>
      <c r="HI70" s="505"/>
      <c r="HJ70" s="339"/>
      <c r="HK70" s="339"/>
      <c r="HL70" s="339"/>
      <c r="HM70" s="339"/>
      <c r="HN70" s="339"/>
      <c r="HO70" s="339"/>
      <c r="HP70" s="339"/>
      <c r="HQ70" s="339"/>
      <c r="HR70" s="339"/>
      <c r="HS70" s="339"/>
      <c r="HT70" s="339"/>
      <c r="HU70" s="339"/>
      <c r="HV70" s="339"/>
      <c r="HW70" s="339"/>
      <c r="HX70" s="506"/>
      <c r="HY70" s="513"/>
      <c r="HZ70" s="339"/>
      <c r="IA70" s="339"/>
      <c r="IB70" s="339"/>
      <c r="IC70" s="339"/>
      <c r="ID70" s="339"/>
      <c r="IE70" s="339"/>
      <c r="IF70" s="339"/>
      <c r="IG70" s="339"/>
      <c r="IH70" s="339"/>
      <c r="II70" s="339"/>
      <c r="IJ70" s="505"/>
      <c r="IK70" s="339"/>
      <c r="IL70" s="339"/>
      <c r="IM70" s="339"/>
      <c r="IN70" s="339"/>
      <c r="IO70" s="339"/>
      <c r="IP70" s="339"/>
      <c r="IQ70" s="339"/>
      <c r="IR70" s="339"/>
      <c r="IS70" s="339"/>
      <c r="IT70" s="339"/>
      <c r="IU70" s="339"/>
      <c r="IV70" s="339"/>
      <c r="IW70" s="339"/>
      <c r="IX70" s="339"/>
      <c r="IY70" s="339"/>
      <c r="IZ70" s="342"/>
      <c r="JA70" s="339"/>
      <c r="JB70" s="339"/>
      <c r="JC70" s="339"/>
      <c r="JD70" s="339"/>
      <c r="JE70" s="339"/>
      <c r="JF70" s="339"/>
      <c r="JG70" s="339"/>
      <c r="JH70" s="339"/>
      <c r="JI70" s="339"/>
      <c r="JJ70" s="339"/>
      <c r="JK70" s="339"/>
      <c r="JL70" s="339"/>
      <c r="JM70" s="339"/>
      <c r="JN70" s="339"/>
      <c r="JO70" s="339"/>
      <c r="JP70" s="339"/>
      <c r="JQ70" s="339"/>
      <c r="JR70" s="339"/>
      <c r="JS70" s="339"/>
      <c r="JT70" s="342"/>
      <c r="JU70" s="342"/>
      <c r="JV70" s="339"/>
      <c r="JW70" s="339"/>
      <c r="JX70" s="339"/>
      <c r="JY70" s="339"/>
      <c r="JZ70" s="339"/>
      <c r="KA70" s="339"/>
      <c r="KB70" s="339"/>
      <c r="KC70" s="339"/>
      <c r="KD70" s="339"/>
      <c r="KE70" s="339"/>
      <c r="KF70" s="339"/>
      <c r="KG70" s="339"/>
      <c r="KH70" s="339"/>
      <c r="KI70" s="339"/>
      <c r="KJ70" s="339"/>
      <c r="KK70" s="339"/>
      <c r="KL70" s="339"/>
      <c r="KM70" s="339"/>
      <c r="KN70" s="339"/>
      <c r="KO70" s="339"/>
      <c r="KP70" s="339"/>
      <c r="KQ70" s="339"/>
      <c r="KR70" s="339"/>
      <c r="KS70" s="339"/>
      <c r="KT70" s="339"/>
      <c r="KU70" s="339"/>
      <c r="KV70" s="339"/>
      <c r="KW70" s="334"/>
      <c r="KX70" s="334"/>
      <c r="KY70" s="334"/>
      <c r="KZ70" s="334"/>
      <c r="LA70" s="334"/>
      <c r="LB70" s="334"/>
      <c r="LC70" s="334"/>
      <c r="LD70" s="334"/>
      <c r="LE70" s="334"/>
      <c r="LF70" s="334"/>
      <c r="LG70" s="334"/>
      <c r="LH70" s="334"/>
      <c r="LI70" s="334"/>
      <c r="LJ70" s="334"/>
      <c r="LK70" s="334"/>
      <c r="LL70" s="334"/>
      <c r="LM70" s="334"/>
      <c r="LN70" s="334"/>
      <c r="LO70" s="334">
        <v>34.07</v>
      </c>
      <c r="LP70" s="334">
        <v>44.25</v>
      </c>
      <c r="LQ70" s="334">
        <v>0.53</v>
      </c>
      <c r="LR70" s="334">
        <v>34.07</v>
      </c>
      <c r="LS70" s="334">
        <v>38.125</v>
      </c>
      <c r="LT70" s="334">
        <v>0.53</v>
      </c>
      <c r="LU70" s="334">
        <v>34.07</v>
      </c>
      <c r="LV70" s="334">
        <v>36.563000000000002</v>
      </c>
      <c r="LW70" s="334">
        <v>0.53</v>
      </c>
      <c r="LX70" s="334">
        <v>34.107999999999997</v>
      </c>
      <c r="LY70" s="334">
        <v>35.5</v>
      </c>
      <c r="LZ70" s="334">
        <v>0.52</v>
      </c>
      <c r="MA70" s="334">
        <v>34.107999999999997</v>
      </c>
      <c r="MB70" s="334">
        <v>36</v>
      </c>
      <c r="MC70" s="334">
        <v>0.52</v>
      </c>
      <c r="MD70" s="334">
        <v>34.107999999999997</v>
      </c>
      <c r="ME70" s="334">
        <v>35.625</v>
      </c>
      <c r="MF70" s="334">
        <v>0.52</v>
      </c>
      <c r="MG70" s="334">
        <v>34.107999999999997</v>
      </c>
      <c r="MH70" s="334">
        <v>38.625</v>
      </c>
      <c r="MI70" s="334">
        <v>0.52</v>
      </c>
      <c r="MJ70" s="334">
        <v>34.107999999999997</v>
      </c>
      <c r="MK70" s="334">
        <v>38.625</v>
      </c>
      <c r="ML70" s="334">
        <v>0.51</v>
      </c>
      <c r="MM70" s="334">
        <v>34.107999999999997</v>
      </c>
      <c r="MN70" s="334">
        <v>39</v>
      </c>
      <c r="MO70" s="334">
        <v>0.51</v>
      </c>
      <c r="MP70" s="334">
        <v>34.107999999999997</v>
      </c>
      <c r="MQ70" s="334">
        <v>34.375</v>
      </c>
      <c r="MR70" s="334">
        <v>0.51</v>
      </c>
      <c r="MS70" s="334">
        <v>34.107999999999997</v>
      </c>
      <c r="MT70" s="334">
        <v>29.875</v>
      </c>
      <c r="MU70" s="334">
        <v>0.51</v>
      </c>
      <c r="MV70" s="334">
        <v>34.107999999999997</v>
      </c>
      <c r="MW70" s="334">
        <v>28.625</v>
      </c>
      <c r="MX70" s="334">
        <v>0.5</v>
      </c>
      <c r="MY70" s="334">
        <v>34.107999999999997</v>
      </c>
      <c r="MZ70" s="334">
        <v>27</v>
      </c>
      <c r="NA70" s="334">
        <v>0.5</v>
      </c>
      <c r="NB70" s="334">
        <v>34.107999999999997</v>
      </c>
      <c r="NC70" s="334">
        <v>27.125</v>
      </c>
      <c r="ND70" s="334">
        <v>0.5</v>
      </c>
      <c r="NE70" s="334">
        <v>34.107999999999997</v>
      </c>
      <c r="NF70" s="334">
        <v>25.5</v>
      </c>
      <c r="NG70" s="334">
        <v>0.5</v>
      </c>
      <c r="NH70" s="334">
        <v>34.107999999999997</v>
      </c>
      <c r="NI70" s="334">
        <v>28.125</v>
      </c>
      <c r="NJ70" s="334">
        <v>0.5</v>
      </c>
      <c r="NK70" s="334">
        <v>34.107999999999997</v>
      </c>
      <c r="NL70" s="334">
        <v>30.375</v>
      </c>
      <c r="NM70" s="334">
        <v>0.49</v>
      </c>
      <c r="NN70" s="334">
        <v>34.107999999999997</v>
      </c>
      <c r="NO70" s="334">
        <v>33.375</v>
      </c>
      <c r="NP70" s="334">
        <v>0.49</v>
      </c>
      <c r="NQ70" s="334">
        <v>34.107999999999997</v>
      </c>
      <c r="NR70" s="334">
        <v>32</v>
      </c>
      <c r="NS70" s="334">
        <v>0.49</v>
      </c>
      <c r="NT70" s="334">
        <v>34.107999999999997</v>
      </c>
      <c r="NU70" s="334">
        <v>32.75</v>
      </c>
      <c r="NV70" s="334">
        <v>0.48</v>
      </c>
      <c r="NW70" s="334">
        <v>34.107999999999997</v>
      </c>
      <c r="NX70" s="334">
        <v>30.25</v>
      </c>
      <c r="NY70" s="334">
        <v>0.68</v>
      </c>
      <c r="NZ70" s="334">
        <v>34.107999999999997</v>
      </c>
      <c r="OA70" s="334">
        <v>30.75</v>
      </c>
      <c r="OB70" s="334">
        <v>0.48</v>
      </c>
      <c r="OC70" s="334">
        <v>34.107999999999997</v>
      </c>
      <c r="OD70" s="334">
        <v>28.38</v>
      </c>
      <c r="OE70" s="334">
        <v>0.48</v>
      </c>
      <c r="OF70" s="334">
        <v>34.107999999999997</v>
      </c>
      <c r="OG70" s="334">
        <v>27.13</v>
      </c>
      <c r="OH70" s="334">
        <v>0.47</v>
      </c>
      <c r="OI70" s="334">
        <v>34.168999999999997</v>
      </c>
      <c r="OJ70" s="334">
        <v>27.88</v>
      </c>
      <c r="OK70" s="334">
        <v>0.47</v>
      </c>
      <c r="OL70" s="334">
        <v>34.171999999999997</v>
      </c>
      <c r="OM70" s="334">
        <v>26.5</v>
      </c>
      <c r="ON70" s="334">
        <v>0.47</v>
      </c>
      <c r="OO70" s="334">
        <v>34.171999999999997</v>
      </c>
      <c r="OP70" s="334">
        <v>24.63</v>
      </c>
      <c r="OQ70" s="334">
        <v>0.47</v>
      </c>
      <c r="OR70" s="334">
        <v>34.171999999999997</v>
      </c>
      <c r="OS70" s="334">
        <v>23.25</v>
      </c>
      <c r="OT70" s="334">
        <v>0.46</v>
      </c>
      <c r="OU70" s="334">
        <v>34.171999999999997</v>
      </c>
      <c r="OV70" s="334">
        <v>21.75</v>
      </c>
    </row>
    <row r="71" spans="1:412">
      <c r="A71" s="294" t="s">
        <v>75</v>
      </c>
      <c r="B71" s="335" t="s">
        <v>142</v>
      </c>
      <c r="C71" s="335">
        <v>298</v>
      </c>
      <c r="D71" s="335">
        <v>66.650000000000006</v>
      </c>
      <c r="E71" s="335">
        <v>0.51500000000000001</v>
      </c>
      <c r="F71" s="335">
        <v>297.89999999999998</v>
      </c>
      <c r="G71" s="335">
        <v>70.63</v>
      </c>
      <c r="H71" s="335">
        <v>0.51500000000000001</v>
      </c>
      <c r="I71" s="335">
        <v>296.5</v>
      </c>
      <c r="J71" s="335">
        <v>59.53</v>
      </c>
      <c r="K71" s="335">
        <v>0.51500000000000001</v>
      </c>
      <c r="L71" s="335">
        <v>292.10000000000002</v>
      </c>
      <c r="M71" s="335">
        <v>60.34</v>
      </c>
      <c r="N71" s="335">
        <v>0.51500000000000001</v>
      </c>
      <c r="O71" s="335">
        <v>291</v>
      </c>
      <c r="P71" s="335">
        <v>58.07</v>
      </c>
      <c r="Q71" s="335">
        <v>0.48749999999999999</v>
      </c>
      <c r="R71" s="340">
        <v>290.89999999999998</v>
      </c>
      <c r="S71" s="340">
        <v>53.11</v>
      </c>
      <c r="T71" s="340">
        <v>0.48749999999999999</v>
      </c>
      <c r="U71" s="340">
        <v>290.7</v>
      </c>
      <c r="V71" s="340">
        <v>58.75</v>
      </c>
      <c r="W71" s="340">
        <v>0.48749999999999999</v>
      </c>
      <c r="X71" s="340">
        <v>289.5</v>
      </c>
      <c r="Y71" s="340">
        <v>61.38</v>
      </c>
      <c r="Z71" s="340">
        <v>0.46</v>
      </c>
      <c r="AA71" s="340">
        <v>289.60000000000002</v>
      </c>
      <c r="AB71" s="340">
        <v>63.33</v>
      </c>
      <c r="AC71" s="340">
        <v>0.46</v>
      </c>
      <c r="AD71" s="340">
        <v>289.5</v>
      </c>
      <c r="AE71" s="340">
        <v>58.24</v>
      </c>
      <c r="AF71" s="340">
        <v>0.46</v>
      </c>
      <c r="AG71" s="340">
        <v>289.3</v>
      </c>
      <c r="AH71" s="340">
        <v>67.5</v>
      </c>
      <c r="AI71" s="340">
        <v>0.46</v>
      </c>
      <c r="AJ71" s="340">
        <v>289</v>
      </c>
      <c r="AK71" s="340">
        <v>69.94</v>
      </c>
      <c r="AL71" s="340">
        <v>0.46</v>
      </c>
      <c r="AM71" s="340">
        <v>289.10000000000002</v>
      </c>
      <c r="AN71" s="340">
        <v>65.05</v>
      </c>
      <c r="AO71" s="340">
        <v>0.435</v>
      </c>
      <c r="AP71" s="340">
        <v>289</v>
      </c>
      <c r="AQ71" s="340">
        <v>59.73</v>
      </c>
      <c r="AR71" s="340">
        <v>0.435</v>
      </c>
      <c r="AS71" s="340">
        <v>288.60000000000002</v>
      </c>
      <c r="AT71" s="340">
        <v>59.08</v>
      </c>
      <c r="AU71" s="340">
        <v>0.435</v>
      </c>
      <c r="AV71" s="340">
        <v>285</v>
      </c>
      <c r="AW71" s="340">
        <v>61.22</v>
      </c>
      <c r="AX71" s="340">
        <v>0.435</v>
      </c>
      <c r="AY71" s="503">
        <v>285.60000000000002</v>
      </c>
      <c r="AZ71" s="503">
        <v>61.01</v>
      </c>
      <c r="BA71" s="503">
        <v>0.40749999999999997</v>
      </c>
      <c r="BB71" s="504">
        <v>285.5</v>
      </c>
      <c r="BC71" s="504">
        <v>61.41</v>
      </c>
      <c r="BD71" s="504">
        <v>0.40749999999999997</v>
      </c>
      <c r="BE71" s="504">
        <v>283.3</v>
      </c>
      <c r="BF71" s="504">
        <v>58.42</v>
      </c>
      <c r="BG71" s="504">
        <v>0.40749999999999997</v>
      </c>
      <c r="BH71" s="504">
        <v>283</v>
      </c>
      <c r="BI71" s="504">
        <v>58.75</v>
      </c>
      <c r="BJ71" s="518">
        <v>0.40749999999999997</v>
      </c>
      <c r="BK71" s="504">
        <v>283</v>
      </c>
      <c r="BL71" s="504">
        <v>62.84</v>
      </c>
      <c r="BM71" s="504">
        <v>0.38250000000000001</v>
      </c>
      <c r="BN71" s="504">
        <v>282.89999999999998</v>
      </c>
      <c r="BO71" s="504">
        <v>63.95</v>
      </c>
      <c r="BP71" s="504">
        <v>0.38250000000000001</v>
      </c>
      <c r="BQ71" s="504">
        <v>282.8</v>
      </c>
      <c r="BR71" s="504">
        <v>57.91</v>
      </c>
      <c r="BS71" s="504">
        <v>0.38250000000000001</v>
      </c>
      <c r="BT71" s="504">
        <v>282.17099999999999</v>
      </c>
      <c r="BU71" s="504">
        <v>55.54</v>
      </c>
      <c r="BV71" s="507">
        <v>0.38250000000000001</v>
      </c>
      <c r="BW71" s="504">
        <v>282.5</v>
      </c>
      <c r="BX71" s="504">
        <v>49.65</v>
      </c>
      <c r="BY71" s="504">
        <v>0.35749999999999998</v>
      </c>
      <c r="BZ71" s="504">
        <v>282.10000000000002</v>
      </c>
      <c r="CA71" s="504">
        <v>49</v>
      </c>
      <c r="CB71" s="504">
        <v>0.35749999999999998</v>
      </c>
      <c r="CC71" s="503">
        <v>281.5</v>
      </c>
      <c r="CD71" s="503">
        <v>47.28</v>
      </c>
      <c r="CE71" s="503">
        <v>0.35749999999999998</v>
      </c>
      <c r="CF71" s="503">
        <v>280.8</v>
      </c>
      <c r="CG71" s="503">
        <v>45.29</v>
      </c>
      <c r="CH71" s="508">
        <v>0.35749999999999998</v>
      </c>
      <c r="CI71" s="503">
        <v>280.8</v>
      </c>
      <c r="CJ71" s="503">
        <v>47.3</v>
      </c>
      <c r="CK71" s="503">
        <v>0.33250000000000002</v>
      </c>
      <c r="CL71" s="503">
        <v>279.5</v>
      </c>
      <c r="CM71" s="503">
        <v>46.32</v>
      </c>
      <c r="CN71" s="503">
        <v>0.33250000000000002</v>
      </c>
      <c r="CO71" s="503">
        <v>278.89999999999998</v>
      </c>
      <c r="CP71" s="503">
        <v>46.25</v>
      </c>
      <c r="CQ71" s="503">
        <v>0.33250000000000002</v>
      </c>
      <c r="CR71" s="504">
        <v>277.851</v>
      </c>
      <c r="CS71" s="504">
        <v>44.74</v>
      </c>
      <c r="CT71" s="514">
        <v>0.33250000000000002</v>
      </c>
      <c r="CU71" s="503">
        <v>278.2</v>
      </c>
      <c r="CV71" s="503">
        <v>41.62</v>
      </c>
      <c r="CW71" s="503">
        <v>0.31</v>
      </c>
      <c r="CX71" s="339">
        <v>278.2</v>
      </c>
      <c r="CY71" s="339">
        <v>42.01</v>
      </c>
      <c r="CZ71" s="339">
        <v>0.31</v>
      </c>
      <c r="DA71" s="339">
        <v>276.7</v>
      </c>
      <c r="DB71" s="339">
        <v>45.86</v>
      </c>
      <c r="DC71" s="339">
        <v>0.31</v>
      </c>
      <c r="DD71" s="339">
        <v>275.60000000000002</v>
      </c>
      <c r="DE71" s="339">
        <v>42.44</v>
      </c>
      <c r="DF71" s="511">
        <v>0.31</v>
      </c>
      <c r="DG71" s="339">
        <v>276</v>
      </c>
      <c r="DH71" s="339">
        <v>36.08</v>
      </c>
      <c r="DI71" s="339">
        <v>0.28999999999999998</v>
      </c>
      <c r="DJ71" s="339">
        <v>275.39999999999998</v>
      </c>
      <c r="DK71" s="339">
        <v>35.32</v>
      </c>
      <c r="DL71" s="339">
        <v>0.28999999999999998</v>
      </c>
      <c r="DM71" s="339">
        <v>274.8</v>
      </c>
      <c r="DN71" s="339">
        <v>31.84</v>
      </c>
      <c r="DO71" s="339">
        <v>0.28999999999999998</v>
      </c>
      <c r="DP71" s="340">
        <v>274.10000000000002</v>
      </c>
      <c r="DQ71" s="340">
        <v>34.909999999999997</v>
      </c>
      <c r="DR71" s="515">
        <v>0.28999999999999998</v>
      </c>
      <c r="DS71" s="339">
        <v>274</v>
      </c>
      <c r="DT71" s="339">
        <v>34.75</v>
      </c>
      <c r="DU71" s="339">
        <v>0.27</v>
      </c>
      <c r="DV71" s="339">
        <v>268</v>
      </c>
      <c r="DW71" s="339">
        <v>29.66</v>
      </c>
      <c r="DX71" s="339">
        <v>0.27</v>
      </c>
      <c r="DY71" s="339">
        <v>266.10000000000002</v>
      </c>
      <c r="DZ71" s="339">
        <v>31.15</v>
      </c>
      <c r="EA71" s="339">
        <v>0.27</v>
      </c>
      <c r="EB71" s="340">
        <v>264.51100000000002</v>
      </c>
      <c r="EC71" s="340">
        <v>29.28</v>
      </c>
      <c r="ED71" s="515">
        <v>0.27</v>
      </c>
      <c r="EE71" s="339">
        <v>264.8</v>
      </c>
      <c r="EF71" s="339">
        <v>26.77</v>
      </c>
      <c r="EG71" s="339">
        <v>0.255</v>
      </c>
      <c r="EH71" s="339">
        <v>264.5</v>
      </c>
      <c r="EI71" s="339">
        <v>26.32</v>
      </c>
      <c r="EJ71" s="339">
        <v>0.255</v>
      </c>
      <c r="EK71" s="339">
        <v>263.60000000000002</v>
      </c>
      <c r="EL71" s="339">
        <v>27.17</v>
      </c>
      <c r="EM71" s="339">
        <v>0.255</v>
      </c>
      <c r="EN71" s="340">
        <v>260.678</v>
      </c>
      <c r="EO71" s="340">
        <v>27.94</v>
      </c>
      <c r="EP71" s="515">
        <v>0.255</v>
      </c>
      <c r="EQ71" s="339">
        <v>262.89999999999998</v>
      </c>
      <c r="ER71" s="339">
        <v>24.38</v>
      </c>
      <c r="ES71" s="339">
        <v>0.24</v>
      </c>
      <c r="ET71" s="339">
        <v>261.2</v>
      </c>
      <c r="EU71" s="339">
        <v>23.55</v>
      </c>
      <c r="EV71" s="339">
        <v>0.24</v>
      </c>
      <c r="EW71" s="339">
        <v>255.6</v>
      </c>
      <c r="EX71" s="339">
        <v>23.5</v>
      </c>
      <c r="EY71" s="339">
        <v>0.24</v>
      </c>
      <c r="EZ71" s="340">
        <v>250.82400000000001</v>
      </c>
      <c r="FA71" s="340">
        <v>22</v>
      </c>
      <c r="FB71" s="515">
        <v>0.24</v>
      </c>
      <c r="FC71" s="339">
        <v>251.3</v>
      </c>
      <c r="FD71" s="339">
        <v>22.11</v>
      </c>
      <c r="FE71" s="339">
        <v>0.21</v>
      </c>
      <c r="FF71" s="339">
        <v>250.3</v>
      </c>
      <c r="FG71" s="339">
        <v>19.79</v>
      </c>
      <c r="FH71" s="339">
        <v>0.21</v>
      </c>
      <c r="FI71" s="339">
        <v>250</v>
      </c>
      <c r="FJ71" s="339">
        <v>19.690000000000001</v>
      </c>
      <c r="FK71" s="339">
        <v>0.21</v>
      </c>
      <c r="FL71" s="339">
        <v>240.7</v>
      </c>
      <c r="FM71" s="339">
        <v>19.64</v>
      </c>
      <c r="FN71" s="339">
        <v>0.21</v>
      </c>
      <c r="FO71" s="339">
        <v>229</v>
      </c>
      <c r="FP71" s="339">
        <v>18.600000000000001</v>
      </c>
      <c r="FQ71" s="339">
        <v>0.21</v>
      </c>
      <c r="FR71" s="339">
        <v>228.2</v>
      </c>
      <c r="FS71" s="339">
        <v>18.02</v>
      </c>
      <c r="FT71" s="339">
        <v>0.21</v>
      </c>
      <c r="FU71" s="339">
        <v>228</v>
      </c>
      <c r="FV71" s="339">
        <v>14.65</v>
      </c>
      <c r="FW71" s="339">
        <v>0.15</v>
      </c>
      <c r="FX71" s="339">
        <v>228</v>
      </c>
      <c r="FY71" s="339">
        <v>15.46</v>
      </c>
      <c r="FZ71" s="339">
        <v>0.15</v>
      </c>
      <c r="GA71" s="339">
        <v>227.3</v>
      </c>
      <c r="GB71" s="339">
        <v>15.66</v>
      </c>
      <c r="GC71" s="339">
        <v>0.125</v>
      </c>
      <c r="GD71" s="339">
        <v>226.9</v>
      </c>
      <c r="GE71" s="339">
        <v>13.4</v>
      </c>
      <c r="GF71" s="339">
        <v>0.125</v>
      </c>
      <c r="GG71" s="339">
        <v>226.6</v>
      </c>
      <c r="GH71" s="339">
        <v>12.08</v>
      </c>
      <c r="GI71" s="339">
        <v>0.125</v>
      </c>
      <c r="GJ71" s="339">
        <v>224</v>
      </c>
      <c r="GK71" s="339">
        <v>11.84</v>
      </c>
      <c r="GL71" s="339">
        <v>0.125</v>
      </c>
      <c r="GM71" s="339">
        <v>224.1</v>
      </c>
      <c r="GN71" s="339">
        <v>10.11</v>
      </c>
      <c r="GO71" s="339">
        <v>0.09</v>
      </c>
      <c r="GP71" s="339">
        <v>223.7</v>
      </c>
      <c r="GQ71" s="339">
        <v>12.47</v>
      </c>
      <c r="GR71" s="339">
        <v>0.09</v>
      </c>
      <c r="GS71" s="339">
        <v>223.5</v>
      </c>
      <c r="GT71" s="339">
        <v>14.9</v>
      </c>
      <c r="GU71" s="339">
        <v>0.09</v>
      </c>
      <c r="GV71" s="339">
        <v>222.6</v>
      </c>
      <c r="GW71" s="339">
        <v>13.54</v>
      </c>
      <c r="GX71" s="339">
        <v>0.09</v>
      </c>
      <c r="GY71" s="339">
        <v>223</v>
      </c>
      <c r="GZ71" s="339">
        <v>17.38</v>
      </c>
      <c r="HA71" s="339">
        <v>0.05</v>
      </c>
      <c r="HB71" s="339">
        <v>222.6</v>
      </c>
      <c r="HC71" s="339">
        <v>16.82</v>
      </c>
      <c r="HD71" s="339">
        <v>0.05</v>
      </c>
      <c r="HE71" s="339">
        <v>221.5</v>
      </c>
      <c r="HF71" s="339">
        <v>17.2</v>
      </c>
      <c r="HG71" s="339">
        <v>0.05</v>
      </c>
      <c r="HH71" s="339">
        <v>219.857</v>
      </c>
      <c r="HI71" s="505">
        <v>17.8</v>
      </c>
      <c r="HJ71" s="339">
        <v>0.05</v>
      </c>
      <c r="HK71" s="339">
        <v>220.1</v>
      </c>
      <c r="HL71" s="339">
        <v>16.7</v>
      </c>
      <c r="HM71" s="339">
        <v>0</v>
      </c>
      <c r="HN71" s="339">
        <v>219.6</v>
      </c>
      <c r="HO71" s="339">
        <v>14.44</v>
      </c>
      <c r="HP71" s="339">
        <v>0</v>
      </c>
      <c r="HQ71" s="339">
        <v>219.1</v>
      </c>
      <c r="HR71" s="339">
        <v>12.94</v>
      </c>
      <c r="HS71" s="339">
        <v>0</v>
      </c>
      <c r="HT71" s="339">
        <v>218.5</v>
      </c>
      <c r="HU71" s="339">
        <v>12.95</v>
      </c>
      <c r="HV71" s="339">
        <v>0</v>
      </c>
      <c r="HW71" s="339">
        <v>219.6</v>
      </c>
      <c r="HX71" s="506">
        <v>14.51</v>
      </c>
      <c r="HY71" s="513">
        <v>0</v>
      </c>
      <c r="HZ71" s="339">
        <v>217.9</v>
      </c>
      <c r="IA71" s="339">
        <v>16.45</v>
      </c>
      <c r="IB71" s="339">
        <v>0</v>
      </c>
      <c r="IC71" s="339">
        <v>195.3</v>
      </c>
      <c r="ID71" s="339">
        <v>15.06</v>
      </c>
      <c r="IE71" s="339">
        <v>0</v>
      </c>
      <c r="IF71" s="339">
        <v>161.5</v>
      </c>
      <c r="IG71" s="339">
        <v>13.04</v>
      </c>
      <c r="IH71" s="339">
        <v>0</v>
      </c>
      <c r="II71" s="339">
        <v>161.5</v>
      </c>
      <c r="IJ71" s="505">
        <v>10.45</v>
      </c>
      <c r="IK71" s="339">
        <v>0</v>
      </c>
      <c r="IL71" s="339">
        <v>161.19999999999999</v>
      </c>
      <c r="IM71" s="339">
        <v>9.52</v>
      </c>
      <c r="IN71" s="339">
        <v>0</v>
      </c>
      <c r="IO71" s="339">
        <v>161.1</v>
      </c>
      <c r="IP71" s="339">
        <v>9.1300000000000008</v>
      </c>
      <c r="IQ71" s="339">
        <v>0</v>
      </c>
      <c r="IR71" s="339">
        <v>152.19999999999999</v>
      </c>
      <c r="IS71" s="339">
        <v>8.9499999999999993</v>
      </c>
      <c r="IT71" s="339">
        <v>0</v>
      </c>
      <c r="IU71" s="339">
        <v>152.19999999999999</v>
      </c>
      <c r="IV71" s="339">
        <v>8.52</v>
      </c>
      <c r="IW71" s="339">
        <v>0</v>
      </c>
      <c r="IX71" s="339">
        <v>144</v>
      </c>
      <c r="IY71" s="339">
        <v>7.37</v>
      </c>
      <c r="IZ71" s="339">
        <v>0</v>
      </c>
      <c r="JA71" s="339">
        <v>144.1</v>
      </c>
      <c r="JB71" s="339">
        <v>8.1</v>
      </c>
      <c r="JC71" s="339">
        <v>0</v>
      </c>
      <c r="JD71" s="339">
        <v>143.9</v>
      </c>
      <c r="JE71" s="339">
        <v>4.41</v>
      </c>
      <c r="JF71" s="339">
        <v>0</v>
      </c>
      <c r="JG71" s="339">
        <v>143.9</v>
      </c>
      <c r="JH71" s="339">
        <v>9.44</v>
      </c>
      <c r="JI71" s="339">
        <v>0.18</v>
      </c>
      <c r="JJ71" s="339">
        <v>134.69999999999999</v>
      </c>
      <c r="JK71" s="339">
        <v>8.06</v>
      </c>
      <c r="JL71" s="339">
        <v>0.18</v>
      </c>
      <c r="JM71" s="339">
        <v>133.30000000000001</v>
      </c>
      <c r="JN71" s="339">
        <v>10.98</v>
      </c>
      <c r="JO71" s="339">
        <v>0.36499999999999999</v>
      </c>
      <c r="JP71" s="339">
        <v>131</v>
      </c>
      <c r="JQ71" s="339">
        <v>22.63</v>
      </c>
      <c r="JR71" s="339">
        <v>0.36499999999999999</v>
      </c>
      <c r="JS71" s="339">
        <v>133</v>
      </c>
      <c r="JT71" s="339">
        <v>24.03</v>
      </c>
      <c r="JU71" s="339">
        <v>0.36499999999999999</v>
      </c>
      <c r="JV71" s="339">
        <v>132</v>
      </c>
      <c r="JW71" s="339">
        <v>20</v>
      </c>
      <c r="JX71" s="339">
        <v>0.36499999999999999</v>
      </c>
      <c r="JY71" s="339">
        <v>132</v>
      </c>
      <c r="JZ71" s="339">
        <v>27.85</v>
      </c>
      <c r="KA71" s="339">
        <v>0.36499999999999999</v>
      </c>
      <c r="KB71" s="339">
        <v>119</v>
      </c>
      <c r="KC71" s="339">
        <v>29.59</v>
      </c>
      <c r="KD71" s="339">
        <v>0.36499999999999999</v>
      </c>
      <c r="KE71" s="339">
        <v>110</v>
      </c>
      <c r="KF71" s="339">
        <v>31.6875</v>
      </c>
      <c r="KG71" s="339">
        <v>0.36499999999999999</v>
      </c>
      <c r="KH71" s="339">
        <v>110</v>
      </c>
      <c r="KI71" s="339">
        <v>26.9375</v>
      </c>
      <c r="KJ71" s="339">
        <v>0.36499999999999999</v>
      </c>
      <c r="KK71" s="339">
        <v>113</v>
      </c>
      <c r="KL71" s="339">
        <v>22.125</v>
      </c>
      <c r="KM71" s="339">
        <v>0.36499999999999999</v>
      </c>
      <c r="KN71" s="339">
        <v>110</v>
      </c>
      <c r="KO71" s="339">
        <v>18.125</v>
      </c>
      <c r="KP71" s="339">
        <v>0.36499999999999999</v>
      </c>
      <c r="KQ71" s="339">
        <v>109</v>
      </c>
      <c r="KR71" s="339">
        <v>31.1875</v>
      </c>
      <c r="KS71" s="339">
        <v>0.36499999999999999</v>
      </c>
      <c r="KT71" s="339">
        <v>108</v>
      </c>
      <c r="KU71" s="339">
        <v>33.9375</v>
      </c>
      <c r="KV71" s="339">
        <v>0.36499999999999999</v>
      </c>
      <c r="KW71" s="334">
        <v>102.4</v>
      </c>
      <c r="KX71" s="334">
        <v>41.875</v>
      </c>
      <c r="KY71" s="334">
        <v>0.33</v>
      </c>
      <c r="KZ71" s="334">
        <v>102</v>
      </c>
      <c r="LA71" s="334">
        <v>40.25</v>
      </c>
      <c r="LB71" s="334">
        <v>0.33</v>
      </c>
      <c r="LC71" s="334">
        <v>102</v>
      </c>
      <c r="LD71" s="334">
        <v>48.438000000000002</v>
      </c>
      <c r="LE71" s="334">
        <v>0.33</v>
      </c>
      <c r="LF71" s="334">
        <v>101</v>
      </c>
      <c r="LG71" s="334">
        <v>43.563000000000002</v>
      </c>
      <c r="LH71" s="334">
        <v>0.33</v>
      </c>
      <c r="LI71" s="334">
        <v>101</v>
      </c>
      <c r="LJ71" s="334">
        <v>44</v>
      </c>
      <c r="LK71" s="334">
        <v>0.3</v>
      </c>
      <c r="LL71" s="334">
        <v>96</v>
      </c>
      <c r="LM71" s="334">
        <v>46.9375</v>
      </c>
      <c r="LN71" s="334">
        <v>0.3</v>
      </c>
      <c r="LO71" s="334">
        <v>96</v>
      </c>
      <c r="LP71" s="334">
        <v>44.0625</v>
      </c>
      <c r="LQ71" s="334">
        <v>0.3</v>
      </c>
      <c r="LR71" s="334">
        <v>88</v>
      </c>
      <c r="LS71" s="334">
        <v>37</v>
      </c>
      <c r="LT71" s="334">
        <v>0.3</v>
      </c>
      <c r="LU71" s="334">
        <v>88</v>
      </c>
      <c r="LV71" s="334">
        <v>35.25</v>
      </c>
      <c r="LW71" s="334">
        <v>0.3</v>
      </c>
      <c r="LX71" s="334">
        <v>88</v>
      </c>
      <c r="LY71" s="334">
        <v>32.875</v>
      </c>
      <c r="LZ71" s="334">
        <v>0.27</v>
      </c>
      <c r="MA71" s="334">
        <v>92</v>
      </c>
      <c r="MB71" s="334">
        <v>33.625</v>
      </c>
      <c r="MC71" s="334">
        <v>0.27</v>
      </c>
      <c r="MD71" s="334">
        <v>88</v>
      </c>
      <c r="ME71" s="334">
        <v>30.125</v>
      </c>
      <c r="MF71" s="334">
        <v>0.27</v>
      </c>
      <c r="MG71" s="334">
        <v>88</v>
      </c>
      <c r="MH71" s="334">
        <v>30.875</v>
      </c>
      <c r="MI71" s="334">
        <v>0.27</v>
      </c>
      <c r="MJ71" s="334">
        <v>88</v>
      </c>
      <c r="MK71" s="334">
        <v>29.5</v>
      </c>
      <c r="ML71" s="334">
        <v>0.24</v>
      </c>
      <c r="MM71" s="334">
        <v>88</v>
      </c>
      <c r="MN71" s="334">
        <v>29.875</v>
      </c>
      <c r="MO71" s="334">
        <v>0.24</v>
      </c>
      <c r="MP71" s="334">
        <v>80.3</v>
      </c>
      <c r="MQ71" s="334">
        <v>26.25</v>
      </c>
      <c r="MR71" s="334">
        <v>0.24</v>
      </c>
      <c r="MS71" s="334">
        <v>80.3</v>
      </c>
      <c r="MT71" s="334">
        <v>24.5</v>
      </c>
      <c r="MU71" s="334">
        <v>0.24</v>
      </c>
      <c r="MV71" s="334">
        <v>80.3</v>
      </c>
      <c r="MW71" s="334">
        <v>23.375</v>
      </c>
      <c r="MX71" s="334">
        <v>0.21</v>
      </c>
      <c r="MY71" s="334">
        <v>80.3</v>
      </c>
      <c r="MZ71" s="334">
        <v>22.875</v>
      </c>
      <c r="NA71" s="334">
        <v>0.21</v>
      </c>
      <c r="NB71" s="334">
        <v>80.3</v>
      </c>
      <c r="NC71" s="334">
        <v>21.75</v>
      </c>
      <c r="ND71" s="334">
        <v>0.21</v>
      </c>
      <c r="NE71" s="334">
        <v>80.3</v>
      </c>
      <c r="NF71" s="334">
        <v>20.875</v>
      </c>
      <c r="NG71" s="334">
        <v>0.21</v>
      </c>
      <c r="NH71" s="334">
        <v>80.3</v>
      </c>
      <c r="NI71" s="334">
        <v>22.5</v>
      </c>
      <c r="NJ71" s="334">
        <v>0.21</v>
      </c>
      <c r="NK71" s="334">
        <v>80.3</v>
      </c>
      <c r="NL71" s="334">
        <v>25.125</v>
      </c>
      <c r="NM71" s="334">
        <v>0.18</v>
      </c>
      <c r="NN71" s="334">
        <v>80.3</v>
      </c>
      <c r="NO71" s="334">
        <v>26.5</v>
      </c>
      <c r="NP71" s="334">
        <v>0.18</v>
      </c>
      <c r="NQ71" s="334">
        <v>80.099999999999994</v>
      </c>
      <c r="NR71" s="334">
        <v>24.875</v>
      </c>
      <c r="NS71" s="334">
        <v>0.12</v>
      </c>
      <c r="NT71" s="334">
        <v>79.971000000000004</v>
      </c>
      <c r="NU71" s="334">
        <v>19.75</v>
      </c>
      <c r="NV71" s="334">
        <v>0.12</v>
      </c>
      <c r="NW71" s="334">
        <v>79.805999999999997</v>
      </c>
      <c r="NX71" s="334">
        <v>18.38</v>
      </c>
      <c r="NY71" s="334">
        <v>0.12</v>
      </c>
      <c r="NZ71" s="334">
        <v>79.805999999999997</v>
      </c>
      <c r="OA71" s="334">
        <v>17.38</v>
      </c>
      <c r="OB71" s="334">
        <v>0.12</v>
      </c>
      <c r="OC71" s="334">
        <v>79.81</v>
      </c>
      <c r="OD71" s="334">
        <v>15.88</v>
      </c>
      <c r="OE71" s="334">
        <v>0.12</v>
      </c>
      <c r="OF71" s="334">
        <v>79.819000000000003</v>
      </c>
      <c r="OG71" s="334">
        <v>21.13</v>
      </c>
      <c r="OH71" s="334">
        <v>0.12</v>
      </c>
      <c r="OI71" s="334">
        <v>79.988</v>
      </c>
      <c r="OJ71" s="334">
        <v>18.38</v>
      </c>
      <c r="OK71" s="334">
        <v>0.12</v>
      </c>
      <c r="OL71" s="334">
        <v>80.046000000000006</v>
      </c>
      <c r="OM71" s="334">
        <v>19</v>
      </c>
      <c r="ON71" s="334">
        <v>0.12</v>
      </c>
      <c r="OO71" s="334">
        <v>80.183999999999997</v>
      </c>
      <c r="OP71" s="334">
        <v>25.38</v>
      </c>
      <c r="OQ71" s="334">
        <v>0.12</v>
      </c>
      <c r="OR71" s="334">
        <v>80.486000000000004</v>
      </c>
      <c r="OS71" s="334">
        <v>30</v>
      </c>
      <c r="OT71" s="334">
        <v>0.12</v>
      </c>
      <c r="OU71" s="334">
        <v>81.338999999999999</v>
      </c>
      <c r="OV71" s="334">
        <v>27.88</v>
      </c>
    </row>
    <row r="72" spans="1:412">
      <c r="B72" s="333" t="s">
        <v>143</v>
      </c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  <c r="AU72" s="339"/>
      <c r="AV72" s="339"/>
      <c r="AW72" s="339"/>
      <c r="AX72" s="339"/>
      <c r="AY72" s="503"/>
      <c r="AZ72" s="503"/>
      <c r="BA72" s="503"/>
      <c r="BB72" s="503"/>
      <c r="BC72" s="503"/>
      <c r="BD72" s="503"/>
      <c r="BE72" s="503"/>
      <c r="BF72" s="503"/>
      <c r="BG72" s="503"/>
      <c r="BH72" s="503"/>
      <c r="BI72" s="503"/>
      <c r="BJ72" s="503"/>
      <c r="BK72" s="503"/>
      <c r="BL72" s="503"/>
      <c r="BM72" s="503"/>
      <c r="BN72" s="503"/>
      <c r="BO72" s="503"/>
      <c r="BP72" s="503"/>
      <c r="BQ72" s="504"/>
      <c r="BR72" s="504"/>
      <c r="BS72" s="504"/>
      <c r="BT72" s="504"/>
      <c r="BU72" s="504"/>
      <c r="BV72" s="504"/>
      <c r="BW72" s="504"/>
      <c r="BX72" s="504"/>
      <c r="BY72" s="504"/>
      <c r="BZ72" s="503"/>
      <c r="CA72" s="503"/>
      <c r="CB72" s="503"/>
      <c r="CC72" s="503"/>
      <c r="CD72" s="503"/>
      <c r="CE72" s="503"/>
      <c r="CF72" s="503"/>
      <c r="CG72" s="503"/>
      <c r="CH72" s="503"/>
      <c r="CI72" s="503"/>
      <c r="CJ72" s="503"/>
      <c r="CK72" s="503"/>
      <c r="CL72" s="503"/>
      <c r="CM72" s="503"/>
      <c r="CN72" s="503"/>
      <c r="CO72" s="503"/>
      <c r="CP72" s="503"/>
      <c r="CQ72" s="503"/>
      <c r="CR72" s="504"/>
      <c r="CS72" s="504"/>
      <c r="CT72" s="504"/>
      <c r="CU72" s="503"/>
      <c r="CV72" s="503"/>
      <c r="CW72" s="503"/>
      <c r="CX72" s="339"/>
      <c r="CY72" s="339"/>
      <c r="CZ72" s="339"/>
      <c r="DA72" s="339"/>
      <c r="DB72" s="339"/>
      <c r="DC72" s="339"/>
      <c r="DD72" s="339"/>
      <c r="DE72" s="339"/>
      <c r="DF72" s="339"/>
      <c r="DG72" s="339"/>
      <c r="DH72" s="339"/>
      <c r="DI72" s="339"/>
      <c r="DJ72" s="339"/>
      <c r="DK72" s="339"/>
      <c r="DL72" s="339"/>
      <c r="DM72" s="339"/>
      <c r="DN72" s="339"/>
      <c r="DO72" s="339"/>
      <c r="DP72" s="339"/>
      <c r="DQ72" s="339"/>
      <c r="DR72" s="339"/>
      <c r="DS72" s="339"/>
      <c r="DT72" s="339"/>
      <c r="DU72" s="339"/>
      <c r="DV72" s="339"/>
      <c r="DW72" s="339"/>
      <c r="DX72" s="339"/>
      <c r="DY72" s="339"/>
      <c r="DZ72" s="339"/>
      <c r="EA72" s="339"/>
      <c r="EB72" s="340"/>
      <c r="EC72" s="340"/>
      <c r="ED72" s="340"/>
      <c r="EE72" s="339"/>
      <c r="EF72" s="339"/>
      <c r="EG72" s="339"/>
      <c r="EH72" s="339"/>
      <c r="EI72" s="339"/>
      <c r="EJ72" s="339"/>
      <c r="EK72" s="339"/>
      <c r="EL72" s="339"/>
      <c r="EM72" s="339"/>
      <c r="EN72" s="340">
        <v>14.909000000000001</v>
      </c>
      <c r="EO72" s="340">
        <v>65.39</v>
      </c>
      <c r="EP72" s="340">
        <v>0.55500000000000005</v>
      </c>
      <c r="EQ72" s="339">
        <v>14.92</v>
      </c>
      <c r="ER72" s="339">
        <v>65.22</v>
      </c>
      <c r="ES72" s="339">
        <v>0.55500000000000005</v>
      </c>
      <c r="ET72" s="339">
        <v>14.906000000000001</v>
      </c>
      <c r="EU72" s="339">
        <v>65.209999999999994</v>
      </c>
      <c r="EV72" s="339">
        <v>0.55500000000000005</v>
      </c>
      <c r="EW72" s="339">
        <v>14.882</v>
      </c>
      <c r="EX72" s="339">
        <v>65.69</v>
      </c>
      <c r="EY72" s="339">
        <v>0.55500000000000005</v>
      </c>
      <c r="EZ72" s="340">
        <v>15.278</v>
      </c>
      <c r="FA72" s="340">
        <v>66.73</v>
      </c>
      <c r="FB72" s="340">
        <v>0.55500000000000005</v>
      </c>
      <c r="FC72" s="339">
        <v>15.125999999999999</v>
      </c>
      <c r="FD72" s="339">
        <v>58.38</v>
      </c>
      <c r="FE72" s="339">
        <v>0.55500000000000005</v>
      </c>
      <c r="FF72" s="339">
        <v>15.476000000000001</v>
      </c>
      <c r="FG72" s="339">
        <v>52.17</v>
      </c>
      <c r="FH72" s="511">
        <v>0.55500000000000005</v>
      </c>
      <c r="FI72" s="339">
        <v>15.645</v>
      </c>
      <c r="FJ72" s="339">
        <v>53.26</v>
      </c>
      <c r="FK72" s="339">
        <v>0.54</v>
      </c>
      <c r="FL72" s="339">
        <v>15.791</v>
      </c>
      <c r="FM72" s="339">
        <v>50.54</v>
      </c>
      <c r="FN72" s="339">
        <v>0.54</v>
      </c>
      <c r="FO72" s="339">
        <v>15.79</v>
      </c>
      <c r="FP72" s="339">
        <v>48.89</v>
      </c>
      <c r="FQ72" s="339">
        <v>0.54</v>
      </c>
      <c r="FR72" s="339">
        <v>15.782</v>
      </c>
      <c r="FS72" s="339">
        <v>44.16</v>
      </c>
      <c r="FT72" s="339">
        <v>0.54</v>
      </c>
      <c r="FU72" s="339">
        <v>15.778</v>
      </c>
      <c r="FV72" s="339">
        <v>39.24</v>
      </c>
      <c r="FW72" s="339">
        <v>0.54</v>
      </c>
      <c r="FX72" s="339">
        <v>15.8</v>
      </c>
      <c r="FY72" s="339">
        <v>40.840000000000003</v>
      </c>
      <c r="FZ72" s="339">
        <v>0.54</v>
      </c>
      <c r="GA72" s="339">
        <v>15.776</v>
      </c>
      <c r="GB72" s="339">
        <v>42.52</v>
      </c>
      <c r="GC72" s="339">
        <v>0.54</v>
      </c>
      <c r="GD72" s="339">
        <v>15.773999999999999</v>
      </c>
      <c r="GE72" s="339">
        <v>44.31</v>
      </c>
      <c r="GF72" s="339">
        <v>0.54</v>
      </c>
      <c r="GG72" s="339">
        <v>15.771000000000001</v>
      </c>
      <c r="GH72" s="339">
        <v>46.7</v>
      </c>
      <c r="GI72" s="339">
        <v>0.54</v>
      </c>
      <c r="GJ72" s="339">
        <v>15.77</v>
      </c>
      <c r="GK72" s="339">
        <v>46.9</v>
      </c>
      <c r="GL72" s="339">
        <v>0.54</v>
      </c>
      <c r="GM72" s="339">
        <v>15.771000000000001</v>
      </c>
      <c r="GN72" s="339">
        <v>51.39</v>
      </c>
      <c r="GO72" s="339">
        <v>0.54</v>
      </c>
      <c r="GP72" s="339">
        <v>15.768000000000001</v>
      </c>
      <c r="GQ72" s="339">
        <v>43.57</v>
      </c>
      <c r="GR72" s="339">
        <v>0.54</v>
      </c>
      <c r="GS72" s="339">
        <v>15.762</v>
      </c>
      <c r="GT72" s="339">
        <v>35.57</v>
      </c>
      <c r="GU72" s="339">
        <v>0.54</v>
      </c>
      <c r="GV72" s="339">
        <v>15.762</v>
      </c>
      <c r="GW72" s="339">
        <v>38.9</v>
      </c>
      <c r="GX72" s="339">
        <v>0.54</v>
      </c>
      <c r="GY72" s="339">
        <v>15.762</v>
      </c>
      <c r="GZ72" s="339">
        <v>44.54</v>
      </c>
      <c r="HA72" s="339">
        <v>0.54</v>
      </c>
      <c r="HB72" s="339">
        <v>15.762</v>
      </c>
      <c r="HC72" s="339">
        <v>47.8</v>
      </c>
      <c r="HD72" s="339">
        <v>0.54</v>
      </c>
      <c r="HE72" s="339">
        <v>15.762</v>
      </c>
      <c r="HF72" s="339">
        <v>44.97</v>
      </c>
      <c r="HG72" s="339">
        <v>0.54</v>
      </c>
      <c r="HH72" s="339">
        <v>15.762</v>
      </c>
      <c r="HI72" s="505">
        <v>48.69</v>
      </c>
      <c r="HJ72" s="339">
        <v>0.54</v>
      </c>
      <c r="HK72" s="339">
        <v>15.762</v>
      </c>
      <c r="HL72" s="339">
        <v>52.8</v>
      </c>
      <c r="HM72" s="339">
        <v>0.54</v>
      </c>
      <c r="HN72" s="339">
        <v>15.762</v>
      </c>
      <c r="HO72" s="339">
        <v>51.47</v>
      </c>
      <c r="HP72" s="339">
        <v>0.54</v>
      </c>
      <c r="HQ72" s="339">
        <v>15.762</v>
      </c>
      <c r="HR72" s="339">
        <v>48</v>
      </c>
      <c r="HS72" s="339">
        <v>0.54</v>
      </c>
      <c r="HT72" s="339">
        <v>15.762</v>
      </c>
      <c r="HU72" s="339">
        <v>48</v>
      </c>
      <c r="HV72" s="339">
        <v>0.54</v>
      </c>
      <c r="HW72" s="339">
        <v>15.762</v>
      </c>
      <c r="HX72" s="506">
        <v>45.9</v>
      </c>
      <c r="HY72" s="513">
        <f>2.16/4</f>
        <v>0.54</v>
      </c>
      <c r="HZ72" s="339">
        <v>15.762</v>
      </c>
      <c r="IA72" s="339">
        <v>47.48</v>
      </c>
      <c r="IB72" s="339">
        <v>0.54</v>
      </c>
      <c r="IC72" s="339">
        <v>15.762</v>
      </c>
      <c r="ID72" s="339">
        <v>48.63</v>
      </c>
      <c r="IE72" s="339">
        <v>0.54</v>
      </c>
      <c r="IF72" s="339">
        <v>15.762</v>
      </c>
      <c r="IG72" s="339">
        <v>45.7</v>
      </c>
      <c r="IH72" s="339">
        <v>0.54</v>
      </c>
      <c r="II72" s="339">
        <v>15.762</v>
      </c>
      <c r="IJ72" s="505">
        <v>48.05</v>
      </c>
      <c r="IK72" s="339">
        <v>0.54</v>
      </c>
      <c r="IL72" s="339">
        <v>15.762</v>
      </c>
      <c r="IM72" s="339">
        <v>45.8</v>
      </c>
      <c r="IN72" s="339">
        <v>0.54</v>
      </c>
      <c r="IO72" s="339">
        <v>15.762</v>
      </c>
      <c r="IP72" s="339">
        <v>46.44</v>
      </c>
      <c r="IQ72" s="339">
        <v>0.54</v>
      </c>
      <c r="IR72" s="339">
        <v>15.762</v>
      </c>
      <c r="IS72" s="339">
        <v>49.09</v>
      </c>
      <c r="IT72" s="339">
        <v>0.54</v>
      </c>
      <c r="IU72" s="339">
        <v>15.766999999999999</v>
      </c>
      <c r="IV72" s="339">
        <v>46.9</v>
      </c>
      <c r="IW72" s="339">
        <v>0.54</v>
      </c>
      <c r="IX72" s="339">
        <v>15.827</v>
      </c>
      <c r="IY72" s="339">
        <v>44</v>
      </c>
      <c r="IZ72" s="339">
        <v>0.54</v>
      </c>
      <c r="JA72" s="339">
        <v>15.968999999999999</v>
      </c>
      <c r="JB72" s="339">
        <v>45</v>
      </c>
      <c r="JC72" s="339">
        <v>0.54</v>
      </c>
      <c r="JD72" s="339">
        <v>16.154</v>
      </c>
      <c r="JE72" s="339">
        <v>41.7</v>
      </c>
      <c r="JF72" s="339">
        <v>0.54</v>
      </c>
      <c r="JG72" s="339">
        <v>16.327999999999999</v>
      </c>
      <c r="JH72" s="339">
        <v>46.63</v>
      </c>
      <c r="JI72" s="339">
        <v>0.54</v>
      </c>
      <c r="JJ72" s="339">
        <v>16.361999999999998</v>
      </c>
      <c r="JK72" s="339">
        <v>46.93</v>
      </c>
      <c r="JL72" s="339">
        <v>0.54</v>
      </c>
      <c r="JM72" s="339">
        <v>16.361999999999998</v>
      </c>
      <c r="JN72" s="339">
        <v>49.25</v>
      </c>
      <c r="JO72" s="339">
        <v>0.54</v>
      </c>
      <c r="JP72" s="339">
        <v>16.361999999999998</v>
      </c>
      <c r="JQ72" s="339">
        <v>47.45</v>
      </c>
      <c r="JR72" s="339">
        <v>0.54</v>
      </c>
      <c r="JS72" s="339">
        <v>16.361999999999998</v>
      </c>
      <c r="JT72" s="339">
        <v>43.47</v>
      </c>
      <c r="JU72" s="339">
        <v>0.54</v>
      </c>
      <c r="JV72" s="339">
        <v>16.361999999999998</v>
      </c>
      <c r="JW72" s="339">
        <v>40.6</v>
      </c>
      <c r="JX72" s="339">
        <v>0.54</v>
      </c>
      <c r="JY72" s="339">
        <v>16.361999999999998</v>
      </c>
      <c r="JZ72" s="339">
        <v>43.95</v>
      </c>
      <c r="KA72" s="339">
        <v>0.54</v>
      </c>
      <c r="KB72" s="339">
        <v>16.486000000000001</v>
      </c>
      <c r="KC72" s="339">
        <v>44.25</v>
      </c>
      <c r="KD72" s="339">
        <v>0.54</v>
      </c>
      <c r="KE72" s="339">
        <v>16.696000000000002</v>
      </c>
      <c r="KF72" s="339">
        <v>44.75</v>
      </c>
      <c r="KG72" s="339">
        <v>0.54</v>
      </c>
      <c r="KH72" s="339">
        <v>16.821000000000002</v>
      </c>
      <c r="KI72" s="339">
        <v>39.875</v>
      </c>
      <c r="KJ72" s="339">
        <v>0.54</v>
      </c>
      <c r="KK72" s="339">
        <v>16.899999999999999</v>
      </c>
      <c r="KL72" s="339">
        <v>33.9375</v>
      </c>
      <c r="KM72" s="339">
        <v>0.54</v>
      </c>
      <c r="KN72" s="339">
        <v>16.861999999999998</v>
      </c>
      <c r="KO72" s="339">
        <v>30.375</v>
      </c>
      <c r="KP72" s="339">
        <v>0.54</v>
      </c>
      <c r="KQ72" s="339">
        <v>16.861999999999998</v>
      </c>
      <c r="KR72" s="339">
        <v>33</v>
      </c>
      <c r="KS72" s="339">
        <v>0.54</v>
      </c>
      <c r="KT72" s="339">
        <v>16.861999999999998</v>
      </c>
      <c r="KU72" s="339">
        <v>39.375</v>
      </c>
      <c r="KV72" s="339">
        <v>0.54</v>
      </c>
      <c r="KW72" s="334">
        <v>17.03</v>
      </c>
      <c r="KX72" s="334">
        <v>42</v>
      </c>
      <c r="KY72" s="334">
        <v>0.54</v>
      </c>
      <c r="KZ72" s="334">
        <v>16.96</v>
      </c>
      <c r="LA72" s="334">
        <v>35.8125</v>
      </c>
      <c r="LB72" s="334">
        <v>0.54</v>
      </c>
      <c r="LC72" s="334">
        <v>16.96</v>
      </c>
      <c r="LD72" s="334">
        <v>44.75</v>
      </c>
      <c r="LE72" s="334">
        <v>0.54</v>
      </c>
      <c r="LF72" s="334">
        <v>17.23</v>
      </c>
      <c r="LG72" s="334">
        <v>41.875</v>
      </c>
      <c r="LH72" s="334">
        <v>0.54</v>
      </c>
      <c r="LI72" s="334">
        <v>17.23</v>
      </c>
      <c r="LJ72" s="334">
        <v>45.75</v>
      </c>
      <c r="LK72" s="334">
        <v>0.54</v>
      </c>
      <c r="LL72" s="334">
        <v>17.41</v>
      </c>
      <c r="LM72" s="334">
        <v>43.625</v>
      </c>
      <c r="LN72" s="334">
        <v>0.53500000000000003</v>
      </c>
      <c r="LO72" s="334">
        <v>17.408000000000001</v>
      </c>
      <c r="LP72" s="334">
        <v>43.875</v>
      </c>
      <c r="LQ72" s="334">
        <v>0.53500000000000003</v>
      </c>
      <c r="LR72" s="334">
        <v>17.533999999999999</v>
      </c>
      <c r="LS72" s="334">
        <v>35.8125</v>
      </c>
      <c r="LT72" s="334">
        <v>0.53500000000000003</v>
      </c>
      <c r="LU72" s="334">
        <v>17.533999999999999</v>
      </c>
      <c r="LV72" s="334">
        <v>34.438000000000002</v>
      </c>
      <c r="LW72" s="334">
        <v>0.53500000000000003</v>
      </c>
      <c r="LX72" s="334">
        <v>17.555</v>
      </c>
      <c r="LY72" s="334">
        <v>32.875</v>
      </c>
      <c r="LZ72" s="334">
        <v>0.53</v>
      </c>
      <c r="MA72" s="334">
        <v>17.555</v>
      </c>
      <c r="MB72" s="334">
        <v>31.375</v>
      </c>
      <c r="MC72" s="334">
        <v>0.53</v>
      </c>
      <c r="MD72" s="334">
        <v>16.965</v>
      </c>
      <c r="ME72" s="334">
        <v>29.75</v>
      </c>
      <c r="MF72" s="334">
        <v>0.53</v>
      </c>
      <c r="MG72" s="334">
        <v>16.965</v>
      </c>
      <c r="MH72" s="334">
        <v>31.25</v>
      </c>
      <c r="MI72" s="334">
        <v>0.52500000000000002</v>
      </c>
      <c r="MJ72" s="334">
        <v>16.965</v>
      </c>
      <c r="MK72" s="334">
        <v>30.25</v>
      </c>
      <c r="ML72" s="334">
        <v>0.52500000000000002</v>
      </c>
      <c r="MM72" s="334">
        <v>16.965</v>
      </c>
      <c r="MN72" s="334">
        <v>30.875</v>
      </c>
      <c r="MO72" s="334">
        <v>0.52500000000000002</v>
      </c>
      <c r="MP72" s="334">
        <v>16.965</v>
      </c>
      <c r="MQ72" s="334">
        <v>30.5</v>
      </c>
      <c r="MR72" s="334">
        <v>0.52500000000000002</v>
      </c>
      <c r="MS72" s="334">
        <v>16.965</v>
      </c>
      <c r="MT72" s="334">
        <v>27</v>
      </c>
      <c r="MU72" s="334">
        <v>0.52500000000000002</v>
      </c>
      <c r="MV72" s="334">
        <v>16.965</v>
      </c>
      <c r="MW72" s="334">
        <v>26.25</v>
      </c>
      <c r="MX72" s="334">
        <v>0.52</v>
      </c>
      <c r="MY72" s="334">
        <v>16.965</v>
      </c>
      <c r="MZ72" s="334">
        <v>26.5</v>
      </c>
      <c r="NA72" s="334">
        <v>0.52</v>
      </c>
      <c r="NB72" s="334">
        <v>16.965</v>
      </c>
      <c r="NC72" s="334">
        <v>24</v>
      </c>
      <c r="ND72" s="334">
        <v>0.52</v>
      </c>
      <c r="NE72" s="334">
        <v>16.965</v>
      </c>
      <c r="NF72" s="334">
        <v>26.25</v>
      </c>
      <c r="NG72" s="334">
        <v>0.51500000000000001</v>
      </c>
      <c r="NH72" s="334">
        <v>16.875</v>
      </c>
      <c r="NI72" s="334">
        <v>29.125</v>
      </c>
      <c r="NJ72" s="334">
        <v>0.51500000000000001</v>
      </c>
      <c r="NK72" s="334">
        <v>16.875</v>
      </c>
      <c r="NL72" s="334">
        <v>30.375</v>
      </c>
      <c r="NM72" s="334">
        <v>0.51500000000000001</v>
      </c>
      <c r="NN72" s="334">
        <v>16.875</v>
      </c>
      <c r="NO72" s="334">
        <v>34.375</v>
      </c>
      <c r="NP72" s="334">
        <v>0.51500000000000001</v>
      </c>
      <c r="NQ72" s="334">
        <v>16.821000000000002</v>
      </c>
      <c r="NR72" s="334">
        <v>34.375</v>
      </c>
      <c r="NS72" s="334">
        <v>0.5</v>
      </c>
      <c r="NT72" s="334">
        <v>16.274000000000001</v>
      </c>
      <c r="NU72" s="334">
        <v>33.25</v>
      </c>
      <c r="NV72" s="334">
        <v>0.5</v>
      </c>
      <c r="NW72" s="334">
        <v>15.869</v>
      </c>
      <c r="NX72" s="334">
        <v>31</v>
      </c>
      <c r="NY72" s="334">
        <v>0.5</v>
      </c>
      <c r="NZ72" s="334">
        <v>15.869</v>
      </c>
      <c r="OA72" s="334">
        <v>30.25</v>
      </c>
      <c r="OB72" s="334">
        <v>0.5</v>
      </c>
      <c r="OC72" s="334">
        <v>15.836</v>
      </c>
      <c r="OD72" s="334">
        <v>28.88</v>
      </c>
      <c r="OE72" s="334">
        <v>0.48</v>
      </c>
      <c r="OF72" s="334">
        <v>15.802</v>
      </c>
      <c r="OG72" s="334">
        <v>26.75</v>
      </c>
      <c r="OH72" s="334">
        <v>0.48</v>
      </c>
      <c r="OI72" s="334">
        <v>15.53</v>
      </c>
      <c r="OJ72" s="334">
        <v>28.75</v>
      </c>
      <c r="OK72" s="334">
        <v>0.48</v>
      </c>
      <c r="OL72" s="334">
        <v>15.459</v>
      </c>
      <c r="OM72" s="334">
        <v>27.88</v>
      </c>
      <c r="ON72" s="334">
        <v>0.48</v>
      </c>
      <c r="OO72" s="334">
        <v>15.346</v>
      </c>
      <c r="OP72" s="334">
        <v>24</v>
      </c>
      <c r="OQ72" s="334">
        <v>0.46</v>
      </c>
      <c r="OR72" s="334">
        <v>15.058999999999999</v>
      </c>
      <c r="OS72" s="334">
        <v>24.88</v>
      </c>
      <c r="OT72" s="334">
        <v>0.46</v>
      </c>
      <c r="OU72" s="334">
        <v>14.85</v>
      </c>
      <c r="OV72" s="334">
        <v>24.75</v>
      </c>
    </row>
    <row r="73" spans="1:412">
      <c r="B73" s="333" t="s">
        <v>252</v>
      </c>
      <c r="C73" s="333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504"/>
      <c r="AZ73" s="504"/>
      <c r="BA73" s="504"/>
      <c r="BB73" s="503"/>
      <c r="BC73" s="503"/>
      <c r="BD73" s="503"/>
      <c r="BE73" s="503"/>
      <c r="BF73" s="503"/>
      <c r="BG73" s="503"/>
      <c r="BH73" s="503"/>
      <c r="BI73" s="503"/>
      <c r="BJ73" s="503"/>
      <c r="BK73" s="503"/>
      <c r="BL73" s="503"/>
      <c r="BM73" s="503"/>
      <c r="BN73" s="503"/>
      <c r="BO73" s="503"/>
      <c r="BP73" s="503"/>
      <c r="BQ73" s="504"/>
      <c r="BR73" s="504"/>
      <c r="BS73" s="504"/>
      <c r="BT73" s="504"/>
      <c r="BU73" s="504"/>
      <c r="BV73" s="504"/>
      <c r="BW73" s="504"/>
      <c r="BX73" s="504"/>
      <c r="BY73" s="504"/>
      <c r="BZ73" s="503"/>
      <c r="CA73" s="503"/>
      <c r="CB73" s="503"/>
      <c r="CC73" s="503"/>
      <c r="CD73" s="503"/>
      <c r="CE73" s="503"/>
      <c r="CF73" s="503"/>
      <c r="CG73" s="503"/>
      <c r="CH73" s="503"/>
      <c r="CI73" s="503"/>
      <c r="CJ73" s="503"/>
      <c r="CK73" s="503"/>
      <c r="CL73" s="503"/>
      <c r="CM73" s="503"/>
      <c r="CN73" s="503"/>
      <c r="CO73" s="503"/>
      <c r="CP73" s="503"/>
      <c r="CQ73" s="503"/>
      <c r="CR73" s="504"/>
      <c r="CS73" s="504"/>
      <c r="CT73" s="504"/>
      <c r="CU73" s="503"/>
      <c r="CV73" s="503"/>
      <c r="CW73" s="503"/>
      <c r="CX73" s="339"/>
      <c r="CY73" s="339"/>
      <c r="CZ73" s="339"/>
      <c r="DA73" s="339"/>
      <c r="DB73" s="339"/>
      <c r="DC73" s="339"/>
      <c r="DD73" s="339"/>
      <c r="DE73" s="339"/>
      <c r="DF73" s="339"/>
      <c r="DG73" s="339"/>
      <c r="DH73" s="339"/>
      <c r="DI73" s="339"/>
      <c r="DJ73" s="339"/>
      <c r="DK73" s="339"/>
      <c r="DL73" s="339"/>
      <c r="DM73" s="339"/>
      <c r="DN73" s="339"/>
      <c r="DO73" s="339"/>
      <c r="DP73" s="339"/>
      <c r="DQ73" s="339"/>
      <c r="DR73" s="339"/>
      <c r="DS73" s="339"/>
      <c r="DT73" s="339"/>
      <c r="DU73" s="339"/>
      <c r="DV73" s="339"/>
      <c r="DW73" s="339"/>
      <c r="DX73" s="339"/>
      <c r="DY73" s="339"/>
      <c r="DZ73" s="339"/>
      <c r="EA73" s="339"/>
      <c r="EB73" s="340"/>
      <c r="EC73" s="340"/>
      <c r="ED73" s="340"/>
      <c r="EE73" s="339"/>
      <c r="EF73" s="339"/>
      <c r="EG73" s="339"/>
      <c r="EH73" s="339"/>
      <c r="EI73" s="339"/>
      <c r="EJ73" s="339"/>
      <c r="EK73" s="339"/>
      <c r="EL73" s="339"/>
      <c r="EM73" s="339"/>
      <c r="EN73" s="339"/>
      <c r="EO73" s="339"/>
      <c r="EP73" s="339"/>
      <c r="EQ73" s="339"/>
      <c r="ER73" s="339"/>
      <c r="ES73" s="339"/>
      <c r="ET73" s="339"/>
      <c r="EU73" s="339"/>
      <c r="EV73" s="339"/>
      <c r="EW73" s="339"/>
      <c r="EX73" s="339"/>
      <c r="EY73" s="339"/>
      <c r="EZ73" s="339"/>
      <c r="FA73" s="339"/>
      <c r="FB73" s="339"/>
      <c r="FC73" s="339"/>
      <c r="FD73" s="339"/>
      <c r="FE73" s="339"/>
      <c r="FF73" s="339"/>
      <c r="FG73" s="339"/>
      <c r="FH73" s="342"/>
      <c r="FI73" s="339"/>
      <c r="FJ73" s="339"/>
      <c r="FK73" s="339"/>
      <c r="FL73" s="339"/>
      <c r="FM73" s="339"/>
      <c r="FN73" s="339"/>
      <c r="FO73" s="339"/>
      <c r="FP73" s="339"/>
      <c r="FQ73" s="339"/>
      <c r="FR73" s="339"/>
      <c r="FS73" s="339"/>
      <c r="FT73" s="339"/>
      <c r="FU73" s="339"/>
      <c r="FV73" s="339"/>
      <c r="FW73" s="339"/>
      <c r="FX73" s="339"/>
      <c r="FY73" s="339"/>
      <c r="FZ73" s="339"/>
      <c r="GA73" s="339"/>
      <c r="GB73" s="339"/>
      <c r="GC73" s="339"/>
      <c r="GD73" s="339"/>
      <c r="GE73" s="339"/>
      <c r="GF73" s="339"/>
      <c r="GG73" s="339"/>
      <c r="GH73" s="339"/>
      <c r="GI73" s="339"/>
      <c r="GJ73" s="339"/>
      <c r="GK73" s="339"/>
      <c r="GL73" s="339"/>
      <c r="GM73" s="339"/>
      <c r="GN73" s="339"/>
      <c r="GO73" s="339"/>
      <c r="GP73" s="339"/>
      <c r="GQ73" s="339"/>
      <c r="GR73" s="339"/>
      <c r="GS73" s="339"/>
      <c r="GT73" s="339"/>
      <c r="GU73" s="339"/>
      <c r="GV73" s="339"/>
      <c r="GW73" s="339"/>
      <c r="GX73" s="339"/>
      <c r="GY73" s="339"/>
      <c r="GZ73" s="339"/>
      <c r="HA73" s="339"/>
      <c r="HB73" s="339"/>
      <c r="HC73" s="339"/>
      <c r="HD73" s="339"/>
      <c r="HE73" s="339"/>
      <c r="HF73" s="339"/>
      <c r="HG73" s="339"/>
      <c r="HH73" s="339"/>
      <c r="HI73" s="505"/>
      <c r="HJ73" s="339"/>
      <c r="HK73" s="339"/>
      <c r="HL73" s="339"/>
      <c r="HM73" s="339"/>
      <c r="HN73" s="339"/>
      <c r="HO73" s="339"/>
      <c r="HP73" s="339"/>
      <c r="HQ73" s="339"/>
      <c r="HR73" s="339"/>
      <c r="HS73" s="339"/>
      <c r="HT73" s="339"/>
      <c r="HU73" s="339"/>
      <c r="HV73" s="339"/>
      <c r="HW73" s="339"/>
      <c r="HX73" s="506"/>
      <c r="HY73" s="513"/>
      <c r="HZ73" s="339"/>
      <c r="IA73" s="339"/>
      <c r="IB73" s="339"/>
      <c r="IC73" s="339"/>
      <c r="ID73" s="339"/>
      <c r="IE73" s="339"/>
      <c r="IF73" s="339"/>
      <c r="IG73" s="339"/>
      <c r="IH73" s="339"/>
      <c r="II73" s="339"/>
      <c r="IJ73" s="505"/>
      <c r="IK73" s="339"/>
      <c r="IL73" s="339"/>
      <c r="IM73" s="339"/>
      <c r="IN73" s="339"/>
      <c r="IO73" s="339"/>
      <c r="IP73" s="339"/>
      <c r="IQ73" s="339"/>
      <c r="IR73" s="339"/>
      <c r="IS73" s="339"/>
      <c r="IT73" s="339"/>
      <c r="IU73" s="339"/>
      <c r="IV73" s="339"/>
      <c r="IW73" s="339"/>
      <c r="IX73" s="339"/>
      <c r="IY73" s="339"/>
      <c r="IZ73" s="342"/>
      <c r="JA73" s="339"/>
      <c r="JB73" s="339"/>
      <c r="JC73" s="339"/>
      <c r="JD73" s="339"/>
      <c r="JE73" s="339"/>
      <c r="JF73" s="339"/>
      <c r="JG73" s="339"/>
      <c r="JH73" s="339"/>
      <c r="JI73" s="339"/>
      <c r="JJ73" s="339"/>
      <c r="JK73" s="339"/>
      <c r="JL73" s="339"/>
      <c r="JM73" s="339"/>
      <c r="JN73" s="339"/>
      <c r="JO73" s="339"/>
      <c r="JP73" s="339"/>
      <c r="JQ73" s="339"/>
      <c r="JR73" s="339"/>
      <c r="JS73" s="339"/>
      <c r="JT73" s="342"/>
      <c r="JU73" s="342"/>
      <c r="JV73" s="339"/>
      <c r="JW73" s="339"/>
      <c r="JX73" s="339"/>
      <c r="JY73" s="339"/>
      <c r="JZ73" s="339"/>
      <c r="KA73" s="339"/>
      <c r="KB73" s="339"/>
      <c r="KC73" s="339"/>
      <c r="KD73" s="339"/>
      <c r="KE73" s="339"/>
      <c r="KF73" s="339"/>
      <c r="KG73" s="339"/>
      <c r="KH73" s="339"/>
      <c r="KI73" s="339"/>
      <c r="KJ73" s="339"/>
      <c r="KK73" s="339"/>
      <c r="KL73" s="339"/>
      <c r="KM73" s="339"/>
      <c r="KN73" s="339"/>
      <c r="KO73" s="339"/>
      <c r="KP73" s="339"/>
      <c r="KQ73" s="339"/>
      <c r="KR73" s="339"/>
      <c r="KS73" s="339"/>
      <c r="KT73" s="339">
        <v>13.6</v>
      </c>
      <c r="KU73" s="339">
        <v>64.8125</v>
      </c>
      <c r="KV73" s="339">
        <v>0.61499999999999999</v>
      </c>
      <c r="KW73" s="334">
        <v>13.61</v>
      </c>
      <c r="KX73" s="334">
        <v>62.5</v>
      </c>
      <c r="KY73" s="334">
        <v>0.61499999999999999</v>
      </c>
      <c r="KZ73" s="334">
        <v>13.6</v>
      </c>
      <c r="LA73" s="334">
        <v>60.0625</v>
      </c>
      <c r="LB73" s="334">
        <v>0.61499999999999999</v>
      </c>
      <c r="LC73" s="334">
        <v>13.6</v>
      </c>
      <c r="LD73" s="334">
        <v>61.188000000000002</v>
      </c>
      <c r="LE73" s="334">
        <v>0.61499999999999999</v>
      </c>
      <c r="LF73" s="334">
        <v>13.69</v>
      </c>
      <c r="LG73" s="334">
        <v>52.438000000000002</v>
      </c>
      <c r="LH73" s="334">
        <v>0.61499999999999999</v>
      </c>
      <c r="LI73" s="334">
        <v>13.69</v>
      </c>
      <c r="LJ73" s="334">
        <v>48</v>
      </c>
      <c r="LK73" s="334">
        <v>0.61499999999999999</v>
      </c>
      <c r="LL73" s="334">
        <v>13.61</v>
      </c>
      <c r="LM73" s="334">
        <v>48.25</v>
      </c>
      <c r="LN73" s="334">
        <v>0.61499999999999999</v>
      </c>
      <c r="LO73" s="334">
        <v>13.611000000000001</v>
      </c>
      <c r="LP73" s="334">
        <v>48.875</v>
      </c>
      <c r="LQ73" s="334">
        <v>0.61499999999999999</v>
      </c>
      <c r="LR73" s="334">
        <v>13.611000000000001</v>
      </c>
      <c r="LS73" s="334">
        <v>41.8125</v>
      </c>
      <c r="LT73" s="334">
        <v>0.61499999999999999</v>
      </c>
      <c r="LU73" s="334">
        <v>13.611000000000001</v>
      </c>
      <c r="LV73" s="334">
        <v>41.188000000000002</v>
      </c>
      <c r="LW73" s="334">
        <v>0.61499999999999999</v>
      </c>
      <c r="LX73" s="334">
        <v>13.536</v>
      </c>
      <c r="LY73" s="334">
        <v>38</v>
      </c>
      <c r="LZ73" s="334">
        <v>0.61499999999999999</v>
      </c>
      <c r="MA73" s="334">
        <v>13.536</v>
      </c>
      <c r="MB73" s="334">
        <v>36.625</v>
      </c>
      <c r="MC73" s="334">
        <v>0.61499999999999999</v>
      </c>
      <c r="MD73" s="334">
        <v>13.045</v>
      </c>
      <c r="ME73" s="334">
        <v>39.75</v>
      </c>
      <c r="MF73" s="334">
        <v>0.61499999999999999</v>
      </c>
      <c r="MG73" s="334">
        <v>13.045</v>
      </c>
      <c r="MH73" s="334">
        <v>42.75</v>
      </c>
      <c r="MI73" s="334">
        <v>0.61499999999999999</v>
      </c>
      <c r="MJ73" s="334">
        <v>13.045</v>
      </c>
      <c r="MK73" s="334">
        <v>43</v>
      </c>
      <c r="ML73" s="334">
        <v>0.61499999999999999</v>
      </c>
      <c r="MM73" s="334">
        <v>13.045</v>
      </c>
      <c r="MN73" s="334">
        <v>42.375</v>
      </c>
      <c r="MO73" s="334">
        <v>0.61499999999999999</v>
      </c>
      <c r="MP73" s="334">
        <v>13.045</v>
      </c>
      <c r="MQ73" s="334">
        <v>37.875</v>
      </c>
      <c r="MR73" s="334">
        <v>0.61499999999999999</v>
      </c>
      <c r="MS73" s="334">
        <v>13.045</v>
      </c>
      <c r="MT73" s="334">
        <v>36.375</v>
      </c>
      <c r="MU73" s="334">
        <v>0.61499999999999999</v>
      </c>
      <c r="MV73" s="334">
        <v>13.045</v>
      </c>
      <c r="MW73" s="334">
        <v>36.875</v>
      </c>
      <c r="MX73" s="334">
        <v>0.61499999999999999</v>
      </c>
      <c r="MY73" s="334">
        <v>12.967000000000001</v>
      </c>
      <c r="MZ73" s="334">
        <v>32.125</v>
      </c>
      <c r="NA73" s="334">
        <v>0.61499999999999999</v>
      </c>
      <c r="NB73" s="334">
        <v>12.967000000000001</v>
      </c>
      <c r="NC73" s="334">
        <v>30.25</v>
      </c>
      <c r="ND73" s="334">
        <v>0.61499999999999999</v>
      </c>
      <c r="NE73" s="334">
        <v>12.967000000000001</v>
      </c>
      <c r="NF73" s="334">
        <v>29.125</v>
      </c>
      <c r="NG73" s="334">
        <v>0.61499999999999999</v>
      </c>
      <c r="NH73" s="334">
        <v>12.909000000000001</v>
      </c>
      <c r="NI73" s="334">
        <v>34</v>
      </c>
      <c r="NJ73" s="334">
        <v>0.61499999999999999</v>
      </c>
      <c r="NK73" s="334">
        <v>12.909000000000001</v>
      </c>
      <c r="NL73" s="334">
        <v>37.5</v>
      </c>
      <c r="NM73" s="334">
        <v>0.61499999999999999</v>
      </c>
      <c r="NN73" s="334">
        <v>12.909000000000001</v>
      </c>
      <c r="NO73" s="334">
        <v>42.75</v>
      </c>
      <c r="NP73" s="334">
        <v>0.61499999999999999</v>
      </c>
      <c r="NQ73" s="334">
        <v>12.909000000000001</v>
      </c>
      <c r="NR73" s="334">
        <v>42.625</v>
      </c>
      <c r="NS73" s="334">
        <v>0.61499999999999999</v>
      </c>
      <c r="NT73" s="334">
        <v>12.909000000000001</v>
      </c>
      <c r="NU73" s="334">
        <v>42.875</v>
      </c>
      <c r="NV73" s="334">
        <v>0.61499999999999999</v>
      </c>
      <c r="NW73" s="334">
        <v>12.929</v>
      </c>
      <c r="NX73" s="334">
        <v>39.630000000000003</v>
      </c>
      <c r="NY73" s="334">
        <v>0.62</v>
      </c>
      <c r="NZ73" s="334">
        <v>12.929</v>
      </c>
      <c r="OA73" s="334">
        <v>39.25</v>
      </c>
      <c r="OB73" s="334">
        <v>0.62</v>
      </c>
      <c r="OC73" s="334">
        <v>12.938000000000001</v>
      </c>
      <c r="OD73" s="334">
        <v>37.5</v>
      </c>
      <c r="OE73" s="334">
        <v>0.62</v>
      </c>
      <c r="OF73" s="334">
        <v>12.959</v>
      </c>
      <c r="OG73" s="334">
        <v>36.380000000000003</v>
      </c>
      <c r="OH73" s="334">
        <v>0.62</v>
      </c>
      <c r="OI73" s="334">
        <v>12.64</v>
      </c>
      <c r="OJ73" s="334">
        <v>37.880000000000003</v>
      </c>
      <c r="OK73" s="334">
        <v>0.62</v>
      </c>
      <c r="OL73" s="334">
        <v>12.584</v>
      </c>
      <c r="OM73" s="334">
        <v>35.25</v>
      </c>
      <c r="ON73" s="334">
        <v>0.62</v>
      </c>
      <c r="OO73" s="334">
        <v>12.547000000000001</v>
      </c>
      <c r="OP73" s="334">
        <v>33.75</v>
      </c>
      <c r="OQ73" s="334">
        <v>0.62</v>
      </c>
      <c r="OR73" s="334">
        <v>12.573</v>
      </c>
      <c r="OS73" s="334">
        <v>33</v>
      </c>
      <c r="OT73" s="334">
        <v>0.62</v>
      </c>
      <c r="OU73" s="334">
        <v>12.818</v>
      </c>
      <c r="OV73" s="334">
        <v>35</v>
      </c>
    </row>
    <row r="74" spans="1:412">
      <c r="B74" s="333" t="s">
        <v>253</v>
      </c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503"/>
      <c r="AZ74" s="503"/>
      <c r="BA74" s="503"/>
      <c r="BB74" s="503"/>
      <c r="BC74" s="503"/>
      <c r="BD74" s="503"/>
      <c r="BE74" s="503"/>
      <c r="BF74" s="503"/>
      <c r="BG74" s="503"/>
      <c r="BH74" s="503"/>
      <c r="BI74" s="503"/>
      <c r="BJ74" s="503"/>
      <c r="BK74" s="503"/>
      <c r="BL74" s="503"/>
      <c r="BM74" s="503"/>
      <c r="BN74" s="503"/>
      <c r="BO74" s="503"/>
      <c r="BP74" s="503"/>
      <c r="BQ74" s="504"/>
      <c r="BR74" s="504"/>
      <c r="BS74" s="504"/>
      <c r="BT74" s="504"/>
      <c r="BU74" s="504"/>
      <c r="BV74" s="504"/>
      <c r="BW74" s="504"/>
      <c r="BX74" s="504"/>
      <c r="BY74" s="504"/>
      <c r="BZ74" s="503"/>
      <c r="CA74" s="503"/>
      <c r="CB74" s="503"/>
      <c r="CC74" s="503"/>
      <c r="CD74" s="503"/>
      <c r="CE74" s="503"/>
      <c r="CF74" s="503"/>
      <c r="CG74" s="503"/>
      <c r="CH74" s="503"/>
      <c r="CI74" s="503"/>
      <c r="CJ74" s="503"/>
      <c r="CK74" s="503"/>
      <c r="CL74" s="503"/>
      <c r="CM74" s="503"/>
      <c r="CN74" s="503"/>
      <c r="CO74" s="503"/>
      <c r="CP74" s="503"/>
      <c r="CQ74" s="503"/>
      <c r="CR74" s="504"/>
      <c r="CS74" s="504"/>
      <c r="CT74" s="504"/>
      <c r="CU74" s="503"/>
      <c r="CV74" s="503"/>
      <c r="CW74" s="503"/>
      <c r="CX74" s="339"/>
      <c r="CY74" s="339"/>
      <c r="CZ74" s="339"/>
      <c r="DA74" s="339"/>
      <c r="DB74" s="339"/>
      <c r="DC74" s="339"/>
      <c r="DD74" s="339"/>
      <c r="DE74" s="339"/>
      <c r="DF74" s="339"/>
      <c r="DG74" s="339"/>
      <c r="DH74" s="339"/>
      <c r="DI74" s="339"/>
      <c r="DJ74" s="339"/>
      <c r="DK74" s="339"/>
      <c r="DL74" s="339"/>
      <c r="DM74" s="339"/>
      <c r="DN74" s="339"/>
      <c r="DO74" s="339"/>
      <c r="DP74" s="339"/>
      <c r="DQ74" s="339"/>
      <c r="DR74" s="339"/>
      <c r="DS74" s="339"/>
      <c r="DT74" s="339"/>
      <c r="DU74" s="339"/>
      <c r="DV74" s="339"/>
      <c r="DW74" s="339"/>
      <c r="DX74" s="339"/>
      <c r="DY74" s="339"/>
      <c r="DZ74" s="339"/>
      <c r="EA74" s="339"/>
      <c r="EB74" s="340"/>
      <c r="EC74" s="340"/>
      <c r="ED74" s="340"/>
      <c r="EE74" s="339"/>
      <c r="EF74" s="339"/>
      <c r="EG74" s="339"/>
      <c r="EH74" s="339"/>
      <c r="EI74" s="339"/>
      <c r="EJ74" s="339"/>
      <c r="EK74" s="339"/>
      <c r="EL74" s="339"/>
      <c r="EM74" s="339"/>
      <c r="EN74" s="339"/>
      <c r="EO74" s="339"/>
      <c r="EP74" s="339"/>
      <c r="EQ74" s="339"/>
      <c r="ER74" s="339"/>
      <c r="ES74" s="339"/>
      <c r="ET74" s="339"/>
      <c r="EU74" s="339"/>
      <c r="EV74" s="339"/>
      <c r="EW74" s="339"/>
      <c r="EX74" s="339"/>
      <c r="EY74" s="339"/>
      <c r="EZ74" s="339"/>
      <c r="FA74" s="339"/>
      <c r="FB74" s="339"/>
      <c r="FC74" s="339"/>
      <c r="FD74" s="339"/>
      <c r="FE74" s="339"/>
      <c r="FF74" s="339"/>
      <c r="FG74" s="339"/>
      <c r="FH74" s="342"/>
      <c r="FI74" s="339"/>
      <c r="FJ74" s="339"/>
      <c r="FK74" s="339"/>
      <c r="FL74" s="339"/>
      <c r="FM74" s="339"/>
      <c r="FN74" s="339"/>
      <c r="FO74" s="339"/>
      <c r="FP74" s="339"/>
      <c r="FQ74" s="339"/>
      <c r="FR74" s="339"/>
      <c r="FS74" s="339"/>
      <c r="FT74" s="339"/>
      <c r="FU74" s="339"/>
      <c r="FV74" s="339"/>
      <c r="FW74" s="339"/>
      <c r="FX74" s="339"/>
      <c r="FY74" s="339"/>
      <c r="FZ74" s="339"/>
      <c r="GA74" s="339"/>
      <c r="GB74" s="339"/>
      <c r="GC74" s="339"/>
      <c r="GD74" s="339"/>
      <c r="GE74" s="339"/>
      <c r="GF74" s="339"/>
      <c r="GG74" s="339"/>
      <c r="GH74" s="339"/>
      <c r="GI74" s="339"/>
      <c r="GJ74" s="339"/>
      <c r="GK74" s="339"/>
      <c r="GL74" s="339"/>
      <c r="GM74" s="339"/>
      <c r="GN74" s="339"/>
      <c r="GO74" s="339"/>
      <c r="GP74" s="339"/>
      <c r="GQ74" s="339"/>
      <c r="GR74" s="339"/>
      <c r="GS74" s="339"/>
      <c r="GT74" s="339"/>
      <c r="GU74" s="339"/>
      <c r="GV74" s="339"/>
      <c r="GW74" s="339"/>
      <c r="GX74" s="339"/>
      <c r="GY74" s="339"/>
      <c r="GZ74" s="339"/>
      <c r="HA74" s="339"/>
      <c r="HB74" s="339"/>
      <c r="HC74" s="339"/>
      <c r="HD74" s="339"/>
      <c r="HE74" s="339"/>
      <c r="HF74" s="339"/>
      <c r="HG74" s="339"/>
      <c r="HH74" s="339"/>
      <c r="HI74" s="505"/>
      <c r="HJ74" s="339"/>
      <c r="HK74" s="339"/>
      <c r="HL74" s="339"/>
      <c r="HM74" s="339"/>
      <c r="HN74" s="339"/>
      <c r="HO74" s="339"/>
      <c r="HP74" s="339"/>
      <c r="HQ74" s="339">
        <v>200.286</v>
      </c>
      <c r="HR74" s="339"/>
      <c r="HS74" s="339"/>
      <c r="HT74" s="339">
        <v>199.55699999999999</v>
      </c>
      <c r="HU74" s="339">
        <v>45.41</v>
      </c>
      <c r="HV74" s="339">
        <v>0.48</v>
      </c>
      <c r="HW74" s="339">
        <v>199.06899999999999</v>
      </c>
      <c r="HX74" s="506">
        <v>42.46</v>
      </c>
      <c r="HY74" s="513">
        <f>1.92/4</f>
        <v>0.48</v>
      </c>
      <c r="HZ74" s="339">
        <v>198.49199999999999</v>
      </c>
      <c r="IA74" s="339">
        <v>44.41</v>
      </c>
      <c r="IB74" s="339">
        <v>0.48</v>
      </c>
      <c r="IC74" s="339">
        <v>195.64699999999999</v>
      </c>
      <c r="ID74" s="339">
        <v>44.82</v>
      </c>
      <c r="IE74" s="339">
        <v>0.48</v>
      </c>
      <c r="IF74" s="339">
        <v>180.881</v>
      </c>
      <c r="IG74" s="339">
        <v>40.520000000000003</v>
      </c>
      <c r="IH74" s="339">
        <v>0.48</v>
      </c>
      <c r="II74" s="339">
        <v>180.881</v>
      </c>
      <c r="IJ74" s="505">
        <v>41.63</v>
      </c>
      <c r="IK74" s="339">
        <v>0.47</v>
      </c>
      <c r="IL74" s="339">
        <v>180.23599999999999</v>
      </c>
      <c r="IM74" s="339">
        <v>39.6</v>
      </c>
      <c r="IN74" s="339">
        <v>0.47</v>
      </c>
      <c r="IO74" s="339">
        <v>179.261</v>
      </c>
      <c r="IP74" s="339">
        <v>38</v>
      </c>
      <c r="IQ74" s="339">
        <v>0.47</v>
      </c>
      <c r="IR74" s="339">
        <v>178.28800000000001</v>
      </c>
      <c r="IS74" s="339">
        <v>40.89</v>
      </c>
      <c r="IT74" s="339">
        <v>0.47</v>
      </c>
      <c r="IU74" s="339">
        <v>177.751</v>
      </c>
      <c r="IV74" s="339">
        <v>38.81</v>
      </c>
      <c r="IW74" s="339">
        <v>0.46</v>
      </c>
      <c r="IX74" s="339">
        <v>176.64500000000001</v>
      </c>
      <c r="IY74" s="339">
        <v>36.700000000000003</v>
      </c>
      <c r="IZ74" s="339">
        <v>0.46</v>
      </c>
      <c r="JA74" s="339">
        <v>173.387</v>
      </c>
      <c r="JB74" s="339">
        <v>36.79</v>
      </c>
      <c r="JC74" s="339">
        <v>0.46</v>
      </c>
      <c r="JD74" s="339">
        <v>168.53800000000001</v>
      </c>
      <c r="JE74" s="339">
        <v>33.65</v>
      </c>
      <c r="JF74" s="339">
        <v>0.46</v>
      </c>
      <c r="JG74" s="339">
        <v>167.96700000000001</v>
      </c>
      <c r="JH74" s="339">
        <v>33.72</v>
      </c>
      <c r="JI74" s="339">
        <v>0.45</v>
      </c>
      <c r="JJ74" s="339">
        <v>167.33</v>
      </c>
      <c r="JK74" s="339">
        <v>31.43</v>
      </c>
      <c r="JL74" s="339">
        <v>0.45</v>
      </c>
      <c r="JM74" s="339">
        <v>164.29499999999999</v>
      </c>
      <c r="JN74" s="339">
        <v>35.99</v>
      </c>
      <c r="JO74" s="339">
        <v>0.45</v>
      </c>
      <c r="JP74" s="339">
        <v>159.291</v>
      </c>
      <c r="JQ74" s="339">
        <v>35.75</v>
      </c>
      <c r="JR74" s="339">
        <v>0.45</v>
      </c>
      <c r="JS74" s="339">
        <v>159.09700000000001</v>
      </c>
      <c r="JT74" s="339">
        <v>33.43</v>
      </c>
      <c r="JU74" s="339">
        <v>0.45</v>
      </c>
      <c r="JV74" s="339">
        <v>159.06100000000001</v>
      </c>
      <c r="JW74" s="339">
        <v>30.87</v>
      </c>
      <c r="JX74" s="339">
        <v>0.45</v>
      </c>
      <c r="JY74" s="339">
        <v>158.989</v>
      </c>
      <c r="JZ74" s="339">
        <v>34.950000000000003</v>
      </c>
      <c r="KA74" s="339">
        <v>0.45</v>
      </c>
      <c r="KB74" s="339">
        <v>158.96799999999999</v>
      </c>
      <c r="KC74" s="339">
        <v>33.549999999999997</v>
      </c>
      <c r="KD74" s="339">
        <v>0.45</v>
      </c>
      <c r="KE74" s="339">
        <v>158.93799999999999</v>
      </c>
      <c r="KF74" s="339">
        <v>35.125</v>
      </c>
      <c r="KG74" s="339">
        <v>0.45</v>
      </c>
      <c r="KH74" s="339">
        <v>158.923</v>
      </c>
      <c r="KI74" s="339">
        <v>33.0625</v>
      </c>
      <c r="KJ74" s="339">
        <v>0.45</v>
      </c>
      <c r="KK74" s="339">
        <v>158.923</v>
      </c>
      <c r="KL74" s="339">
        <v>25.4375</v>
      </c>
      <c r="KM74" s="339">
        <v>0.45</v>
      </c>
      <c r="KN74" s="339">
        <v>158.92099999999999</v>
      </c>
      <c r="KO74" s="339">
        <v>21.5</v>
      </c>
      <c r="KP74" s="339">
        <v>0.45</v>
      </c>
      <c r="KQ74" s="339">
        <v>158.90700000000001</v>
      </c>
      <c r="KR74" s="339">
        <v>23.9375</v>
      </c>
      <c r="KS74" s="339">
        <v>0.45</v>
      </c>
      <c r="KT74" s="339">
        <v>158.87700000000001</v>
      </c>
      <c r="KU74" s="339">
        <v>28.3125</v>
      </c>
      <c r="KV74" s="339">
        <v>0.45</v>
      </c>
      <c r="KW74" s="334">
        <v>158.24</v>
      </c>
      <c r="KX74" s="334">
        <v>32</v>
      </c>
      <c r="KY74" s="334">
        <v>0.45</v>
      </c>
      <c r="KZ74" s="334">
        <v>158.5</v>
      </c>
      <c r="LA74" s="334">
        <v>27.5</v>
      </c>
      <c r="LB74" s="334">
        <v>0.45</v>
      </c>
      <c r="LC74" s="334">
        <v>158.5</v>
      </c>
      <c r="LD74" s="334">
        <v>34.375</v>
      </c>
      <c r="LE74" s="334">
        <v>0.45</v>
      </c>
      <c r="LF74" s="334">
        <v>157.76</v>
      </c>
      <c r="LG74" s="334">
        <v>38.25</v>
      </c>
      <c r="LH74" s="334">
        <v>0.45</v>
      </c>
      <c r="LI74" s="334">
        <v>157.76</v>
      </c>
      <c r="LJ74" s="334">
        <v>35</v>
      </c>
      <c r="LK74" s="334">
        <v>0.45</v>
      </c>
      <c r="LL74" s="334">
        <v>157.68</v>
      </c>
      <c r="LM74" s="334">
        <v>36.875</v>
      </c>
      <c r="LN74" s="334">
        <v>0.45</v>
      </c>
      <c r="LO74" s="334">
        <v>157.679</v>
      </c>
      <c r="LP74" s="334">
        <v>38.3125</v>
      </c>
      <c r="LQ74" s="334">
        <v>0.45</v>
      </c>
      <c r="LR74" s="334">
        <v>157.679</v>
      </c>
      <c r="LS74" s="334">
        <v>33.4375</v>
      </c>
      <c r="LT74" s="334">
        <v>0.45</v>
      </c>
      <c r="LU74" s="334">
        <v>157.679</v>
      </c>
      <c r="LV74" s="334">
        <v>34.813000000000002</v>
      </c>
      <c r="LW74" s="334">
        <v>0.45</v>
      </c>
      <c r="LX74" s="334">
        <v>157.679</v>
      </c>
      <c r="LY74" s="334">
        <v>34.125</v>
      </c>
      <c r="LZ74" s="334">
        <v>0.45</v>
      </c>
      <c r="MA74" s="334">
        <v>157.679</v>
      </c>
      <c r="MB74" s="334">
        <v>33.375</v>
      </c>
      <c r="MC74" s="334">
        <v>0.45</v>
      </c>
      <c r="MD74" s="334">
        <v>156.94499999999999</v>
      </c>
      <c r="ME74" s="334">
        <v>30.875</v>
      </c>
      <c r="MF74" s="334">
        <v>0.43</v>
      </c>
      <c r="MG74" s="334">
        <v>156.94499999999999</v>
      </c>
      <c r="MH74" s="334">
        <v>32</v>
      </c>
      <c r="MI74" s="334">
        <v>0.43</v>
      </c>
      <c r="MJ74" s="334">
        <v>156.94499999999999</v>
      </c>
      <c r="MK74" s="334">
        <v>30</v>
      </c>
      <c r="ML74" s="334">
        <v>0.43</v>
      </c>
      <c r="MM74" s="334">
        <v>156.94499999999999</v>
      </c>
      <c r="MN74" s="334">
        <v>30.625</v>
      </c>
      <c r="MO74" s="334">
        <v>0.43</v>
      </c>
      <c r="MP74" s="334">
        <v>87.539000000000001</v>
      </c>
      <c r="MQ74" s="334">
        <v>27.875</v>
      </c>
      <c r="MR74" s="334">
        <v>0.43</v>
      </c>
      <c r="MS74" s="334">
        <v>87.539000000000001</v>
      </c>
      <c r="MT74" s="334">
        <v>26.25</v>
      </c>
      <c r="MU74" s="334">
        <v>0.43</v>
      </c>
      <c r="MV74" s="334">
        <v>87.539000000000001</v>
      </c>
      <c r="MW74" s="334">
        <v>24.875</v>
      </c>
      <c r="MX74" s="334">
        <v>0.43</v>
      </c>
      <c r="MY74" s="334">
        <v>87.539000000000001</v>
      </c>
      <c r="MZ74" s="334">
        <v>23.5</v>
      </c>
      <c r="NA74" s="334">
        <v>0.43</v>
      </c>
      <c r="NB74" s="334">
        <v>87.539000000000001</v>
      </c>
      <c r="NC74" s="334">
        <v>22.375</v>
      </c>
      <c r="ND74" s="334">
        <v>0.43</v>
      </c>
      <c r="NE74" s="334">
        <v>87.539000000000001</v>
      </c>
      <c r="NF74" s="334">
        <v>21.75</v>
      </c>
      <c r="NG74" s="334">
        <v>0.43</v>
      </c>
      <c r="NH74" s="334">
        <v>87.539000000000001</v>
      </c>
      <c r="NI74" s="334">
        <v>24</v>
      </c>
      <c r="NJ74" s="334">
        <v>0.43</v>
      </c>
      <c r="NK74" s="334">
        <v>87.539000000000001</v>
      </c>
      <c r="NL74" s="334">
        <v>27.5</v>
      </c>
      <c r="NM74" s="334">
        <v>0.43</v>
      </c>
      <c r="NN74" s="334">
        <v>87.539000000000001</v>
      </c>
      <c r="NO74" s="334">
        <v>28.75</v>
      </c>
      <c r="NP74" s="334">
        <v>0.41499999999999998</v>
      </c>
      <c r="NQ74" s="334">
        <v>87.143000000000001</v>
      </c>
      <c r="NR74" s="334">
        <v>27.25</v>
      </c>
      <c r="NS74" s="334">
        <v>0.41499999999999998</v>
      </c>
      <c r="NT74" s="334">
        <v>86.721999999999994</v>
      </c>
      <c r="NU74" s="334">
        <v>26.25</v>
      </c>
      <c r="NV74" s="334">
        <v>0.41499999999999998</v>
      </c>
      <c r="NW74" s="334">
        <v>85.373000000000005</v>
      </c>
      <c r="NX74" s="334">
        <v>24.88</v>
      </c>
      <c r="NY74" s="334">
        <v>0.42</v>
      </c>
      <c r="NZ74" s="334">
        <v>85.373000000000005</v>
      </c>
      <c r="OA74" s="334">
        <v>25.42</v>
      </c>
      <c r="OB74" s="334">
        <v>0.41</v>
      </c>
      <c r="OC74" s="334">
        <v>85.161000000000001</v>
      </c>
      <c r="OD74" s="334">
        <v>22.92</v>
      </c>
      <c r="OE74" s="334">
        <v>0.41</v>
      </c>
      <c r="OF74" s="334">
        <v>84.944999999999993</v>
      </c>
      <c r="OG74" s="334">
        <v>24.08</v>
      </c>
      <c r="OH74" s="334">
        <v>0.41</v>
      </c>
      <c r="OI74" s="334">
        <v>82.311000000000007</v>
      </c>
      <c r="OJ74" s="334">
        <v>26.75</v>
      </c>
      <c r="OK74" s="334">
        <v>0.41</v>
      </c>
      <c r="OL74" s="334">
        <v>81.558000000000007</v>
      </c>
      <c r="OM74" s="334">
        <v>23.75</v>
      </c>
      <c r="ON74" s="334">
        <v>0.41</v>
      </c>
      <c r="OO74" s="334">
        <v>80.256</v>
      </c>
      <c r="OP74" s="334">
        <v>21.42</v>
      </c>
      <c r="OQ74" s="334">
        <v>0.41</v>
      </c>
      <c r="OR74" s="334">
        <v>78.411000000000001</v>
      </c>
      <c r="OS74" s="334">
        <v>21.5</v>
      </c>
      <c r="OT74" s="334">
        <v>0.41</v>
      </c>
      <c r="OU74" s="334">
        <v>77.393000000000001</v>
      </c>
      <c r="OV74" s="334">
        <v>19.920000000000002</v>
      </c>
    </row>
    <row r="75" spans="1:412">
      <c r="B75" s="333" t="s">
        <v>254</v>
      </c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9"/>
      <c r="S75" s="339"/>
      <c r="T75" s="339"/>
      <c r="U75" s="339"/>
      <c r="V75" s="33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39"/>
      <c r="AH75" s="339"/>
      <c r="AI75" s="339"/>
      <c r="AJ75" s="339"/>
      <c r="AK75" s="339"/>
      <c r="AL75" s="339"/>
      <c r="AM75" s="339"/>
      <c r="AN75" s="339"/>
      <c r="AO75" s="339"/>
      <c r="AP75" s="339"/>
      <c r="AQ75" s="339"/>
      <c r="AR75" s="339"/>
      <c r="AS75" s="339"/>
      <c r="AT75" s="339"/>
      <c r="AU75" s="339"/>
      <c r="AV75" s="339"/>
      <c r="AW75" s="339"/>
      <c r="AX75" s="339"/>
      <c r="AY75" s="503"/>
      <c r="AZ75" s="503"/>
      <c r="BA75" s="503"/>
      <c r="BB75" s="503"/>
      <c r="BC75" s="503"/>
      <c r="BD75" s="503"/>
      <c r="BE75" s="503"/>
      <c r="BF75" s="503"/>
      <c r="BG75" s="503"/>
      <c r="BH75" s="503"/>
      <c r="BI75" s="503"/>
      <c r="BJ75" s="503"/>
      <c r="BK75" s="503"/>
      <c r="BL75" s="503"/>
      <c r="BM75" s="503"/>
      <c r="BN75" s="503"/>
      <c r="BO75" s="503"/>
      <c r="BP75" s="503"/>
      <c r="BQ75" s="504"/>
      <c r="BR75" s="504"/>
      <c r="BS75" s="504"/>
      <c r="BT75" s="504"/>
      <c r="BU75" s="504"/>
      <c r="BV75" s="504"/>
      <c r="BW75" s="504"/>
      <c r="BX75" s="504"/>
      <c r="BY75" s="504"/>
      <c r="BZ75" s="503"/>
      <c r="CA75" s="503"/>
      <c r="CB75" s="503"/>
      <c r="CC75" s="503"/>
      <c r="CD75" s="503"/>
      <c r="CE75" s="503"/>
      <c r="CF75" s="503"/>
      <c r="CG75" s="503"/>
      <c r="CH75" s="503"/>
      <c r="CI75" s="503"/>
      <c r="CJ75" s="503"/>
      <c r="CK75" s="503"/>
      <c r="CL75" s="503"/>
      <c r="CM75" s="503"/>
      <c r="CN75" s="503"/>
      <c r="CO75" s="503"/>
      <c r="CP75" s="503"/>
      <c r="CQ75" s="503"/>
      <c r="CR75" s="504"/>
      <c r="CS75" s="504"/>
      <c r="CT75" s="504"/>
      <c r="CU75" s="503"/>
      <c r="CV75" s="503"/>
      <c r="CW75" s="503"/>
      <c r="CX75" s="339"/>
      <c r="CY75" s="339"/>
      <c r="CZ75" s="339"/>
      <c r="DA75" s="339"/>
      <c r="DB75" s="339"/>
      <c r="DC75" s="339"/>
      <c r="DD75" s="339"/>
      <c r="DE75" s="339"/>
      <c r="DF75" s="339"/>
      <c r="DG75" s="339"/>
      <c r="DH75" s="339"/>
      <c r="DI75" s="339"/>
      <c r="DJ75" s="339"/>
      <c r="DK75" s="339"/>
      <c r="DL75" s="339"/>
      <c r="DM75" s="339"/>
      <c r="DN75" s="339"/>
      <c r="DO75" s="339"/>
      <c r="DP75" s="339"/>
      <c r="DQ75" s="339"/>
      <c r="DR75" s="339"/>
      <c r="DS75" s="339"/>
      <c r="DT75" s="339"/>
      <c r="DU75" s="339"/>
      <c r="DV75" s="339"/>
      <c r="DW75" s="339"/>
      <c r="DX75" s="339"/>
      <c r="DY75" s="339"/>
      <c r="DZ75" s="339"/>
      <c r="EA75" s="339"/>
      <c r="EB75" s="340"/>
      <c r="EC75" s="340"/>
      <c r="ED75" s="340"/>
      <c r="EE75" s="339"/>
      <c r="EF75" s="339"/>
      <c r="EG75" s="339"/>
      <c r="EH75" s="339"/>
      <c r="EI75" s="339"/>
      <c r="EJ75" s="339"/>
      <c r="EK75" s="339"/>
      <c r="EL75" s="339"/>
      <c r="EM75" s="339"/>
      <c r="EN75" s="339"/>
      <c r="EO75" s="339"/>
      <c r="EP75" s="339"/>
      <c r="EQ75" s="339"/>
      <c r="ER75" s="339"/>
      <c r="ES75" s="339"/>
      <c r="ET75" s="339"/>
      <c r="EU75" s="339"/>
      <c r="EV75" s="339"/>
      <c r="EW75" s="339"/>
      <c r="EX75" s="339"/>
      <c r="EY75" s="339"/>
      <c r="EZ75" s="339"/>
      <c r="FA75" s="339"/>
      <c r="FB75" s="339"/>
      <c r="FC75" s="339"/>
      <c r="FD75" s="339"/>
      <c r="FE75" s="339"/>
      <c r="FF75" s="339"/>
      <c r="FG75" s="339"/>
      <c r="FH75" s="342"/>
      <c r="FI75" s="339"/>
      <c r="FJ75" s="339"/>
      <c r="FK75" s="339"/>
      <c r="FL75" s="339"/>
      <c r="FM75" s="339"/>
      <c r="FN75" s="339"/>
      <c r="FO75" s="339"/>
      <c r="FP75" s="339"/>
      <c r="FQ75" s="339"/>
      <c r="FR75" s="339"/>
      <c r="FS75" s="339"/>
      <c r="FT75" s="339"/>
      <c r="FU75" s="339"/>
      <c r="FV75" s="339"/>
      <c r="FW75" s="339"/>
      <c r="FX75" s="339"/>
      <c r="FY75" s="339"/>
      <c r="FZ75" s="339"/>
      <c r="GA75" s="339"/>
      <c r="GB75" s="339"/>
      <c r="GC75" s="339"/>
      <c r="GD75" s="339"/>
      <c r="GE75" s="339"/>
      <c r="GF75" s="339"/>
      <c r="GG75" s="339"/>
      <c r="GH75" s="339"/>
      <c r="GI75" s="339"/>
      <c r="GJ75" s="339"/>
      <c r="GK75" s="339"/>
      <c r="GL75" s="339"/>
      <c r="GM75" s="339"/>
      <c r="GN75" s="339"/>
      <c r="GO75" s="339"/>
      <c r="GP75" s="339"/>
      <c r="GQ75" s="339"/>
      <c r="GR75" s="339"/>
      <c r="GS75" s="339"/>
      <c r="GT75" s="339"/>
      <c r="GU75" s="339"/>
      <c r="GV75" s="339"/>
      <c r="GW75" s="339"/>
      <c r="GX75" s="339"/>
      <c r="GY75" s="339"/>
      <c r="GZ75" s="339"/>
      <c r="HA75" s="339"/>
      <c r="HB75" s="339"/>
      <c r="HC75" s="339"/>
      <c r="HD75" s="339"/>
      <c r="HE75" s="339"/>
      <c r="HF75" s="339"/>
      <c r="HG75" s="339"/>
      <c r="HH75" s="339"/>
      <c r="HI75" s="505"/>
      <c r="HJ75" s="339"/>
      <c r="HK75" s="339"/>
      <c r="HL75" s="339"/>
      <c r="HM75" s="339"/>
      <c r="HN75" s="339"/>
      <c r="HO75" s="339"/>
      <c r="HP75" s="339"/>
      <c r="HQ75" s="339"/>
      <c r="HR75" s="339"/>
      <c r="HS75" s="339"/>
      <c r="HT75" s="339"/>
      <c r="HU75" s="339"/>
      <c r="HV75" s="339"/>
      <c r="HW75" s="339"/>
      <c r="HX75" s="506"/>
      <c r="HY75" s="513"/>
      <c r="HZ75" s="339"/>
      <c r="IA75" s="339"/>
      <c r="IB75" s="339"/>
      <c r="IC75" s="339"/>
      <c r="ID75" s="339"/>
      <c r="IE75" s="339"/>
      <c r="IF75" s="339"/>
      <c r="IG75" s="339"/>
      <c r="IH75" s="339"/>
      <c r="II75" s="339"/>
      <c r="IJ75" s="505"/>
      <c r="IK75" s="339"/>
      <c r="IL75" s="339"/>
      <c r="IM75" s="339"/>
      <c r="IN75" s="339"/>
      <c r="IO75" s="339"/>
      <c r="IP75" s="339"/>
      <c r="IQ75" s="339"/>
      <c r="IR75" s="339"/>
      <c r="IS75" s="339"/>
      <c r="IT75" s="339"/>
      <c r="IU75" s="339"/>
      <c r="IV75" s="339"/>
      <c r="IW75" s="339"/>
      <c r="IX75" s="339"/>
      <c r="IY75" s="339"/>
      <c r="IZ75" s="342"/>
      <c r="JA75" s="339"/>
      <c r="JB75" s="339"/>
      <c r="JC75" s="339"/>
      <c r="JD75" s="339"/>
      <c r="JE75" s="339"/>
      <c r="JF75" s="339"/>
      <c r="JG75" s="339"/>
      <c r="JH75" s="339"/>
      <c r="JI75" s="339"/>
      <c r="JJ75" s="339"/>
      <c r="JK75" s="339"/>
      <c r="JL75" s="339"/>
      <c r="JM75" s="339"/>
      <c r="JN75" s="339"/>
      <c r="JO75" s="339"/>
      <c r="JP75" s="339"/>
      <c r="JQ75" s="339"/>
      <c r="JR75" s="339"/>
      <c r="JS75" s="339"/>
      <c r="JT75" s="342"/>
      <c r="JU75" s="342"/>
      <c r="JV75" s="339"/>
      <c r="JW75" s="339"/>
      <c r="JX75" s="339"/>
      <c r="JY75" s="339"/>
      <c r="JZ75" s="339"/>
      <c r="KA75" s="339"/>
      <c r="KB75" s="339"/>
      <c r="KC75" s="339"/>
      <c r="KD75" s="339"/>
      <c r="KE75" s="339"/>
      <c r="KF75" s="339"/>
      <c r="KG75" s="339"/>
      <c r="KH75" s="339"/>
      <c r="KI75" s="339"/>
      <c r="KJ75" s="339"/>
      <c r="KK75" s="339"/>
      <c r="KL75" s="339"/>
      <c r="KM75" s="339"/>
      <c r="KN75" s="339"/>
      <c r="KO75" s="339"/>
      <c r="KP75" s="339"/>
      <c r="KQ75" s="339"/>
      <c r="KR75" s="339"/>
      <c r="KS75" s="339"/>
      <c r="KT75" s="339" t="s">
        <v>96</v>
      </c>
      <c r="KU75" s="339"/>
      <c r="KV75" s="339"/>
      <c r="KW75" s="334">
        <v>21.53</v>
      </c>
      <c r="KX75" s="334">
        <v>42</v>
      </c>
      <c r="KY75" s="334">
        <v>0.41499999999999998</v>
      </c>
      <c r="KZ75" s="334">
        <v>21.53</v>
      </c>
      <c r="LA75" s="334">
        <v>38</v>
      </c>
      <c r="LB75" s="334">
        <v>0.41499999999999998</v>
      </c>
      <c r="LC75" s="334">
        <v>21.53</v>
      </c>
      <c r="LD75" s="334">
        <v>40.5</v>
      </c>
      <c r="LE75" s="334">
        <v>0.40500000000000003</v>
      </c>
      <c r="LF75" s="334">
        <v>21.53</v>
      </c>
      <c r="LG75" s="334">
        <v>36.375</v>
      </c>
      <c r="LH75" s="334">
        <v>0.40500000000000003</v>
      </c>
      <c r="LI75" s="334">
        <v>21.53</v>
      </c>
      <c r="LJ75" s="334">
        <v>37.75</v>
      </c>
      <c r="LK75" s="334">
        <v>0.40500000000000003</v>
      </c>
      <c r="LL75" s="334">
        <v>21.53</v>
      </c>
      <c r="LM75" s="334">
        <v>39.875</v>
      </c>
      <c r="LN75" s="334">
        <v>0.40500000000000003</v>
      </c>
      <c r="LO75" s="334">
        <v>21.532</v>
      </c>
      <c r="LP75" s="334">
        <v>33.25</v>
      </c>
      <c r="LQ75" s="334">
        <v>0.39500000000000002</v>
      </c>
      <c r="LR75" s="334">
        <v>21.53</v>
      </c>
      <c r="LS75" s="334">
        <v>27</v>
      </c>
      <c r="LT75" s="334">
        <v>0.39500000000000002</v>
      </c>
      <c r="LU75" s="334">
        <v>21.53</v>
      </c>
      <c r="LV75" s="334">
        <v>23.937999999999999</v>
      </c>
      <c r="LW75" s="334">
        <v>0.39500000000000002</v>
      </c>
      <c r="LX75" s="334">
        <v>21.53</v>
      </c>
      <c r="LY75" s="334">
        <v>20.875</v>
      </c>
      <c r="LZ75" s="334">
        <v>0.39500000000000002</v>
      </c>
      <c r="MA75" s="334">
        <v>21.53</v>
      </c>
      <c r="MB75" s="334">
        <v>23.5</v>
      </c>
      <c r="MC75" s="334">
        <v>0.38500000000000001</v>
      </c>
      <c r="MD75" s="334">
        <v>20.712</v>
      </c>
      <c r="ME75" s="334">
        <v>23.75</v>
      </c>
      <c r="MF75" s="334">
        <v>0.38500000000000001</v>
      </c>
      <c r="MG75" s="334">
        <v>20.712</v>
      </c>
      <c r="MH75" s="334">
        <v>25.75</v>
      </c>
      <c r="MI75" s="334">
        <v>0.38500000000000001</v>
      </c>
      <c r="MJ75" s="334">
        <v>20.712</v>
      </c>
      <c r="MK75" s="334">
        <v>23.375</v>
      </c>
      <c r="ML75" s="334">
        <v>0.375</v>
      </c>
      <c r="MM75" s="334">
        <v>20.712</v>
      </c>
      <c r="MN75" s="334">
        <v>22.375</v>
      </c>
      <c r="MO75" s="334">
        <v>0.375</v>
      </c>
      <c r="MP75" s="334">
        <v>20.712</v>
      </c>
      <c r="MQ75" s="334">
        <v>21.687999999999999</v>
      </c>
      <c r="MR75" s="334">
        <v>0.375</v>
      </c>
      <c r="MS75" s="334">
        <v>20.712</v>
      </c>
      <c r="MT75" s="334">
        <v>18.875</v>
      </c>
      <c r="MU75" s="334">
        <v>0.375</v>
      </c>
      <c r="MV75" s="334">
        <v>20.712</v>
      </c>
      <c r="MW75" s="334">
        <v>20.5</v>
      </c>
      <c r="MX75" s="334">
        <v>0.375</v>
      </c>
      <c r="MY75" s="334">
        <v>20.712</v>
      </c>
      <c r="MZ75" s="334">
        <v>18.1875</v>
      </c>
      <c r="NA75" s="334">
        <v>0.375</v>
      </c>
      <c r="NB75" s="334">
        <v>20.712</v>
      </c>
      <c r="NC75" s="334">
        <v>19.3125</v>
      </c>
      <c r="ND75" s="334">
        <v>0.375</v>
      </c>
      <c r="NE75" s="334">
        <v>20.712</v>
      </c>
      <c r="NF75" s="334">
        <v>20.25</v>
      </c>
      <c r="NG75" s="334">
        <v>0.375</v>
      </c>
      <c r="NH75" s="334">
        <v>20.463999999999999</v>
      </c>
      <c r="NI75" s="334">
        <v>21.5625</v>
      </c>
      <c r="NJ75" s="334">
        <v>0.375</v>
      </c>
      <c r="NK75" s="334">
        <v>20.463999999999999</v>
      </c>
      <c r="NL75" s="334">
        <v>23.125</v>
      </c>
      <c r="NM75" s="334">
        <v>0.36499999999999999</v>
      </c>
      <c r="NN75" s="334">
        <v>20.463999999999999</v>
      </c>
      <c r="NO75" s="334">
        <v>24.9375</v>
      </c>
      <c r="NP75" s="334">
        <v>0.36499999999999999</v>
      </c>
      <c r="NQ75" s="334">
        <v>20.382000000000001</v>
      </c>
      <c r="NR75" s="334">
        <v>23.625</v>
      </c>
      <c r="NS75" s="334">
        <v>0.36499999999999999</v>
      </c>
      <c r="NT75" s="334">
        <v>20.321999999999999</v>
      </c>
      <c r="NU75" s="334">
        <v>24.4375</v>
      </c>
      <c r="NV75" s="334">
        <v>0.36499999999999999</v>
      </c>
      <c r="NW75" s="334">
        <v>20.132000000000001</v>
      </c>
      <c r="NX75" s="334">
        <v>21.31</v>
      </c>
      <c r="NY75" s="334">
        <v>0.37</v>
      </c>
      <c r="NZ75" s="334">
        <v>20.132000000000001</v>
      </c>
      <c r="OA75" s="334">
        <v>20.190000000000001</v>
      </c>
      <c r="OB75" s="334">
        <v>0.37</v>
      </c>
      <c r="OC75" s="334">
        <v>20.097999999999999</v>
      </c>
      <c r="OD75" s="334">
        <v>19.88</v>
      </c>
      <c r="OE75" s="334">
        <v>0.37</v>
      </c>
      <c r="OF75" s="334">
        <v>20.062000000000001</v>
      </c>
      <c r="OG75" s="334">
        <v>18.63</v>
      </c>
      <c r="OH75" s="334">
        <v>0.37</v>
      </c>
      <c r="OI75" s="334">
        <v>19.888000000000002</v>
      </c>
      <c r="OJ75" s="334">
        <v>19.63</v>
      </c>
      <c r="OK75" s="334">
        <v>0.37</v>
      </c>
      <c r="OL75" s="334">
        <v>19.853999999999999</v>
      </c>
      <c r="OM75" s="334">
        <v>18.38</v>
      </c>
      <c r="ON75" s="334">
        <v>0.37</v>
      </c>
      <c r="OO75" s="334">
        <v>19.82</v>
      </c>
      <c r="OP75" s="334">
        <v>16.190000000000001</v>
      </c>
      <c r="OQ75" s="334">
        <v>0.37</v>
      </c>
      <c r="OR75" s="334">
        <v>19.786000000000001</v>
      </c>
      <c r="OS75" s="334">
        <v>16.059999999999999</v>
      </c>
      <c r="OT75" s="334">
        <v>0.37</v>
      </c>
      <c r="OU75" s="334">
        <v>19.62</v>
      </c>
      <c r="OV75" s="334">
        <v>16.63</v>
      </c>
    </row>
    <row r="76" spans="1:412">
      <c r="A76" s="294" t="s">
        <v>101</v>
      </c>
      <c r="B76" s="335" t="s">
        <v>144</v>
      </c>
      <c r="C76" s="335">
        <v>346.2</v>
      </c>
      <c r="D76" s="335">
        <v>89.23</v>
      </c>
      <c r="E76" s="335">
        <v>0.83</v>
      </c>
      <c r="F76" s="335">
        <v>345.9</v>
      </c>
      <c r="G76" s="335">
        <v>104.13</v>
      </c>
      <c r="H76" s="335">
        <v>0.83</v>
      </c>
      <c r="I76" s="335">
        <v>345.5</v>
      </c>
      <c r="J76" s="335">
        <v>89.42</v>
      </c>
      <c r="K76" s="335">
        <v>0.83</v>
      </c>
      <c r="L76" s="335">
        <v>345.3</v>
      </c>
      <c r="M76" s="335">
        <v>90.81</v>
      </c>
      <c r="N76" s="335">
        <v>0.83</v>
      </c>
      <c r="O76" s="335">
        <v>345</v>
      </c>
      <c r="P76" s="335">
        <v>90.97</v>
      </c>
      <c r="Q76" s="335">
        <v>0.81</v>
      </c>
      <c r="R76" s="340">
        <v>345.9</v>
      </c>
      <c r="S76" s="340">
        <v>85.53</v>
      </c>
      <c r="T76" s="340">
        <v>0.81</v>
      </c>
      <c r="U76" s="340">
        <v>352.9</v>
      </c>
      <c r="V76" s="340">
        <v>90.4</v>
      </c>
      <c r="W76" s="340">
        <v>0.81</v>
      </c>
      <c r="X76" s="340">
        <v>354.5</v>
      </c>
      <c r="Y76" s="340">
        <v>95.67</v>
      </c>
      <c r="Z76" s="340">
        <v>0.81</v>
      </c>
      <c r="AA76" s="340">
        <v>354.6</v>
      </c>
      <c r="AB76" s="340">
        <v>95.31</v>
      </c>
      <c r="AC76" s="340">
        <v>0.79</v>
      </c>
      <c r="AD76" s="340">
        <v>354.3</v>
      </c>
      <c r="AE76" s="340">
        <v>85.76</v>
      </c>
      <c r="AF76" s="340">
        <v>0.79</v>
      </c>
      <c r="AG76" s="340">
        <v>354.1</v>
      </c>
      <c r="AH76" s="340">
        <v>95.1</v>
      </c>
      <c r="AI76" s="340">
        <v>0.79</v>
      </c>
      <c r="AJ76" s="340">
        <v>348.4</v>
      </c>
      <c r="AK76" s="340">
        <v>94.68</v>
      </c>
      <c r="AL76" s="340">
        <v>0.79</v>
      </c>
      <c r="AM76" s="340">
        <v>353.4</v>
      </c>
      <c r="AN76" s="340">
        <v>85.32</v>
      </c>
      <c r="AO76" s="340">
        <v>0.77500000000000002</v>
      </c>
      <c r="AP76" s="340">
        <v>345.4</v>
      </c>
      <c r="AQ76" s="340">
        <v>72.59</v>
      </c>
      <c r="AR76" s="340">
        <v>0.77500000000000002</v>
      </c>
      <c r="AS76" s="340">
        <v>342.2</v>
      </c>
      <c r="AT76" s="340">
        <v>71.72</v>
      </c>
      <c r="AU76" s="340">
        <v>0.77500000000000002</v>
      </c>
      <c r="AV76" s="340">
        <v>334.8</v>
      </c>
      <c r="AW76" s="340">
        <v>74.8</v>
      </c>
      <c r="AX76" s="340">
        <v>0.77500000000000002</v>
      </c>
      <c r="AY76" s="503">
        <v>334.5</v>
      </c>
      <c r="AZ76" s="503">
        <v>72.27</v>
      </c>
      <c r="BA76" s="503">
        <v>0.76500000000000001</v>
      </c>
      <c r="BB76" s="504">
        <v>334.1</v>
      </c>
      <c r="BC76" s="504">
        <v>77.8</v>
      </c>
      <c r="BD76" s="504">
        <v>0.76500000000000001</v>
      </c>
      <c r="BE76" s="504">
        <v>333.6</v>
      </c>
      <c r="BF76" s="504">
        <v>71.930000000000007</v>
      </c>
      <c r="BG76" s="504">
        <v>0.76500000000000001</v>
      </c>
      <c r="BH76" s="504">
        <v>328.5</v>
      </c>
      <c r="BI76" s="504">
        <v>78</v>
      </c>
      <c r="BJ76" s="518">
        <v>0.76500000000000001</v>
      </c>
      <c r="BK76" s="504">
        <v>332.2</v>
      </c>
      <c r="BL76" s="504">
        <v>90.47</v>
      </c>
      <c r="BM76" s="504">
        <v>0.74</v>
      </c>
      <c r="BN76" s="504">
        <v>328.3</v>
      </c>
      <c r="BO76" s="504">
        <v>94.47</v>
      </c>
      <c r="BP76" s="504">
        <v>0.74</v>
      </c>
      <c r="BQ76" s="504">
        <v>322.5</v>
      </c>
      <c r="BR76" s="504">
        <v>87.68</v>
      </c>
      <c r="BS76" s="504">
        <v>0.74</v>
      </c>
      <c r="BT76" s="504">
        <v>311.7</v>
      </c>
      <c r="BU76" s="504">
        <v>84.81</v>
      </c>
      <c r="BV76" s="507">
        <v>0.74</v>
      </c>
      <c r="BW76" s="504">
        <v>311.10000000000002</v>
      </c>
      <c r="BX76" s="504">
        <v>76.459999999999994</v>
      </c>
      <c r="BY76" s="504">
        <v>0.71499999999999997</v>
      </c>
      <c r="BZ76" s="504">
        <v>310.8</v>
      </c>
      <c r="CA76" s="504">
        <v>76.19</v>
      </c>
      <c r="CB76" s="504">
        <v>0.71499999999999997</v>
      </c>
      <c r="CC76" s="503">
        <v>310.39999999999998</v>
      </c>
      <c r="CD76" s="503">
        <v>77.98</v>
      </c>
      <c r="CE76" s="503">
        <v>0.71499999999999997</v>
      </c>
      <c r="CF76" s="503">
        <v>310.10000000000002</v>
      </c>
      <c r="CG76" s="503">
        <v>77.94</v>
      </c>
      <c r="CH76" s="508">
        <v>0.71499999999999997</v>
      </c>
      <c r="CI76" s="503">
        <v>307.8</v>
      </c>
      <c r="CJ76" s="503">
        <v>84.95</v>
      </c>
      <c r="CK76" s="503">
        <v>0.69</v>
      </c>
      <c r="CL76" s="503">
        <v>305.39999999999998</v>
      </c>
      <c r="CM76" s="503">
        <v>80.680000000000007</v>
      </c>
      <c r="CN76" s="503">
        <v>0.69</v>
      </c>
      <c r="CO76" s="503">
        <v>305.10000000000002</v>
      </c>
      <c r="CP76" s="503">
        <v>80.819999999999993</v>
      </c>
      <c r="CQ76" s="503">
        <v>0.69</v>
      </c>
      <c r="CR76" s="504">
        <v>300.39999999999998</v>
      </c>
      <c r="CS76" s="504">
        <v>77.66</v>
      </c>
      <c r="CT76" s="514">
        <v>0.69</v>
      </c>
      <c r="CU76" s="503">
        <v>304.5</v>
      </c>
      <c r="CV76" s="503">
        <v>73.680000000000007</v>
      </c>
      <c r="CW76" s="503">
        <v>0.67</v>
      </c>
      <c r="CX76" s="339">
        <v>299.10000000000002</v>
      </c>
      <c r="CY76" s="339">
        <v>75.3</v>
      </c>
      <c r="CZ76" s="339">
        <v>0.67</v>
      </c>
      <c r="DA76" s="339">
        <v>293.7</v>
      </c>
      <c r="DB76" s="339">
        <v>80.44</v>
      </c>
      <c r="DC76" s="339">
        <v>0.67</v>
      </c>
      <c r="DD76" s="339">
        <v>293</v>
      </c>
      <c r="DE76" s="339">
        <v>76.62</v>
      </c>
      <c r="DF76" s="511">
        <v>0.67</v>
      </c>
      <c r="DG76" s="339">
        <v>292.89999999999998</v>
      </c>
      <c r="DH76" s="339">
        <v>64.27</v>
      </c>
      <c r="DI76" s="339">
        <v>0.65</v>
      </c>
      <c r="DJ76" s="339">
        <v>292.89999999999998</v>
      </c>
      <c r="DK76" s="339">
        <v>66.849999999999994</v>
      </c>
      <c r="DL76" s="339">
        <v>0.65</v>
      </c>
      <c r="DM76" s="339">
        <v>292.89999999999998</v>
      </c>
      <c r="DN76" s="339">
        <v>57.88</v>
      </c>
      <c r="DO76" s="339">
        <v>0.65</v>
      </c>
      <c r="DP76" s="340">
        <v>292.89999999999998</v>
      </c>
      <c r="DQ76" s="340">
        <v>61</v>
      </c>
      <c r="DR76" s="515">
        <v>0.65</v>
      </c>
      <c r="DS76" s="339">
        <v>292.89999999999998</v>
      </c>
      <c r="DT76" s="339">
        <v>66.010000000000005</v>
      </c>
      <c r="DU76" s="339">
        <v>0.63</v>
      </c>
      <c r="DV76" s="339">
        <v>292.89999999999998</v>
      </c>
      <c r="DW76" s="339">
        <v>56.66</v>
      </c>
      <c r="DX76" s="339">
        <v>0.63</v>
      </c>
      <c r="DY76" s="339">
        <v>292.89999999999998</v>
      </c>
      <c r="DZ76" s="339">
        <v>57.74</v>
      </c>
      <c r="EA76" s="339">
        <v>0.63</v>
      </c>
      <c r="EB76" s="340">
        <v>292.89999999999998</v>
      </c>
      <c r="EC76" s="340">
        <v>53.65</v>
      </c>
      <c r="ED76" s="515">
        <v>0.63</v>
      </c>
      <c r="EE76" s="339">
        <v>292.89999999999998</v>
      </c>
      <c r="EF76" s="339">
        <v>55.28</v>
      </c>
      <c r="EG76" s="530">
        <v>0.61499999999999999</v>
      </c>
      <c r="EH76" s="530">
        <v>292.89999999999998</v>
      </c>
      <c r="EI76" s="530">
        <v>55.14</v>
      </c>
      <c r="EJ76" s="530">
        <v>0.61499999999999999</v>
      </c>
      <c r="EK76" s="339">
        <v>292.89999999999998</v>
      </c>
      <c r="EL76" s="339">
        <v>58.31</v>
      </c>
      <c r="EM76" s="339">
        <v>0.61499999999999999</v>
      </c>
      <c r="EN76" s="340">
        <v>292.89999999999998</v>
      </c>
      <c r="EO76" s="340">
        <v>61.03</v>
      </c>
      <c r="EP76" s="515">
        <v>0.61499999999999999</v>
      </c>
      <c r="EQ76" s="339">
        <v>292.89999999999998</v>
      </c>
      <c r="ER76" s="339">
        <v>55.54</v>
      </c>
      <c r="ES76" s="339">
        <v>0.60499999999999998</v>
      </c>
      <c r="ET76" s="339">
        <v>292.89999999999998</v>
      </c>
      <c r="EU76" s="339">
        <v>59.89</v>
      </c>
      <c r="EV76" s="339">
        <v>0.60499999999999998</v>
      </c>
      <c r="EW76" s="339">
        <v>292.89999999999998</v>
      </c>
      <c r="EX76" s="339">
        <v>62.18</v>
      </c>
      <c r="EY76" s="339">
        <v>0.60499999999999998</v>
      </c>
      <c r="EZ76" s="340">
        <v>292.60000000000002</v>
      </c>
      <c r="FA76" s="340">
        <v>58.42</v>
      </c>
      <c r="FB76" s="515">
        <v>0.60499999999999998</v>
      </c>
      <c r="FC76" s="339">
        <v>292.89999999999998</v>
      </c>
      <c r="FD76" s="339">
        <v>62.03</v>
      </c>
      <c r="FE76" s="339">
        <v>0.6</v>
      </c>
      <c r="FF76" s="339">
        <v>292.7</v>
      </c>
      <c r="FG76" s="339">
        <v>57.02</v>
      </c>
      <c r="FH76" s="339">
        <v>0.6</v>
      </c>
      <c r="FI76" s="339">
        <v>292</v>
      </c>
      <c r="FJ76" s="339">
        <v>53.24</v>
      </c>
      <c r="FK76" s="339">
        <v>0.6</v>
      </c>
      <c r="FL76" s="339">
        <v>290.60000000000002</v>
      </c>
      <c r="FM76" s="339">
        <v>50.72</v>
      </c>
      <c r="FN76" s="511">
        <v>0.6</v>
      </c>
      <c r="FO76" s="339">
        <v>283</v>
      </c>
      <c r="FP76" s="339">
        <v>49.57</v>
      </c>
      <c r="FQ76" s="339">
        <v>0.59499999999999997</v>
      </c>
      <c r="FR76" s="339">
        <v>282</v>
      </c>
      <c r="FS76" s="339">
        <v>48.22</v>
      </c>
      <c r="FT76" s="339">
        <v>0.59499999999999997</v>
      </c>
      <c r="FU76" s="339">
        <v>281.39999999999998</v>
      </c>
      <c r="FV76" s="339">
        <v>43.1</v>
      </c>
      <c r="FW76" s="339">
        <v>0.59499999999999997</v>
      </c>
      <c r="FX76" s="339">
        <v>276.89999999999998</v>
      </c>
      <c r="FY76" s="339">
        <v>44.54</v>
      </c>
      <c r="FZ76" s="339">
        <v>0.59499999999999997</v>
      </c>
      <c r="GA76" s="339">
        <v>275.10000000000002</v>
      </c>
      <c r="GB76" s="339">
        <v>45.43</v>
      </c>
      <c r="GC76" s="339">
        <v>0.59</v>
      </c>
      <c r="GD76" s="339">
        <v>274.5</v>
      </c>
      <c r="GE76" s="339">
        <v>40.94</v>
      </c>
      <c r="GF76" s="339">
        <v>0.59</v>
      </c>
      <c r="GG76" s="339">
        <v>273.89999999999998</v>
      </c>
      <c r="GH76" s="339">
        <v>37.42</v>
      </c>
      <c r="GI76" s="339">
        <v>0.59</v>
      </c>
      <c r="GJ76" s="339">
        <v>273.60000000000002</v>
      </c>
      <c r="GK76" s="339">
        <v>39.61</v>
      </c>
      <c r="GL76" s="339">
        <v>0.59</v>
      </c>
      <c r="GM76" s="339">
        <v>273.2</v>
      </c>
      <c r="GN76" s="339">
        <v>38.93</v>
      </c>
      <c r="GO76" s="339">
        <v>0.58499999999999996</v>
      </c>
      <c r="GP76" s="339">
        <v>272.7</v>
      </c>
      <c r="GQ76" s="339">
        <v>42.96</v>
      </c>
      <c r="GR76" s="339">
        <v>0.58499999999999996</v>
      </c>
      <c r="GS76" s="339">
        <v>272.2</v>
      </c>
      <c r="GT76" s="339">
        <v>39.090000000000003</v>
      </c>
      <c r="GU76" s="339">
        <v>0.58499999999999996</v>
      </c>
      <c r="GV76" s="339">
        <v>266.3</v>
      </c>
      <c r="GW76" s="339">
        <v>39.700000000000003</v>
      </c>
      <c r="GX76" s="339">
        <v>0.58499999999999996</v>
      </c>
      <c r="GY76" s="339">
        <v>271</v>
      </c>
      <c r="GZ76" s="339">
        <v>48.85</v>
      </c>
      <c r="HA76" s="339">
        <v>0.57999999999999996</v>
      </c>
      <c r="HB76" s="339">
        <v>264.89999999999998</v>
      </c>
      <c r="HC76" s="339">
        <v>46.3</v>
      </c>
      <c r="HD76" s="339">
        <v>0.57999999999999996</v>
      </c>
      <c r="HE76" s="339">
        <v>258</v>
      </c>
      <c r="HF76" s="339">
        <v>45.12</v>
      </c>
      <c r="HG76" s="339">
        <v>0.57999999999999996</v>
      </c>
      <c r="HH76" s="339">
        <v>249.3</v>
      </c>
      <c r="HI76" s="505">
        <v>51.06</v>
      </c>
      <c r="HJ76" s="339">
        <v>0.57999999999999996</v>
      </c>
      <c r="HK76" s="339">
        <v>249</v>
      </c>
      <c r="HL76" s="339">
        <v>48.07</v>
      </c>
      <c r="HM76" s="339">
        <v>0.57499999999999996</v>
      </c>
      <c r="HN76" s="339">
        <v>245.9</v>
      </c>
      <c r="HO76" s="339">
        <v>46.2</v>
      </c>
      <c r="HP76" s="339">
        <v>0.57499999999999996</v>
      </c>
      <c r="HQ76" s="339">
        <v>245.5</v>
      </c>
      <c r="HR76" s="339">
        <v>44.44</v>
      </c>
      <c r="HS76" s="339">
        <v>0.57499999999999996</v>
      </c>
      <c r="HT76" s="339">
        <v>245</v>
      </c>
      <c r="HU76" s="339">
        <v>43.5</v>
      </c>
      <c r="HV76" s="339">
        <v>0.57499999999999996</v>
      </c>
      <c r="HW76" s="339">
        <v>244.4</v>
      </c>
      <c r="HX76" s="506">
        <v>46.33</v>
      </c>
      <c r="HY76" s="513">
        <f>2.28/4</f>
        <v>0.56999999999999995</v>
      </c>
      <c r="HZ76" s="339">
        <v>243.4</v>
      </c>
      <c r="IA76" s="339">
        <v>48.55</v>
      </c>
      <c r="IB76" s="339">
        <v>0.56999999999999995</v>
      </c>
      <c r="IC76" s="339">
        <v>242.7</v>
      </c>
      <c r="ID76" s="339">
        <v>46.84</v>
      </c>
      <c r="IE76" s="339">
        <v>0.56999999999999995</v>
      </c>
      <c r="IF76" s="339">
        <v>241.5</v>
      </c>
      <c r="IG76" s="339">
        <v>42.18</v>
      </c>
      <c r="IH76" s="339">
        <v>0.56999999999999995</v>
      </c>
      <c r="II76" s="339">
        <v>241.5</v>
      </c>
      <c r="IJ76" s="505">
        <v>43.75</v>
      </c>
      <c r="IK76" s="339">
        <v>0.56499999999999995</v>
      </c>
      <c r="IL76" s="339">
        <v>234</v>
      </c>
      <c r="IM76" s="339">
        <v>42.04</v>
      </c>
      <c r="IN76" s="339">
        <v>0.56499999999999995</v>
      </c>
      <c r="IO76" s="339">
        <v>226.2</v>
      </c>
      <c r="IP76" s="339">
        <v>39.76</v>
      </c>
      <c r="IQ76" s="339">
        <v>0.56499999999999995</v>
      </c>
      <c r="IR76" s="339">
        <v>225.5</v>
      </c>
      <c r="IS76" s="339">
        <v>44.1</v>
      </c>
      <c r="IT76" s="339">
        <v>0.56499999999999995</v>
      </c>
      <c r="IU76" s="339">
        <v>225</v>
      </c>
      <c r="IV76" s="339">
        <v>43.01</v>
      </c>
      <c r="IW76" s="339">
        <v>0.56000000000000005</v>
      </c>
      <c r="IX76" s="339">
        <v>219.3</v>
      </c>
      <c r="IY76" s="339">
        <v>40.76</v>
      </c>
      <c r="IZ76" s="339">
        <v>0.56000000000000005</v>
      </c>
      <c r="JA76" s="339">
        <v>214.2</v>
      </c>
      <c r="JB76" s="339">
        <v>43.28</v>
      </c>
      <c r="JC76" s="339">
        <v>0.56000000000000005</v>
      </c>
      <c r="JD76" s="339">
        <v>213.67358300000001</v>
      </c>
      <c r="JE76" s="339">
        <v>38.47</v>
      </c>
      <c r="JF76" s="339">
        <v>0.56000000000000005</v>
      </c>
      <c r="JG76" s="339">
        <v>213.21899999999999</v>
      </c>
      <c r="JH76" s="339">
        <v>42.82</v>
      </c>
      <c r="JI76" s="339">
        <v>0.55500000000000005</v>
      </c>
      <c r="JJ76" s="339">
        <v>212.756843</v>
      </c>
      <c r="JK76" s="339">
        <v>40.22</v>
      </c>
      <c r="JL76" s="339">
        <v>0.55500000000000005</v>
      </c>
      <c r="JM76" s="339">
        <v>212.34151800000001</v>
      </c>
      <c r="JN76" s="339">
        <v>41.75</v>
      </c>
      <c r="JO76" s="339">
        <v>0.55500000000000005</v>
      </c>
      <c r="JP76" s="339">
        <v>212.23099999999999</v>
      </c>
      <c r="JQ76" s="339">
        <v>41.91</v>
      </c>
      <c r="JR76" s="339">
        <v>0.55500000000000005</v>
      </c>
      <c r="JS76" s="339">
        <v>212.20599999999999</v>
      </c>
      <c r="JT76" s="339">
        <v>40.36</v>
      </c>
      <c r="JU76" s="339">
        <v>0.55000000000000004</v>
      </c>
      <c r="JV76" s="339">
        <v>212.11500000000001</v>
      </c>
      <c r="JW76" s="339">
        <v>40.72</v>
      </c>
      <c r="JX76" s="339">
        <v>0.55000000000000004</v>
      </c>
      <c r="JY76" s="339">
        <v>212.16</v>
      </c>
      <c r="JZ76" s="339">
        <v>39.799999999999997</v>
      </c>
      <c r="KA76" s="339">
        <v>0.55000000000000004</v>
      </c>
      <c r="KB76" s="339">
        <v>212.00399999999999</v>
      </c>
      <c r="KC76" s="339">
        <v>37.1</v>
      </c>
      <c r="KD76" s="339">
        <v>0.55000000000000004</v>
      </c>
      <c r="KE76" s="339">
        <v>211.97399999999999</v>
      </c>
      <c r="KF76" s="339">
        <v>38.5</v>
      </c>
      <c r="KG76" s="339">
        <v>0.54500000000000004</v>
      </c>
      <c r="KH76" s="339">
        <v>211.96600000000001</v>
      </c>
      <c r="KI76" s="339">
        <v>34.125</v>
      </c>
      <c r="KJ76" s="339">
        <v>0.54500000000000004</v>
      </c>
      <c r="KK76" s="339">
        <v>218.9</v>
      </c>
      <c r="KL76" s="339">
        <v>29.625</v>
      </c>
      <c r="KM76" s="339">
        <v>0.54500000000000004</v>
      </c>
      <c r="KN76" s="339">
        <v>223.44200000000001</v>
      </c>
      <c r="KO76" s="339">
        <v>29</v>
      </c>
      <c r="KP76" s="339">
        <v>0.54500000000000004</v>
      </c>
      <c r="KQ76" s="339">
        <v>221</v>
      </c>
      <c r="KR76" s="339">
        <v>34.5</v>
      </c>
      <c r="KS76" s="339">
        <v>0.53500000000000003</v>
      </c>
      <c r="KT76" s="339">
        <v>225.982</v>
      </c>
      <c r="KU76" s="339">
        <v>41.5</v>
      </c>
      <c r="KV76" s="339">
        <v>0.53500000000000003</v>
      </c>
      <c r="KW76" s="334">
        <v>232.83</v>
      </c>
      <c r="KX76" s="334">
        <v>45.25</v>
      </c>
      <c r="KY76" s="334">
        <v>0.53500000000000003</v>
      </c>
      <c r="KZ76" s="334">
        <v>233.62</v>
      </c>
      <c r="LA76" s="334">
        <v>45.3125</v>
      </c>
      <c r="LB76" s="334">
        <v>0.53</v>
      </c>
      <c r="LC76" s="334">
        <v>233.62</v>
      </c>
      <c r="LD76" s="334">
        <v>52.875</v>
      </c>
      <c r="LE76" s="334">
        <v>0.53</v>
      </c>
      <c r="LF76" s="334">
        <v>235.49</v>
      </c>
      <c r="LG76" s="334">
        <v>52</v>
      </c>
      <c r="LH76" s="334">
        <v>0.52500000000000002</v>
      </c>
      <c r="LI76" s="334">
        <v>235.49</v>
      </c>
      <c r="LJ76" s="334">
        <v>46.063000000000002</v>
      </c>
      <c r="LK76" s="334">
        <v>0.52500000000000002</v>
      </c>
      <c r="LL76" s="334">
        <v>235</v>
      </c>
      <c r="LM76" s="334">
        <v>46.75</v>
      </c>
      <c r="LN76" s="334">
        <v>0.52500000000000002</v>
      </c>
      <c r="LO76" s="334">
        <v>235</v>
      </c>
      <c r="LP76" s="334">
        <v>41</v>
      </c>
      <c r="LQ76" s="334">
        <v>0.52500000000000002</v>
      </c>
      <c r="LR76" s="334">
        <v>235</v>
      </c>
      <c r="LS76" s="334">
        <v>34</v>
      </c>
      <c r="LT76" s="334">
        <v>0.52500000000000002</v>
      </c>
      <c r="LU76" s="334">
        <v>235</v>
      </c>
      <c r="LV76" s="334">
        <v>29.437999999999999</v>
      </c>
      <c r="LW76" s="334">
        <v>0.52500000000000002</v>
      </c>
      <c r="LX76" s="334">
        <v>234.98</v>
      </c>
      <c r="LY76" s="334">
        <v>30</v>
      </c>
      <c r="LZ76" s="334">
        <v>0.52500000000000002</v>
      </c>
      <c r="MA76" s="334">
        <v>234.98</v>
      </c>
      <c r="MB76" s="334">
        <v>29.125</v>
      </c>
      <c r="MC76" s="334">
        <v>0.52</v>
      </c>
      <c r="MD76" s="334">
        <v>234.91</v>
      </c>
      <c r="ME76" s="334">
        <v>27.75</v>
      </c>
      <c r="MF76" s="334">
        <v>0.52</v>
      </c>
      <c r="MG76" s="334">
        <v>234.91</v>
      </c>
      <c r="MH76" s="334">
        <v>29.25</v>
      </c>
      <c r="MI76" s="334">
        <v>0.52</v>
      </c>
      <c r="MJ76" s="334">
        <v>234.91</v>
      </c>
      <c r="MK76" s="334">
        <v>31.875</v>
      </c>
      <c r="ML76" s="334">
        <v>0.52</v>
      </c>
      <c r="MM76" s="334">
        <v>234.91</v>
      </c>
      <c r="MN76" s="334">
        <v>31.75</v>
      </c>
      <c r="MO76" s="334">
        <v>0.51</v>
      </c>
      <c r="MP76" s="334">
        <v>234.91</v>
      </c>
      <c r="MQ76" s="334">
        <v>30.375</v>
      </c>
      <c r="MR76" s="334">
        <v>0.51</v>
      </c>
      <c r="MS76" s="334">
        <v>234.91</v>
      </c>
      <c r="MT76" s="334">
        <v>29.5</v>
      </c>
      <c r="MU76" s="334">
        <v>0.51</v>
      </c>
      <c r="MV76" s="334">
        <v>234.91</v>
      </c>
      <c r="MW76" s="334">
        <v>27.25</v>
      </c>
      <c r="MX76" s="334">
        <v>0.51</v>
      </c>
      <c r="MY76" s="334">
        <v>234.33099999999999</v>
      </c>
      <c r="MZ76" s="334">
        <v>25.75</v>
      </c>
      <c r="NA76" s="334">
        <v>0.5</v>
      </c>
      <c r="NB76" s="334">
        <v>234.33099999999999</v>
      </c>
      <c r="NC76" s="334">
        <v>24.875</v>
      </c>
      <c r="ND76" s="334">
        <v>0.5</v>
      </c>
      <c r="NE76" s="334">
        <v>234.33099999999999</v>
      </c>
      <c r="NF76" s="334">
        <v>26.5</v>
      </c>
      <c r="NG76" s="334">
        <v>0.5</v>
      </c>
      <c r="NH76" s="334">
        <v>233.97399999999999</v>
      </c>
      <c r="NI76" s="334">
        <v>29.125</v>
      </c>
      <c r="NJ76" s="334">
        <v>0.5</v>
      </c>
      <c r="NK76" s="334">
        <v>233.97399999999999</v>
      </c>
      <c r="NL76" s="334">
        <v>32.125</v>
      </c>
      <c r="NM76" s="334">
        <v>0.48499999999999999</v>
      </c>
      <c r="NN76" s="334">
        <v>233.97399999999999</v>
      </c>
      <c r="NO76" s="334">
        <v>36.125</v>
      </c>
      <c r="NP76" s="334">
        <v>0.48499999999999999</v>
      </c>
      <c r="NQ76" s="334">
        <v>233.96199999999999</v>
      </c>
      <c r="NR76" s="334">
        <v>35.25</v>
      </c>
      <c r="NS76" s="334">
        <v>0.48499999999999999</v>
      </c>
      <c r="NT76" s="334">
        <v>233.94200000000001</v>
      </c>
      <c r="NU76" s="334">
        <v>35.625</v>
      </c>
      <c r="NV76" s="334">
        <v>0.48499999999999999</v>
      </c>
      <c r="NW76" s="334">
        <v>230.29</v>
      </c>
      <c r="NX76" s="334">
        <v>32.630000000000003</v>
      </c>
      <c r="NY76" s="334">
        <v>0.48</v>
      </c>
      <c r="NZ76" s="334">
        <v>230.29</v>
      </c>
      <c r="OA76" s="334">
        <v>31.38</v>
      </c>
      <c r="OB76" s="334">
        <v>0.48</v>
      </c>
      <c r="OC76" s="334">
        <v>228.73699999999999</v>
      </c>
      <c r="OD76" s="334">
        <v>28</v>
      </c>
      <c r="OE76" s="334">
        <v>0.48</v>
      </c>
      <c r="OF76" s="334">
        <v>228.33699999999999</v>
      </c>
      <c r="OG76" s="334">
        <v>27</v>
      </c>
      <c r="OH76" s="334">
        <v>0.48</v>
      </c>
      <c r="OI76" s="334">
        <v>228.28299999999999</v>
      </c>
      <c r="OJ76" s="334">
        <v>28.63</v>
      </c>
      <c r="OK76" s="334">
        <v>0.47</v>
      </c>
      <c r="OL76" s="334">
        <v>228.27099999999999</v>
      </c>
      <c r="OM76" s="334">
        <v>25.38</v>
      </c>
      <c r="ON76" s="334">
        <v>0.47</v>
      </c>
      <c r="OO76" s="334">
        <v>228.256</v>
      </c>
      <c r="OP76" s="334">
        <v>24.63</v>
      </c>
      <c r="OQ76" s="334">
        <v>0.47</v>
      </c>
      <c r="OR76" s="334">
        <v>228.239</v>
      </c>
      <c r="OS76" s="334">
        <v>25.75</v>
      </c>
      <c r="OT76" s="334">
        <v>0.47</v>
      </c>
      <c r="OU76" s="334">
        <v>228.18899999999999</v>
      </c>
      <c r="OV76" s="334">
        <v>23.63</v>
      </c>
    </row>
    <row r="77" spans="1:412">
      <c r="A77" s="294" t="s">
        <v>335</v>
      </c>
      <c r="B77" s="333" t="s">
        <v>255</v>
      </c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/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503"/>
      <c r="AZ77" s="503"/>
      <c r="BA77" s="503"/>
      <c r="BB77" s="503"/>
      <c r="BC77" s="503"/>
      <c r="BD77" s="503"/>
      <c r="BE77" s="503"/>
      <c r="BF77" s="503"/>
      <c r="BG77" s="503"/>
      <c r="BH77" s="503"/>
      <c r="BI77" s="503"/>
      <c r="BJ77" s="503"/>
      <c r="BK77" s="503"/>
      <c r="BL77" s="503"/>
      <c r="BM77" s="503"/>
      <c r="BN77" s="503"/>
      <c r="BO77" s="503"/>
      <c r="BP77" s="503"/>
      <c r="BQ77" s="504"/>
      <c r="BR77" s="504"/>
      <c r="BS77" s="504"/>
      <c r="BT77" s="504"/>
      <c r="BU77" s="504"/>
      <c r="BV77" s="504"/>
      <c r="BW77" s="504"/>
      <c r="BX77" s="504"/>
      <c r="BY77" s="504"/>
      <c r="BZ77" s="503"/>
      <c r="CA77" s="503"/>
      <c r="CB77" s="503"/>
      <c r="CC77" s="503"/>
      <c r="CD77" s="503"/>
      <c r="CE77" s="503"/>
      <c r="CF77" s="503"/>
      <c r="CG77" s="503"/>
      <c r="CH77" s="503"/>
      <c r="CI77" s="503"/>
      <c r="CJ77" s="503"/>
      <c r="CK77" s="503"/>
      <c r="CL77" s="503"/>
      <c r="CM77" s="503"/>
      <c r="CN77" s="503"/>
      <c r="CO77" s="503"/>
      <c r="CP77" s="503"/>
      <c r="CQ77" s="503"/>
      <c r="CR77" s="504"/>
      <c r="CS77" s="504"/>
      <c r="CT77" s="504"/>
      <c r="CU77" s="503"/>
      <c r="CV77" s="503"/>
      <c r="CW77" s="503"/>
      <c r="CX77" s="339"/>
      <c r="CY77" s="339"/>
      <c r="CZ77" s="339"/>
      <c r="DA77" s="339"/>
      <c r="DB77" s="339"/>
      <c r="DC77" s="339"/>
      <c r="DD77" s="339"/>
      <c r="DE77" s="339"/>
      <c r="DF77" s="339"/>
      <c r="DG77" s="339"/>
      <c r="DH77" s="339"/>
      <c r="DI77" s="339"/>
      <c r="DJ77" s="339"/>
      <c r="DK77" s="339"/>
      <c r="DL77" s="339"/>
      <c r="DM77" s="339"/>
      <c r="DN77" s="339"/>
      <c r="DO77" s="339"/>
      <c r="DP77" s="339"/>
      <c r="DQ77" s="339"/>
      <c r="DR77" s="339"/>
      <c r="DS77" s="339"/>
      <c r="DT77" s="339"/>
      <c r="DU77" s="339"/>
      <c r="DV77" s="339"/>
      <c r="DW77" s="339"/>
      <c r="DX77" s="339"/>
      <c r="DY77" s="339"/>
      <c r="DZ77" s="339"/>
      <c r="EA77" s="339"/>
      <c r="EB77" s="340"/>
      <c r="EC77" s="340"/>
      <c r="ED77" s="340"/>
      <c r="EE77" s="339"/>
      <c r="EF77" s="339"/>
      <c r="EG77" s="339"/>
      <c r="EH77" s="339"/>
      <c r="EI77" s="339"/>
      <c r="EJ77" s="339"/>
      <c r="EK77" s="339"/>
      <c r="EL77" s="339"/>
      <c r="EM77" s="339"/>
      <c r="EN77" s="339"/>
      <c r="EO77" s="339"/>
      <c r="EP77" s="339"/>
      <c r="EQ77" s="339"/>
      <c r="ER77" s="339"/>
      <c r="ES77" s="339"/>
      <c r="ET77" s="339"/>
      <c r="EU77" s="339"/>
      <c r="EV77" s="339"/>
      <c r="EW77" s="339"/>
      <c r="EX77" s="339"/>
      <c r="EY77" s="339"/>
      <c r="EZ77" s="339"/>
      <c r="FA77" s="339"/>
      <c r="FB77" s="339"/>
      <c r="FC77" s="339">
        <v>114.2</v>
      </c>
      <c r="FD77" s="339"/>
      <c r="FE77" s="339"/>
      <c r="FF77" s="339">
        <v>114.2</v>
      </c>
      <c r="FG77" s="339">
        <v>30.14</v>
      </c>
      <c r="FH77" s="339">
        <v>0.33250000000000002</v>
      </c>
      <c r="FI77" s="339">
        <v>114</v>
      </c>
      <c r="FJ77" s="339">
        <v>30.16</v>
      </c>
      <c r="FK77" s="339">
        <v>0.33250000000000002</v>
      </c>
      <c r="FL77" s="339">
        <v>115.2</v>
      </c>
      <c r="FM77" s="339">
        <v>27.41</v>
      </c>
      <c r="FN77" s="511">
        <v>0.33250000000000002</v>
      </c>
      <c r="FO77" s="339">
        <v>115.8</v>
      </c>
      <c r="FP77" s="339">
        <v>25.71</v>
      </c>
      <c r="FQ77" s="339">
        <v>0.30249999999999999</v>
      </c>
      <c r="FR77" s="339">
        <v>115.7</v>
      </c>
      <c r="FS77" s="339">
        <v>26.13</v>
      </c>
      <c r="FT77" s="339">
        <v>0.30249999999999999</v>
      </c>
      <c r="FU77" s="339">
        <v>115.6</v>
      </c>
      <c r="FV77" s="339">
        <v>23.9</v>
      </c>
      <c r="FW77" s="339">
        <v>0.30249999999999999</v>
      </c>
      <c r="FX77" s="339">
        <v>115</v>
      </c>
      <c r="FY77" s="339">
        <v>27.19</v>
      </c>
      <c r="FZ77" s="339">
        <v>0.30249999999999999</v>
      </c>
      <c r="GA77" s="339">
        <v>112.4</v>
      </c>
      <c r="GB77" s="339">
        <v>27.6</v>
      </c>
      <c r="GC77" s="339">
        <v>0.30249999999999999</v>
      </c>
      <c r="GD77" s="339">
        <v>112.2</v>
      </c>
      <c r="GE77" s="339">
        <v>26.1</v>
      </c>
      <c r="GF77" s="339">
        <v>0.28499999999999998</v>
      </c>
      <c r="GG77" s="339">
        <v>112.1</v>
      </c>
      <c r="GH77" s="339">
        <v>23.17</v>
      </c>
      <c r="GI77" s="339">
        <v>0.28499999999999998</v>
      </c>
      <c r="GJ77" s="339">
        <v>112</v>
      </c>
      <c r="GK77" s="339">
        <v>22.54</v>
      </c>
      <c r="GL77" s="339">
        <v>0.28499999999999998</v>
      </c>
      <c r="GM77" s="339">
        <v>109.9</v>
      </c>
      <c r="GN77" s="339">
        <v>22.84</v>
      </c>
      <c r="GO77" s="339">
        <v>0.27500000000000002</v>
      </c>
      <c r="GP77" s="339">
        <v>109.4</v>
      </c>
      <c r="GQ77" s="339">
        <v>24.8</v>
      </c>
      <c r="GR77" s="339">
        <v>0.27500000000000002</v>
      </c>
      <c r="GS77" s="339">
        <v>109.3</v>
      </c>
      <c r="GT77" s="339">
        <v>26.38</v>
      </c>
      <c r="GU77" s="339">
        <v>0.27500000000000002</v>
      </c>
      <c r="GV77" s="339">
        <v>107.9</v>
      </c>
      <c r="GW77" s="339">
        <v>25.64</v>
      </c>
      <c r="GX77" s="339">
        <v>0.27500000000000002</v>
      </c>
      <c r="GY77" s="339">
        <v>108</v>
      </c>
      <c r="GZ77" s="339">
        <v>29.65</v>
      </c>
      <c r="HA77" s="339">
        <v>0.26</v>
      </c>
      <c r="HB77" s="339">
        <v>107.9</v>
      </c>
      <c r="HC77" s="339">
        <v>26.26</v>
      </c>
      <c r="HD77" s="339">
        <v>0.26</v>
      </c>
      <c r="HE77" s="339">
        <v>107.5</v>
      </c>
      <c r="HF77" s="339">
        <v>28.34</v>
      </c>
      <c r="HG77" s="339">
        <v>0.26</v>
      </c>
      <c r="HH77" s="339">
        <v>112.3</v>
      </c>
      <c r="HI77" s="505">
        <v>31.09</v>
      </c>
      <c r="HJ77" s="339">
        <v>0.26</v>
      </c>
      <c r="HK77" s="339">
        <v>107.7</v>
      </c>
      <c r="HL77" s="339">
        <v>27.78</v>
      </c>
      <c r="HM77" s="339">
        <v>0.25</v>
      </c>
      <c r="HN77" s="339">
        <v>114.1</v>
      </c>
      <c r="HO77" s="339">
        <v>27.12</v>
      </c>
      <c r="HP77" s="339">
        <v>0.25</v>
      </c>
      <c r="HQ77" s="339">
        <v>120.2</v>
      </c>
      <c r="HR77" s="339">
        <v>26.8</v>
      </c>
      <c r="HS77" s="339">
        <v>0.25</v>
      </c>
      <c r="HT77" s="339">
        <v>121.6</v>
      </c>
      <c r="HU77" s="339">
        <v>27</v>
      </c>
      <c r="HV77" s="339">
        <v>0.25</v>
      </c>
      <c r="HW77" s="339">
        <v>121.2</v>
      </c>
      <c r="HX77" s="506">
        <v>26.01</v>
      </c>
      <c r="HY77" s="513">
        <f>0.96/4</f>
        <v>0.24</v>
      </c>
      <c r="HZ77" s="339">
        <v>120.7</v>
      </c>
      <c r="IA77" s="339">
        <v>27.8</v>
      </c>
      <c r="IB77" s="339">
        <v>0.24</v>
      </c>
      <c r="IC77" s="339">
        <v>120.4</v>
      </c>
      <c r="ID77" s="339">
        <v>27.45</v>
      </c>
      <c r="IE77" s="339">
        <v>0.24</v>
      </c>
      <c r="IF77" s="339">
        <v>120.1</v>
      </c>
      <c r="IG77" s="339">
        <v>25</v>
      </c>
      <c r="IH77" s="339">
        <v>0.24</v>
      </c>
      <c r="II77" s="339">
        <v>120.1</v>
      </c>
      <c r="IJ77" s="506">
        <v>25.11</v>
      </c>
      <c r="IK77" s="339">
        <v>0.24</v>
      </c>
      <c r="IL77" s="339">
        <v>119.5</v>
      </c>
      <c r="IM77" s="339">
        <v>20.58</v>
      </c>
      <c r="IN77" s="339">
        <v>0.24</v>
      </c>
      <c r="IO77" s="339">
        <v>119.5</v>
      </c>
      <c r="IP77" s="339">
        <v>19.420000000000002</v>
      </c>
      <c r="IQ77" s="339">
        <v>0.24</v>
      </c>
      <c r="IR77" s="339">
        <v>119.5</v>
      </c>
      <c r="IS77" s="339">
        <v>18.75</v>
      </c>
      <c r="IT77" s="339">
        <v>0.24</v>
      </c>
      <c r="IU77" s="339">
        <v>119.4</v>
      </c>
      <c r="IV77" s="339">
        <v>20.88</v>
      </c>
      <c r="IW77" s="339">
        <v>0.24</v>
      </c>
      <c r="IX77" s="339">
        <v>120</v>
      </c>
      <c r="IY77" s="339">
        <v>17.149999999999999</v>
      </c>
      <c r="IZ77" s="339">
        <v>0.23499999999999999</v>
      </c>
      <c r="JA77" s="339">
        <v>119.8</v>
      </c>
      <c r="JB77" s="339">
        <v>15.94</v>
      </c>
      <c r="JC77" s="339">
        <v>0.23499999999999999</v>
      </c>
      <c r="JD77" s="339">
        <v>119</v>
      </c>
      <c r="JE77" s="339">
        <v>12.46</v>
      </c>
      <c r="JF77" s="339">
        <v>0.23499999999999999</v>
      </c>
      <c r="JG77" s="339">
        <v>119</v>
      </c>
      <c r="JH77" s="339">
        <v>15.34</v>
      </c>
      <c r="JI77" s="339">
        <v>0.23499999999999999</v>
      </c>
      <c r="JJ77" s="339">
        <v>119.2</v>
      </c>
      <c r="JK77" s="339">
        <v>16.45</v>
      </c>
      <c r="JL77" s="339">
        <v>0.23499999999999999</v>
      </c>
      <c r="JM77" s="339">
        <v>118.9</v>
      </c>
      <c r="JN77" s="339">
        <v>26.45</v>
      </c>
      <c r="JO77" s="339">
        <v>0.23499999999999999</v>
      </c>
      <c r="JP77" s="339">
        <v>118.9</v>
      </c>
      <c r="JQ77" s="339">
        <v>25.55</v>
      </c>
      <c r="JR77" s="339">
        <v>0.23499999999999999</v>
      </c>
      <c r="JS77" s="339">
        <v>118.8</v>
      </c>
      <c r="JT77" s="339">
        <v>24.08</v>
      </c>
      <c r="JU77" s="339">
        <v>0.23499999999999999</v>
      </c>
      <c r="JV77" s="339">
        <v>118.8</v>
      </c>
      <c r="JW77" s="339">
        <v>24.32</v>
      </c>
      <c r="JX77" s="339">
        <v>0.23499999999999999</v>
      </c>
      <c r="JY77" s="339">
        <v>126.6</v>
      </c>
      <c r="JZ77" s="339">
        <v>28.96</v>
      </c>
      <c r="KA77" s="339">
        <v>0.23499999999999999</v>
      </c>
      <c r="KB77" s="339">
        <v>120.1</v>
      </c>
      <c r="KC77" s="339">
        <v>28.1</v>
      </c>
      <c r="KD77" s="339">
        <v>0.23499999999999999</v>
      </c>
      <c r="KE77" s="339">
        <v>121.2</v>
      </c>
      <c r="KF77" s="339">
        <v>33.1875</v>
      </c>
      <c r="KG77" s="339">
        <v>0.23499999999999999</v>
      </c>
      <c r="KH77" s="339">
        <v>124.2</v>
      </c>
      <c r="KI77" s="339">
        <v>29.75</v>
      </c>
      <c r="KJ77" s="339">
        <v>0.23499999999999999</v>
      </c>
      <c r="KK77" s="339">
        <v>145.38499999999999</v>
      </c>
      <c r="KL77" s="339">
        <v>21.9375</v>
      </c>
      <c r="KM77" s="339">
        <v>0.23499999999999999</v>
      </c>
      <c r="KN77" s="339">
        <v>150.5</v>
      </c>
      <c r="KO77" s="339">
        <v>22.1875</v>
      </c>
      <c r="KP77" s="339">
        <v>0.23499999999999999</v>
      </c>
      <c r="KQ77" s="339">
        <v>151.1</v>
      </c>
      <c r="KR77" s="339">
        <v>17.3125</v>
      </c>
      <c r="KS77" s="339">
        <v>0.23499999999999999</v>
      </c>
      <c r="KT77" s="339">
        <v>152.6</v>
      </c>
      <c r="KU77" s="339">
        <v>17.625</v>
      </c>
      <c r="KV77" s="339">
        <v>0.23499999999999999</v>
      </c>
      <c r="KW77" s="334">
        <v>152.80000000000001</v>
      </c>
      <c r="KX77" s="334">
        <v>18.5</v>
      </c>
      <c r="KY77" s="334">
        <v>0.23499999999999999</v>
      </c>
      <c r="KZ77" s="334">
        <v>153</v>
      </c>
      <c r="LA77" s="334">
        <v>16.5</v>
      </c>
      <c r="LB77" s="334">
        <v>0.23499999999999999</v>
      </c>
      <c r="LC77" s="334">
        <v>153</v>
      </c>
      <c r="LD77" s="334">
        <v>21.625</v>
      </c>
      <c r="LE77" s="334">
        <v>0.23499999999999999</v>
      </c>
      <c r="LF77" s="334">
        <v>152.30000000000001</v>
      </c>
      <c r="LG77" s="334">
        <v>19.625</v>
      </c>
      <c r="LH77" s="334">
        <v>0.23499999999999999</v>
      </c>
      <c r="LI77" s="334">
        <v>152.30000000000001</v>
      </c>
      <c r="LJ77" s="334">
        <v>18.125</v>
      </c>
      <c r="LK77" s="334">
        <v>0.23499999999999999</v>
      </c>
      <c r="LL77" s="334">
        <v>151.65</v>
      </c>
      <c r="LM77" s="334">
        <v>19.5</v>
      </c>
      <c r="LN77" s="334">
        <v>0.23499999999999999</v>
      </c>
      <c r="LO77" s="334">
        <v>151.65</v>
      </c>
      <c r="LP77" s="334">
        <v>19.166699999999999</v>
      </c>
      <c r="LQ77" s="334">
        <v>0.22666666666666599</v>
      </c>
      <c r="LR77" s="334">
        <v>150.75</v>
      </c>
      <c r="LS77" s="334">
        <v>16.333300000000001</v>
      </c>
      <c r="LT77" s="334">
        <v>0.22666666666666599</v>
      </c>
      <c r="LU77" s="334">
        <v>150.75</v>
      </c>
      <c r="LV77" s="334">
        <v>16.417000000000002</v>
      </c>
      <c r="LW77" s="334">
        <v>0.22666666666666599</v>
      </c>
      <c r="LX77" s="334">
        <v>151.584</v>
      </c>
      <c r="LY77" s="334">
        <v>16.082999999999998</v>
      </c>
      <c r="LZ77" s="334">
        <v>0.22666666666666599</v>
      </c>
      <c r="MA77" s="334">
        <v>151.584</v>
      </c>
      <c r="MB77" s="334">
        <v>16.167000000000002</v>
      </c>
      <c r="MC77" s="334">
        <v>0.21666666666666601</v>
      </c>
      <c r="MD77" s="334">
        <v>151.584</v>
      </c>
      <c r="ME77" s="334">
        <v>15.583</v>
      </c>
      <c r="MF77" s="334">
        <v>0.21666666666666601</v>
      </c>
      <c r="MG77" s="334">
        <v>151.584</v>
      </c>
      <c r="MH77" s="334">
        <v>16.25</v>
      </c>
      <c r="MI77" s="334">
        <v>0.21666666666666601</v>
      </c>
      <c r="MJ77" s="334">
        <v>151.584</v>
      </c>
      <c r="MK77" s="334">
        <v>15.917</v>
      </c>
      <c r="ML77" s="334">
        <v>0.21666666666666601</v>
      </c>
      <c r="MM77" s="334">
        <v>151.584</v>
      </c>
      <c r="MN77" s="334">
        <v>16.5</v>
      </c>
      <c r="MO77" s="334">
        <v>0.206666666666666</v>
      </c>
      <c r="MP77" s="334">
        <v>151.584</v>
      </c>
      <c r="MQ77" s="334">
        <v>15.417</v>
      </c>
      <c r="MR77" s="334">
        <v>0.206666666666666</v>
      </c>
      <c r="MS77" s="334">
        <v>151.584</v>
      </c>
      <c r="MT77" s="334">
        <v>14.75</v>
      </c>
      <c r="MU77" s="334">
        <v>0.206666666666666</v>
      </c>
      <c r="MV77" s="334">
        <v>151.584</v>
      </c>
      <c r="MW77" s="334">
        <v>13.9166666666666</v>
      </c>
      <c r="MX77" s="334">
        <v>0.206666666666666</v>
      </c>
      <c r="MY77" s="334">
        <v>149.38650000000001</v>
      </c>
      <c r="MZ77" s="334">
        <v>13.6666666666666</v>
      </c>
      <c r="NA77" s="334">
        <v>0.19666666666666599</v>
      </c>
      <c r="NB77" s="334">
        <v>149.38650000000001</v>
      </c>
      <c r="NC77" s="334">
        <v>13</v>
      </c>
      <c r="ND77" s="334">
        <v>0.19666666666666599</v>
      </c>
      <c r="NE77" s="334">
        <v>149.38650000000001</v>
      </c>
      <c r="NF77" s="334">
        <v>13.1666666666666</v>
      </c>
      <c r="NG77" s="334">
        <v>0.19666666666666599</v>
      </c>
      <c r="NH77" s="334">
        <v>153.56100000000001</v>
      </c>
      <c r="NI77" s="334">
        <v>13.25</v>
      </c>
      <c r="NJ77" s="334">
        <v>0.19666666666666599</v>
      </c>
      <c r="NK77" s="334">
        <v>153.56100000000001</v>
      </c>
      <c r="NL77" s="334">
        <v>13.75</v>
      </c>
      <c r="NM77" s="334">
        <v>0.18666666666666601</v>
      </c>
      <c r="NN77" s="334">
        <v>153.56100000000001</v>
      </c>
      <c r="NO77" s="334">
        <v>14</v>
      </c>
      <c r="NP77" s="334">
        <v>0.18666666666666601</v>
      </c>
      <c r="NQ77" s="334">
        <v>153.59700000000001</v>
      </c>
      <c r="NR77" s="334">
        <v>13.5</v>
      </c>
      <c r="NS77" s="334">
        <v>0.18666666666666601</v>
      </c>
      <c r="NT77" s="334">
        <v>153.85650000000001</v>
      </c>
      <c r="NU77" s="334">
        <v>13.6666666666666</v>
      </c>
      <c r="NV77" s="334">
        <v>0.18666666666666601</v>
      </c>
      <c r="NW77" s="334">
        <v>155.274</v>
      </c>
      <c r="NX77" s="334">
        <v>13.17</v>
      </c>
      <c r="NY77" s="334">
        <v>0.18</v>
      </c>
      <c r="NZ77" s="334">
        <v>155.274</v>
      </c>
      <c r="OA77" s="334">
        <v>12.75</v>
      </c>
      <c r="OB77" s="334">
        <v>0.18</v>
      </c>
      <c r="OC77" s="334">
        <v>155.27500000000001</v>
      </c>
      <c r="OD77" s="334">
        <v>11.5</v>
      </c>
      <c r="OE77" s="334">
        <v>0.18</v>
      </c>
      <c r="OF77" s="334">
        <v>155.27500000000001</v>
      </c>
      <c r="OG77" s="334">
        <v>10.72</v>
      </c>
      <c r="OH77" s="334">
        <v>0.18</v>
      </c>
      <c r="OI77" s="334">
        <v>155.27500000000001</v>
      </c>
      <c r="OJ77" s="334">
        <v>11.5</v>
      </c>
      <c r="OK77" s="334">
        <v>0.18</v>
      </c>
      <c r="OL77" s="334">
        <v>155.27500000000001</v>
      </c>
      <c r="OM77" s="334">
        <v>10.11</v>
      </c>
      <c r="ON77" s="334">
        <v>0.18</v>
      </c>
      <c r="OO77" s="334">
        <v>155.27500000000001</v>
      </c>
      <c r="OP77" s="334">
        <v>9.11</v>
      </c>
      <c r="OQ77" s="334">
        <v>0.18</v>
      </c>
      <c r="OR77" s="334">
        <v>155.27500000000001</v>
      </c>
      <c r="OS77" s="334">
        <v>9.2200000000000006</v>
      </c>
      <c r="OT77" s="334">
        <v>0.18</v>
      </c>
      <c r="OU77" s="334">
        <v>154.303</v>
      </c>
      <c r="OV77" s="334">
        <v>8.56</v>
      </c>
    </row>
    <row r="78" spans="1:412">
      <c r="B78" s="333" t="s">
        <v>256</v>
      </c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9"/>
      <c r="S78" s="339"/>
      <c r="T78" s="339"/>
      <c r="U78" s="339"/>
      <c r="V78" s="339"/>
      <c r="W78" s="339"/>
      <c r="X78" s="339"/>
      <c r="Y78" s="339"/>
      <c r="Z78" s="339"/>
      <c r="AA78" s="339"/>
      <c r="AB78" s="339"/>
      <c r="AC78" s="339"/>
      <c r="AD78" s="339"/>
      <c r="AE78" s="339"/>
      <c r="AF78" s="339"/>
      <c r="AG78" s="339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39"/>
      <c r="AW78" s="339"/>
      <c r="AX78" s="339"/>
      <c r="AY78" s="503"/>
      <c r="AZ78" s="503"/>
      <c r="BA78" s="503"/>
      <c r="BB78" s="503"/>
      <c r="BC78" s="503"/>
      <c r="BD78" s="503"/>
      <c r="BE78" s="503"/>
      <c r="BF78" s="503"/>
      <c r="BG78" s="503"/>
      <c r="BH78" s="503"/>
      <c r="BI78" s="503"/>
      <c r="BJ78" s="503"/>
      <c r="BK78" s="503"/>
      <c r="BL78" s="503"/>
      <c r="BM78" s="503"/>
      <c r="BN78" s="503"/>
      <c r="BO78" s="503"/>
      <c r="BP78" s="503"/>
      <c r="BQ78" s="504"/>
      <c r="BR78" s="504"/>
      <c r="BS78" s="504"/>
      <c r="BT78" s="504"/>
      <c r="BU78" s="504"/>
      <c r="BV78" s="504"/>
      <c r="BW78" s="504"/>
      <c r="BX78" s="504"/>
      <c r="BY78" s="504"/>
      <c r="BZ78" s="503"/>
      <c r="CA78" s="503"/>
      <c r="CB78" s="503"/>
      <c r="CC78" s="503"/>
      <c r="CD78" s="503"/>
      <c r="CE78" s="503"/>
      <c r="CF78" s="503"/>
      <c r="CG78" s="503"/>
      <c r="CH78" s="503"/>
      <c r="CI78" s="503"/>
      <c r="CJ78" s="503"/>
      <c r="CK78" s="503"/>
      <c r="CL78" s="503"/>
      <c r="CM78" s="503"/>
      <c r="CN78" s="503"/>
      <c r="CO78" s="503"/>
      <c r="CP78" s="503"/>
      <c r="CQ78" s="503"/>
      <c r="CR78" s="504"/>
      <c r="CS78" s="504"/>
      <c r="CT78" s="504"/>
      <c r="CU78" s="503"/>
      <c r="CV78" s="503"/>
      <c r="CW78" s="503"/>
      <c r="CX78" s="339"/>
      <c r="CY78" s="339"/>
      <c r="CZ78" s="339"/>
      <c r="DA78" s="339"/>
      <c r="DB78" s="339"/>
      <c r="DC78" s="339"/>
      <c r="DD78" s="339"/>
      <c r="DE78" s="339"/>
      <c r="DF78" s="339"/>
      <c r="DG78" s="339"/>
      <c r="DH78" s="339"/>
      <c r="DI78" s="339"/>
      <c r="DJ78" s="339"/>
      <c r="DK78" s="339"/>
      <c r="DL78" s="339"/>
      <c r="DM78" s="339"/>
      <c r="DN78" s="339"/>
      <c r="DO78" s="339"/>
      <c r="DP78" s="339"/>
      <c r="DQ78" s="339"/>
      <c r="DR78" s="339"/>
      <c r="DS78" s="339"/>
      <c r="DT78" s="339"/>
      <c r="DU78" s="339"/>
      <c r="DV78" s="339"/>
      <c r="DW78" s="339"/>
      <c r="DX78" s="339"/>
      <c r="DY78" s="339"/>
      <c r="DZ78" s="339"/>
      <c r="EA78" s="339"/>
      <c r="EB78" s="340"/>
      <c r="EC78" s="340"/>
      <c r="ED78" s="340"/>
      <c r="EE78" s="339"/>
      <c r="EF78" s="339"/>
      <c r="EG78" s="339"/>
      <c r="EH78" s="339"/>
      <c r="EI78" s="339"/>
      <c r="EJ78" s="339"/>
      <c r="EK78" s="339"/>
      <c r="EL78" s="339"/>
      <c r="EM78" s="339"/>
      <c r="EN78" s="339"/>
      <c r="EO78" s="339"/>
      <c r="EP78" s="339"/>
      <c r="EQ78" s="339"/>
      <c r="ER78" s="339"/>
      <c r="ES78" s="339"/>
      <c r="ET78" s="339"/>
      <c r="EU78" s="339"/>
      <c r="EV78" s="339"/>
      <c r="EW78" s="339"/>
      <c r="EX78" s="339"/>
      <c r="EY78" s="339"/>
      <c r="EZ78" s="339"/>
      <c r="FA78" s="339"/>
      <c r="FB78" s="339"/>
      <c r="FC78" s="339"/>
      <c r="FD78" s="339"/>
      <c r="FE78" s="339"/>
      <c r="FF78" s="339"/>
      <c r="FG78" s="339"/>
      <c r="FH78" s="342"/>
      <c r="FI78" s="339"/>
      <c r="FJ78" s="339"/>
      <c r="FK78" s="339"/>
      <c r="FL78" s="339"/>
      <c r="FM78" s="339"/>
      <c r="FN78" s="339"/>
      <c r="FO78" s="339"/>
      <c r="FP78" s="339"/>
      <c r="FQ78" s="339"/>
      <c r="FR78" s="339"/>
      <c r="FS78" s="339"/>
      <c r="FT78" s="339"/>
      <c r="FU78" s="339"/>
      <c r="FV78" s="339"/>
      <c r="FW78" s="339"/>
      <c r="FX78" s="339"/>
      <c r="FY78" s="339"/>
      <c r="FZ78" s="339"/>
      <c r="GA78" s="339"/>
      <c r="GB78" s="339"/>
      <c r="GC78" s="339"/>
      <c r="GD78" s="339"/>
      <c r="GE78" s="339"/>
      <c r="GF78" s="339"/>
      <c r="GG78" s="339"/>
      <c r="GH78" s="339"/>
      <c r="GI78" s="339"/>
      <c r="GJ78" s="339"/>
      <c r="GK78" s="339"/>
      <c r="GL78" s="339"/>
      <c r="GM78" s="339"/>
      <c r="GN78" s="339"/>
      <c r="GO78" s="339"/>
      <c r="GP78" s="339"/>
      <c r="GQ78" s="339"/>
      <c r="GR78" s="339"/>
      <c r="GS78" s="339"/>
      <c r="GT78" s="339"/>
      <c r="GU78" s="339"/>
      <c r="GV78" s="339"/>
      <c r="GW78" s="339"/>
      <c r="GX78" s="339"/>
      <c r="GY78" s="339"/>
      <c r="GZ78" s="339"/>
      <c r="HA78" s="339"/>
      <c r="HB78" s="339"/>
      <c r="HC78" s="339"/>
      <c r="HD78" s="339"/>
      <c r="HE78" s="339"/>
      <c r="HF78" s="339"/>
      <c r="HG78" s="339"/>
      <c r="HH78" s="339"/>
      <c r="HI78" s="505"/>
      <c r="HJ78" s="339"/>
      <c r="HK78" s="339"/>
      <c r="HL78" s="339"/>
      <c r="HM78" s="339"/>
      <c r="HN78" s="339"/>
      <c r="HO78" s="339"/>
      <c r="HP78" s="339"/>
      <c r="HQ78" s="339"/>
      <c r="HR78" s="339"/>
      <c r="HS78" s="339"/>
      <c r="HT78" s="339"/>
      <c r="HU78" s="339"/>
      <c r="HV78" s="339"/>
      <c r="HW78" s="339"/>
      <c r="HX78" s="506"/>
      <c r="HY78" s="513"/>
      <c r="HZ78" s="339"/>
      <c r="IA78" s="339"/>
      <c r="IB78" s="339"/>
      <c r="IC78" s="339"/>
      <c r="ID78" s="339"/>
      <c r="IE78" s="339"/>
      <c r="IF78" s="339"/>
      <c r="IG78" s="339"/>
      <c r="IH78" s="339"/>
      <c r="II78" s="339"/>
      <c r="IJ78" s="505"/>
      <c r="IK78" s="339"/>
      <c r="IL78" s="339"/>
      <c r="IM78" s="339"/>
      <c r="IN78" s="339"/>
      <c r="IO78" s="339"/>
      <c r="IP78" s="339"/>
      <c r="IQ78" s="339"/>
      <c r="IR78" s="339"/>
      <c r="IS78" s="339"/>
      <c r="IT78" s="339"/>
      <c r="IU78" s="339"/>
      <c r="IV78" s="339"/>
      <c r="IW78" s="339"/>
      <c r="IX78" s="339"/>
      <c r="IY78" s="339"/>
      <c r="IZ78" s="342"/>
      <c r="JA78" s="339"/>
      <c r="JB78" s="339"/>
      <c r="JC78" s="339"/>
      <c r="JD78" s="339"/>
      <c r="JE78" s="339"/>
      <c r="JF78" s="339"/>
      <c r="JG78" s="339"/>
      <c r="JH78" s="339"/>
      <c r="JI78" s="339"/>
      <c r="JJ78" s="339"/>
      <c r="JK78" s="339"/>
      <c r="JL78" s="339"/>
      <c r="JM78" s="339">
        <v>82.703999999999994</v>
      </c>
      <c r="JN78" s="339">
        <v>25.81</v>
      </c>
      <c r="JO78" s="339">
        <v>0.22</v>
      </c>
      <c r="JP78" s="339">
        <v>82.703999999999994</v>
      </c>
      <c r="JQ78" s="339">
        <v>24.89</v>
      </c>
      <c r="JR78" s="339">
        <v>0.22</v>
      </c>
      <c r="JS78" s="339">
        <v>88.445999999999998</v>
      </c>
      <c r="JT78" s="339">
        <v>24.49</v>
      </c>
      <c r="JU78" s="339">
        <v>0.22</v>
      </c>
      <c r="JV78" s="339">
        <v>88.445999999999998</v>
      </c>
      <c r="JW78" s="339">
        <v>23.5</v>
      </c>
      <c r="JX78" s="339">
        <v>0.22</v>
      </c>
      <c r="JY78" s="339">
        <v>82.703999999999994</v>
      </c>
      <c r="JZ78" s="339">
        <v>21.6</v>
      </c>
      <c r="KA78" s="339">
        <v>0.22</v>
      </c>
      <c r="KB78" s="339">
        <v>82.698999999999998</v>
      </c>
      <c r="KC78" s="339">
        <v>21.85</v>
      </c>
      <c r="KD78" s="339">
        <v>0.22</v>
      </c>
      <c r="KE78" s="339">
        <v>88.442999999999998</v>
      </c>
      <c r="KF78" s="339">
        <v>20.0625</v>
      </c>
      <c r="KG78" s="339">
        <v>0.22</v>
      </c>
      <c r="KH78" s="339">
        <v>83.777000000000001</v>
      </c>
      <c r="KI78" s="339">
        <v>17.875</v>
      </c>
      <c r="KJ78" s="339">
        <v>0.22</v>
      </c>
      <c r="KK78" s="339">
        <v>85.567999999999998</v>
      </c>
      <c r="KL78" s="339">
        <v>15.5625</v>
      </c>
      <c r="KM78" s="339">
        <v>0.22</v>
      </c>
      <c r="KN78" s="339">
        <v>86.915999999999997</v>
      </c>
      <c r="KO78" s="339">
        <v>17.5</v>
      </c>
      <c r="KP78" s="339">
        <v>0.22</v>
      </c>
      <c r="KQ78" s="339">
        <v>93.453999999999994</v>
      </c>
      <c r="KR78" s="339">
        <v>16.8125</v>
      </c>
      <c r="KS78" s="339">
        <v>0.22</v>
      </c>
      <c r="KT78" s="339">
        <v>98.12</v>
      </c>
      <c r="KU78" s="339">
        <v>19.625</v>
      </c>
      <c r="KV78" s="339">
        <v>0.22</v>
      </c>
      <c r="KW78" s="334">
        <v>100.9</v>
      </c>
      <c r="KX78" s="334">
        <v>24.4375</v>
      </c>
      <c r="KY78" s="334">
        <v>0.22</v>
      </c>
      <c r="KZ78" s="334">
        <v>101</v>
      </c>
      <c r="LA78" s="334">
        <v>19.375</v>
      </c>
      <c r="LB78" s="334">
        <v>0.38500000000000001</v>
      </c>
      <c r="LC78" s="334">
        <v>101</v>
      </c>
      <c r="LD78" s="334">
        <v>24.5</v>
      </c>
      <c r="LE78" s="334">
        <v>0.38500000000000001</v>
      </c>
      <c r="LF78" s="334">
        <v>81.25</v>
      </c>
      <c r="LG78" s="334">
        <v>22.812999999999999</v>
      </c>
      <c r="LH78" s="334">
        <v>0.38500000000000001</v>
      </c>
      <c r="LI78" s="334">
        <v>81.25</v>
      </c>
      <c r="LJ78" s="334">
        <v>20.5</v>
      </c>
      <c r="LK78" s="334">
        <v>0.38500000000000001</v>
      </c>
      <c r="LL78" s="334">
        <v>61.25</v>
      </c>
      <c r="LM78" s="334">
        <v>21.9375</v>
      </c>
      <c r="LN78" s="334">
        <v>0.39</v>
      </c>
      <c r="LO78" s="334">
        <v>61.247</v>
      </c>
      <c r="LP78" s="334">
        <v>23.0625</v>
      </c>
      <c r="LQ78" s="334">
        <v>0.38500000000000001</v>
      </c>
      <c r="LR78" s="334">
        <v>60.856000000000002</v>
      </c>
      <c r="LS78" s="334">
        <v>18.875</v>
      </c>
      <c r="LT78" s="334">
        <v>0.38500000000000001</v>
      </c>
      <c r="LU78" s="334">
        <v>60.856000000000002</v>
      </c>
      <c r="LV78" s="334">
        <v>19.062999999999999</v>
      </c>
      <c r="LW78" s="334">
        <v>0.38500000000000001</v>
      </c>
      <c r="LX78" s="334">
        <v>60.667000000000002</v>
      </c>
      <c r="LY78" s="334">
        <v>18.375</v>
      </c>
      <c r="LZ78" s="334">
        <v>0.38500000000000001</v>
      </c>
      <c r="MA78" s="334">
        <v>60.667000000000002</v>
      </c>
      <c r="MB78" s="334">
        <v>20.375</v>
      </c>
      <c r="MC78" s="334">
        <v>0.38500000000000001</v>
      </c>
      <c r="MD78" s="334">
        <v>59.738</v>
      </c>
      <c r="ME78" s="334">
        <v>20.5</v>
      </c>
      <c r="MF78" s="334">
        <v>0.38500000000000001</v>
      </c>
      <c r="MG78" s="334">
        <v>59.738</v>
      </c>
      <c r="MH78" s="334">
        <v>21</v>
      </c>
      <c r="MI78" s="334">
        <v>0.38500000000000001</v>
      </c>
      <c r="MJ78" s="334">
        <v>59.738</v>
      </c>
      <c r="MK78" s="334">
        <v>21.25</v>
      </c>
      <c r="ML78" s="334">
        <v>0.38500000000000001</v>
      </c>
      <c r="MM78" s="334">
        <v>59.738</v>
      </c>
      <c r="MN78" s="334">
        <v>22.75</v>
      </c>
      <c r="MO78" s="334">
        <v>0.38500000000000001</v>
      </c>
      <c r="MP78" s="334">
        <v>59.738</v>
      </c>
      <c r="MQ78" s="334">
        <v>22.875</v>
      </c>
      <c r="MR78" s="334">
        <v>0.38500000000000001</v>
      </c>
      <c r="MS78" s="334">
        <v>59.738</v>
      </c>
      <c r="MT78" s="334">
        <v>20.5</v>
      </c>
      <c r="MU78" s="334">
        <v>0.38500000000000001</v>
      </c>
      <c r="MV78" s="334">
        <v>59.738</v>
      </c>
      <c r="MW78" s="334">
        <v>19.75</v>
      </c>
      <c r="MX78" s="334">
        <v>0.38500000000000001</v>
      </c>
      <c r="MY78" s="334">
        <v>59.212000000000003</v>
      </c>
      <c r="MZ78" s="334">
        <v>18.140625</v>
      </c>
      <c r="NA78" s="334">
        <v>0.38500000000000001</v>
      </c>
      <c r="NB78" s="334">
        <v>59.212000000000003</v>
      </c>
      <c r="NC78" s="334">
        <v>18.75</v>
      </c>
      <c r="ND78" s="334">
        <v>0.38500000000000001</v>
      </c>
      <c r="NE78" s="334">
        <v>59.212000000000003</v>
      </c>
      <c r="NF78" s="334">
        <v>18.125</v>
      </c>
      <c r="NG78" s="334">
        <v>0.38500000000000001</v>
      </c>
      <c r="NH78" s="334">
        <v>58.372</v>
      </c>
      <c r="NI78" s="334">
        <v>20.625</v>
      </c>
      <c r="NJ78" s="334">
        <v>0.38500000000000001</v>
      </c>
      <c r="NK78" s="334">
        <v>58.372</v>
      </c>
      <c r="NL78" s="334">
        <v>23.625</v>
      </c>
      <c r="NM78" s="334">
        <v>0.38500000000000001</v>
      </c>
      <c r="NN78" s="334">
        <v>58.372</v>
      </c>
      <c r="NO78" s="334">
        <v>25.625</v>
      </c>
      <c r="NP78" s="334">
        <v>0.38500000000000001</v>
      </c>
      <c r="NQ78" s="334">
        <v>58.036000000000001</v>
      </c>
      <c r="NR78" s="334">
        <v>23.5</v>
      </c>
      <c r="NS78" s="334">
        <v>0.38500000000000001</v>
      </c>
      <c r="NT78" s="334">
        <v>55.134999999999998</v>
      </c>
      <c r="NU78" s="334">
        <v>24</v>
      </c>
      <c r="NV78" s="334">
        <v>0.38500000000000001</v>
      </c>
      <c r="NW78" s="334">
        <v>53.280999999999999</v>
      </c>
      <c r="NX78" s="334">
        <v>23.25</v>
      </c>
      <c r="NY78" s="334">
        <v>0.39</v>
      </c>
      <c r="NZ78" s="334">
        <v>53.280999999999999</v>
      </c>
      <c r="OA78" s="334">
        <v>23.38</v>
      </c>
      <c r="OB78" s="334">
        <v>0.39</v>
      </c>
      <c r="OC78" s="334">
        <v>53.08</v>
      </c>
      <c r="OD78" s="334">
        <v>22.75</v>
      </c>
      <c r="OE78" s="334">
        <v>0.39</v>
      </c>
      <c r="OF78" s="334">
        <v>52.875999999999998</v>
      </c>
      <c r="OG78" s="334">
        <v>21</v>
      </c>
      <c r="OH78" s="334">
        <v>0.39</v>
      </c>
      <c r="OI78" s="334">
        <v>50.581000000000003</v>
      </c>
      <c r="OJ78" s="334">
        <v>21.25</v>
      </c>
      <c r="OK78" s="334">
        <v>0.39</v>
      </c>
      <c r="OL78" s="334">
        <v>49.95</v>
      </c>
      <c r="OM78" s="334">
        <v>20.13</v>
      </c>
      <c r="ON78" s="334">
        <v>0.39</v>
      </c>
      <c r="OO78" s="334">
        <v>48.866999999999997</v>
      </c>
      <c r="OP78" s="334">
        <v>18.75</v>
      </c>
      <c r="OQ78" s="334">
        <v>0.39</v>
      </c>
      <c r="OR78" s="334">
        <v>48.149000000000001</v>
      </c>
      <c r="OS78" s="334">
        <v>18.88</v>
      </c>
      <c r="OT78" s="334">
        <v>0.39</v>
      </c>
      <c r="OU78" s="334">
        <v>47.533999999999999</v>
      </c>
      <c r="OV78" s="334">
        <v>18.13</v>
      </c>
    </row>
    <row r="79" spans="1:412">
      <c r="B79" s="333" t="s">
        <v>257</v>
      </c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9"/>
      <c r="S79" s="339"/>
      <c r="T79" s="339"/>
      <c r="U79" s="339"/>
      <c r="V79" s="339"/>
      <c r="W79" s="339"/>
      <c r="X79" s="339"/>
      <c r="Y79" s="339"/>
      <c r="Z79" s="339"/>
      <c r="AA79" s="339"/>
      <c r="AB79" s="339"/>
      <c r="AC79" s="339"/>
      <c r="AD79" s="339"/>
      <c r="AE79" s="339"/>
      <c r="AF79" s="339"/>
      <c r="AG79" s="339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39"/>
      <c r="AW79" s="339"/>
      <c r="AX79" s="339"/>
      <c r="AY79" s="503"/>
      <c r="AZ79" s="503"/>
      <c r="BA79" s="503"/>
      <c r="BB79" s="503"/>
      <c r="BC79" s="503"/>
      <c r="BD79" s="503"/>
      <c r="BE79" s="503"/>
      <c r="BF79" s="503"/>
      <c r="BG79" s="503"/>
      <c r="BH79" s="503"/>
      <c r="BI79" s="503"/>
      <c r="BJ79" s="503"/>
      <c r="BK79" s="503"/>
      <c r="BL79" s="503"/>
      <c r="BM79" s="503"/>
      <c r="BN79" s="503"/>
      <c r="BO79" s="503"/>
      <c r="BP79" s="503"/>
      <c r="BQ79" s="504"/>
      <c r="BR79" s="504"/>
      <c r="BS79" s="504"/>
      <c r="BT79" s="504"/>
      <c r="BU79" s="504"/>
      <c r="BV79" s="504"/>
      <c r="BW79" s="504"/>
      <c r="BX79" s="504"/>
      <c r="BY79" s="504"/>
      <c r="BZ79" s="503"/>
      <c r="CA79" s="503"/>
      <c r="CB79" s="503"/>
      <c r="CC79" s="503"/>
      <c r="CD79" s="503"/>
      <c r="CE79" s="503"/>
      <c r="CF79" s="503"/>
      <c r="CG79" s="503"/>
      <c r="CH79" s="503"/>
      <c r="CI79" s="503"/>
      <c r="CJ79" s="503"/>
      <c r="CK79" s="503"/>
      <c r="CL79" s="503"/>
      <c r="CM79" s="503"/>
      <c r="CN79" s="503"/>
      <c r="CO79" s="503"/>
      <c r="CP79" s="503"/>
      <c r="CQ79" s="503"/>
      <c r="CR79" s="504"/>
      <c r="CS79" s="504"/>
      <c r="CT79" s="504"/>
      <c r="CU79" s="503"/>
      <c r="CV79" s="503"/>
      <c r="CW79" s="503"/>
      <c r="CX79" s="339"/>
      <c r="CY79" s="339"/>
      <c r="CZ79" s="339"/>
      <c r="DA79" s="339"/>
      <c r="DB79" s="339"/>
      <c r="DC79" s="339"/>
      <c r="DD79" s="339"/>
      <c r="DE79" s="339"/>
      <c r="DF79" s="339"/>
      <c r="DG79" s="339"/>
      <c r="DH79" s="339"/>
      <c r="DI79" s="339"/>
      <c r="DJ79" s="339"/>
      <c r="DK79" s="339"/>
      <c r="DL79" s="339"/>
      <c r="DM79" s="339"/>
      <c r="DN79" s="339"/>
      <c r="DO79" s="339"/>
      <c r="DP79" s="339"/>
      <c r="DQ79" s="339"/>
      <c r="DR79" s="339"/>
      <c r="DS79" s="339"/>
      <c r="DT79" s="339"/>
      <c r="DU79" s="339"/>
      <c r="DV79" s="339"/>
      <c r="DW79" s="339"/>
      <c r="DX79" s="339"/>
      <c r="DY79" s="339"/>
      <c r="DZ79" s="339"/>
      <c r="EA79" s="339"/>
      <c r="EB79" s="340"/>
      <c r="EC79" s="340"/>
      <c r="ED79" s="340"/>
      <c r="EE79" s="339"/>
      <c r="EF79" s="339"/>
      <c r="EG79" s="339"/>
      <c r="EH79" s="339"/>
      <c r="EI79" s="339"/>
      <c r="EJ79" s="339"/>
      <c r="EK79" s="339"/>
      <c r="EL79" s="339"/>
      <c r="EM79" s="339"/>
      <c r="EN79" s="339"/>
      <c r="EO79" s="339"/>
      <c r="EP79" s="339"/>
      <c r="EQ79" s="339"/>
      <c r="ER79" s="339"/>
      <c r="ES79" s="339"/>
      <c r="ET79" s="339"/>
      <c r="EU79" s="339"/>
      <c r="EV79" s="339"/>
      <c r="EW79" s="339"/>
      <c r="EX79" s="339"/>
      <c r="EY79" s="339"/>
      <c r="EZ79" s="339"/>
      <c r="FA79" s="339"/>
      <c r="FB79" s="339"/>
      <c r="FC79" s="339"/>
      <c r="FD79" s="339"/>
      <c r="FE79" s="339"/>
      <c r="FF79" s="339"/>
      <c r="FG79" s="339"/>
      <c r="FH79" s="342"/>
      <c r="FI79" s="339"/>
      <c r="FJ79" s="339"/>
      <c r="FK79" s="339"/>
      <c r="FL79" s="339"/>
      <c r="FM79" s="339"/>
      <c r="FN79" s="339"/>
      <c r="FO79" s="339"/>
      <c r="FP79" s="339"/>
      <c r="FQ79" s="339"/>
      <c r="FR79" s="339"/>
      <c r="FS79" s="339" t="s">
        <v>336</v>
      </c>
      <c r="FT79" s="339"/>
      <c r="FU79" s="339"/>
      <c r="FV79" s="339"/>
      <c r="FW79" s="339"/>
      <c r="FX79" s="339"/>
      <c r="FY79" s="339"/>
      <c r="FZ79" s="339"/>
      <c r="GA79" s="339"/>
      <c r="GB79" s="339"/>
      <c r="GC79" s="339"/>
      <c r="GD79" s="339"/>
      <c r="GE79" s="339"/>
      <c r="GF79" s="339"/>
      <c r="GG79" s="339"/>
      <c r="GH79" s="339"/>
      <c r="GI79" s="339"/>
      <c r="GJ79" s="339"/>
      <c r="GK79" s="339"/>
      <c r="GL79" s="339"/>
      <c r="GM79" s="339"/>
      <c r="GN79" s="339"/>
      <c r="GO79" s="339"/>
      <c r="GP79" s="339"/>
      <c r="GQ79" s="339"/>
      <c r="GR79" s="339"/>
      <c r="GS79" s="339"/>
      <c r="GT79" s="339"/>
      <c r="GU79" s="339"/>
      <c r="GV79" s="339"/>
      <c r="GW79" s="339"/>
      <c r="GX79" s="339"/>
      <c r="GY79" s="339"/>
      <c r="GZ79" s="339"/>
      <c r="HA79" s="339"/>
      <c r="HB79" s="339"/>
      <c r="HC79" s="339"/>
      <c r="HD79" s="339"/>
      <c r="HE79" s="339"/>
      <c r="HF79" s="339"/>
      <c r="HG79" s="339"/>
      <c r="HH79" s="339"/>
      <c r="HI79" s="505"/>
      <c r="HJ79" s="339"/>
      <c r="HK79" s="339"/>
      <c r="HL79" s="339"/>
      <c r="HM79" s="339"/>
      <c r="HN79" s="339"/>
      <c r="HO79" s="339"/>
      <c r="HP79" s="339"/>
      <c r="HQ79" s="339"/>
      <c r="HR79" s="339"/>
      <c r="HS79" s="339"/>
      <c r="HT79" s="339"/>
      <c r="HU79" s="339"/>
      <c r="HV79" s="339"/>
      <c r="HW79" s="339"/>
      <c r="HX79" s="506"/>
      <c r="HY79" s="513"/>
      <c r="HZ79" s="339"/>
      <c r="IA79" s="339"/>
      <c r="IB79" s="339"/>
      <c r="IC79" s="339"/>
      <c r="ID79" s="339"/>
      <c r="IE79" s="339"/>
      <c r="IF79" s="339"/>
      <c r="IG79" s="339"/>
      <c r="IH79" s="339"/>
      <c r="II79" s="339"/>
      <c r="IJ79" s="505"/>
      <c r="IK79" s="339"/>
      <c r="IL79" s="339"/>
      <c r="IM79" s="339"/>
      <c r="IN79" s="339"/>
      <c r="IO79" s="339"/>
      <c r="IP79" s="339"/>
      <c r="IQ79" s="339"/>
      <c r="IR79" s="339"/>
      <c r="IS79" s="339"/>
      <c r="IT79" s="339"/>
      <c r="IU79" s="339"/>
      <c r="IV79" s="339"/>
      <c r="IW79" s="339"/>
      <c r="IX79" s="339"/>
      <c r="IY79" s="339"/>
      <c r="IZ79" s="342"/>
      <c r="JA79" s="339"/>
      <c r="JB79" s="339"/>
      <c r="JC79" s="339"/>
      <c r="JD79" s="339"/>
      <c r="JE79" s="339"/>
      <c r="JF79" s="339"/>
      <c r="JG79" s="339"/>
      <c r="JH79" s="339"/>
      <c r="JI79" s="339"/>
      <c r="JJ79" s="339"/>
      <c r="JK79" s="339"/>
      <c r="JL79" s="339"/>
      <c r="JM79" s="339"/>
      <c r="JN79" s="339"/>
      <c r="JO79" s="339"/>
      <c r="JP79" s="339"/>
      <c r="JQ79" s="339"/>
      <c r="JR79" s="339"/>
      <c r="JS79" s="339"/>
      <c r="JT79" s="342"/>
      <c r="JU79" s="342"/>
      <c r="JV79" s="339"/>
      <c r="JW79" s="339"/>
      <c r="JX79" s="339"/>
      <c r="JY79" s="339"/>
      <c r="JZ79" s="339"/>
      <c r="KA79" s="339"/>
      <c r="KB79" s="339"/>
      <c r="KC79" s="339"/>
      <c r="KD79" s="339"/>
      <c r="KE79" s="339"/>
      <c r="KF79" s="339"/>
      <c r="KG79" s="339"/>
      <c r="KH79" s="339"/>
      <c r="KI79" s="339"/>
      <c r="KJ79" s="339"/>
      <c r="KK79" s="339"/>
      <c r="KL79" s="339"/>
      <c r="KM79" s="339"/>
      <c r="KN79" s="339"/>
      <c r="KO79" s="339"/>
      <c r="KP79" s="339"/>
      <c r="KQ79" s="339"/>
      <c r="KR79" s="339"/>
      <c r="KS79" s="339"/>
      <c r="KT79" s="339"/>
      <c r="KU79" s="339"/>
      <c r="KV79" s="339"/>
      <c r="KW79" s="334"/>
      <c r="KX79" s="334"/>
      <c r="KY79" s="334"/>
      <c r="KZ79" s="334"/>
      <c r="LA79" s="334"/>
      <c r="LB79" s="334"/>
      <c r="LC79" s="334"/>
      <c r="LD79" s="334"/>
      <c r="LE79" s="334"/>
      <c r="LF79" s="334"/>
      <c r="LG79" s="334"/>
      <c r="LH79" s="334"/>
      <c r="LI79" s="334"/>
      <c r="LJ79" s="334"/>
      <c r="LK79" s="334"/>
      <c r="LL79" s="334">
        <v>30.45</v>
      </c>
      <c r="LM79" s="334">
        <v>37.1875</v>
      </c>
      <c r="LN79" s="334">
        <v>0.52500000000000002</v>
      </c>
      <c r="LO79" s="334">
        <v>30.452000000000002</v>
      </c>
      <c r="LP79" s="334">
        <v>36.8125</v>
      </c>
      <c r="LQ79" s="334">
        <v>0.52500000000000002</v>
      </c>
      <c r="LR79" s="334">
        <v>30.187999999999999</v>
      </c>
      <c r="LS79" s="334">
        <v>31.875</v>
      </c>
      <c r="LT79" s="334">
        <v>0.52500000000000002</v>
      </c>
      <c r="LU79" s="334">
        <v>30.187999999999999</v>
      </c>
      <c r="LV79" s="334">
        <v>29.5</v>
      </c>
      <c r="LW79" s="334">
        <v>0.52500000000000002</v>
      </c>
      <c r="LX79" s="334">
        <v>29.940999999999999</v>
      </c>
      <c r="LY79" s="334">
        <v>28.875</v>
      </c>
      <c r="LZ79" s="334">
        <v>0.52500000000000002</v>
      </c>
      <c r="MA79" s="334">
        <v>29.940999999999999</v>
      </c>
      <c r="MB79" s="334">
        <v>29.875</v>
      </c>
      <c r="MC79" s="334">
        <v>0.52500000000000002</v>
      </c>
      <c r="MD79" s="334">
        <v>28.192</v>
      </c>
      <c r="ME79" s="334">
        <v>30.5</v>
      </c>
      <c r="MF79" s="334">
        <v>0.52500000000000002</v>
      </c>
      <c r="MG79" s="334">
        <v>28.192</v>
      </c>
      <c r="MH79" s="334">
        <v>30.125</v>
      </c>
      <c r="MI79" s="334">
        <v>0.52500000000000002</v>
      </c>
      <c r="MJ79" s="334">
        <v>28.192</v>
      </c>
      <c r="MK79" s="334">
        <v>27.875</v>
      </c>
      <c r="ML79" s="334">
        <v>0.52500000000000002</v>
      </c>
      <c r="MM79" s="334">
        <v>28.192</v>
      </c>
      <c r="MN79" s="334">
        <v>26.5</v>
      </c>
      <c r="MO79" s="334">
        <v>0.52500000000000002</v>
      </c>
      <c r="MP79" s="334">
        <v>28.192</v>
      </c>
      <c r="MQ79" s="334">
        <v>26.625</v>
      </c>
      <c r="MR79" s="334">
        <v>0.52500000000000002</v>
      </c>
      <c r="MS79" s="334">
        <v>28.192</v>
      </c>
      <c r="MT79" s="334">
        <v>22.25</v>
      </c>
      <c r="MU79" s="334">
        <v>0.52500000000000002</v>
      </c>
      <c r="MV79" s="334">
        <v>28.192</v>
      </c>
      <c r="MW79" s="334">
        <v>24.875</v>
      </c>
      <c r="MX79" s="334">
        <v>0.52500000000000002</v>
      </c>
      <c r="MY79" s="334">
        <v>28.192</v>
      </c>
      <c r="MZ79" s="334">
        <v>25.25</v>
      </c>
      <c r="NA79" s="334">
        <v>0.52500000000000002</v>
      </c>
      <c r="NB79" s="334">
        <v>28.192</v>
      </c>
      <c r="NC79" s="334">
        <v>26.25</v>
      </c>
      <c r="ND79" s="334">
        <v>0.52500000000000002</v>
      </c>
      <c r="NE79" s="334">
        <v>28.192</v>
      </c>
      <c r="NF79" s="334">
        <v>25.75</v>
      </c>
      <c r="NG79" s="334">
        <v>0.52500000000000002</v>
      </c>
      <c r="NH79" s="334">
        <v>28.192</v>
      </c>
      <c r="NI79" s="334">
        <v>27.5</v>
      </c>
      <c r="NJ79" s="334">
        <v>0.52500000000000002</v>
      </c>
      <c r="NK79" s="334">
        <v>28.192</v>
      </c>
      <c r="NL79" s="334">
        <v>31.25</v>
      </c>
      <c r="NM79" s="334">
        <v>0.52500000000000002</v>
      </c>
      <c r="NN79" s="334">
        <v>28.192</v>
      </c>
      <c r="NO79" s="334">
        <v>33</v>
      </c>
      <c r="NP79" s="334">
        <v>0.52500000000000002</v>
      </c>
      <c r="NQ79" s="334">
        <v>28.077000000000002</v>
      </c>
      <c r="NR79" s="334">
        <v>32.375</v>
      </c>
      <c r="NS79" s="334">
        <v>0.52500000000000002</v>
      </c>
      <c r="NT79" s="334">
        <v>26.498999999999999</v>
      </c>
      <c r="NU79" s="334">
        <v>29.25</v>
      </c>
      <c r="NV79" s="334">
        <v>0.52500000000000002</v>
      </c>
      <c r="NW79" s="334">
        <v>25.338000000000001</v>
      </c>
      <c r="NX79" s="334">
        <v>29.5</v>
      </c>
      <c r="NY79" s="334">
        <v>0.53</v>
      </c>
      <c r="NZ79" s="334">
        <v>25.338000000000001</v>
      </c>
      <c r="OA79" s="334">
        <v>29.5</v>
      </c>
      <c r="OB79" s="334">
        <v>0.53</v>
      </c>
      <c r="OC79" s="334">
        <v>25.283999999999999</v>
      </c>
      <c r="OD79" s="334">
        <v>27.5</v>
      </c>
      <c r="OE79" s="334">
        <v>0.53</v>
      </c>
      <c r="OF79" s="334">
        <v>25.234000000000002</v>
      </c>
      <c r="OG79" s="334">
        <v>27.5</v>
      </c>
      <c r="OH79" s="334">
        <v>0.53</v>
      </c>
      <c r="OI79" s="334">
        <v>24.155999999999999</v>
      </c>
      <c r="OJ79" s="334">
        <v>27.25</v>
      </c>
      <c r="OK79" s="334">
        <v>0.53</v>
      </c>
      <c r="OL79" s="334">
        <v>24.113</v>
      </c>
      <c r="OM79" s="334">
        <v>28.13</v>
      </c>
      <c r="ON79" s="334">
        <v>0.53</v>
      </c>
      <c r="OO79" s="334">
        <v>24.068999999999999</v>
      </c>
      <c r="OP79" s="334">
        <v>26.25</v>
      </c>
      <c r="OQ79" s="334">
        <v>0.53</v>
      </c>
      <c r="OR79" s="334">
        <v>24.032</v>
      </c>
      <c r="OS79" s="334">
        <v>27.88</v>
      </c>
      <c r="OT79" s="334">
        <v>0.53</v>
      </c>
      <c r="OU79" s="334">
        <v>23.847999999999999</v>
      </c>
      <c r="OV79" s="334">
        <v>27.75</v>
      </c>
    </row>
    <row r="80" spans="1:412">
      <c r="B80" s="333" t="s">
        <v>258</v>
      </c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503"/>
      <c r="AZ80" s="503"/>
      <c r="BA80" s="503"/>
      <c r="BB80" s="503"/>
      <c r="BC80" s="503"/>
      <c r="BD80" s="503"/>
      <c r="BE80" s="503"/>
      <c r="BF80" s="503"/>
      <c r="BG80" s="503"/>
      <c r="BH80" s="503"/>
      <c r="BI80" s="503"/>
      <c r="BJ80" s="503"/>
      <c r="BK80" s="503"/>
      <c r="BL80" s="503"/>
      <c r="BM80" s="503"/>
      <c r="BN80" s="503"/>
      <c r="BO80" s="503"/>
      <c r="BP80" s="503"/>
      <c r="BQ80" s="504"/>
      <c r="BR80" s="504"/>
      <c r="BS80" s="504"/>
      <c r="BT80" s="504"/>
      <c r="BU80" s="504"/>
      <c r="BV80" s="504"/>
      <c r="BW80" s="504"/>
      <c r="BX80" s="504"/>
      <c r="BY80" s="504"/>
      <c r="BZ80" s="503"/>
      <c r="CA80" s="503"/>
      <c r="CB80" s="503"/>
      <c r="CC80" s="503"/>
      <c r="CD80" s="503"/>
      <c r="CE80" s="503"/>
      <c r="CF80" s="503"/>
      <c r="CG80" s="503"/>
      <c r="CH80" s="503"/>
      <c r="CI80" s="503"/>
      <c r="CJ80" s="503"/>
      <c r="CK80" s="503"/>
      <c r="CL80" s="503"/>
      <c r="CM80" s="503"/>
      <c r="CN80" s="503"/>
      <c r="CO80" s="503"/>
      <c r="CP80" s="503"/>
      <c r="CQ80" s="503"/>
      <c r="CR80" s="504"/>
      <c r="CS80" s="504"/>
      <c r="CT80" s="504"/>
      <c r="CU80" s="503"/>
      <c r="CV80" s="503"/>
      <c r="CW80" s="503"/>
      <c r="CX80" s="339"/>
      <c r="CY80" s="339"/>
      <c r="CZ80" s="339"/>
      <c r="DA80" s="339"/>
      <c r="DB80" s="339"/>
      <c r="DC80" s="339"/>
      <c r="DD80" s="339"/>
      <c r="DE80" s="339"/>
      <c r="DF80" s="339"/>
      <c r="DG80" s="339"/>
      <c r="DH80" s="339"/>
      <c r="DI80" s="339"/>
      <c r="DJ80" s="339"/>
      <c r="DK80" s="339"/>
      <c r="DL80" s="339"/>
      <c r="DM80" s="339"/>
      <c r="DN80" s="339"/>
      <c r="DO80" s="339"/>
      <c r="DP80" s="339"/>
      <c r="DQ80" s="339"/>
      <c r="DR80" s="339"/>
      <c r="DS80" s="339"/>
      <c r="DT80" s="339"/>
      <c r="DU80" s="339"/>
      <c r="DV80" s="339"/>
      <c r="DW80" s="339"/>
      <c r="DX80" s="339"/>
      <c r="DY80" s="339"/>
      <c r="DZ80" s="339"/>
      <c r="EA80" s="339"/>
      <c r="EB80" s="340"/>
      <c r="EC80" s="340"/>
      <c r="ED80" s="340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39"/>
      <c r="FE80" s="339"/>
      <c r="FF80" s="339"/>
      <c r="FG80" s="339"/>
      <c r="FH80" s="342"/>
      <c r="FI80" s="339"/>
      <c r="FJ80" s="339"/>
      <c r="FK80" s="339"/>
      <c r="FL80" s="339"/>
      <c r="FM80" s="339"/>
      <c r="FN80" s="339"/>
      <c r="FO80" s="339"/>
      <c r="FP80" s="339"/>
      <c r="FQ80" s="339"/>
      <c r="FR80" s="339"/>
      <c r="FS80" s="339"/>
      <c r="FT80" s="339"/>
      <c r="FU80" s="339"/>
      <c r="FV80" s="339"/>
      <c r="FW80" s="339"/>
      <c r="FX80" s="339"/>
      <c r="FY80" s="339"/>
      <c r="FZ80" s="339"/>
      <c r="GA80" s="339"/>
      <c r="GB80" s="339"/>
      <c r="GC80" s="339"/>
      <c r="GD80" s="339"/>
      <c r="GE80" s="339"/>
      <c r="GF80" s="339"/>
      <c r="GG80" s="339"/>
      <c r="GH80" s="339"/>
      <c r="GI80" s="339"/>
      <c r="GJ80" s="339"/>
      <c r="GK80" s="339"/>
      <c r="GL80" s="339"/>
      <c r="GM80" s="339"/>
      <c r="GN80" s="339"/>
      <c r="GO80" s="339"/>
      <c r="GP80" s="339"/>
      <c r="GQ80" s="339"/>
      <c r="GR80" s="339"/>
      <c r="GS80" s="339"/>
      <c r="GT80" s="339"/>
      <c r="GU80" s="339"/>
      <c r="GV80" s="339"/>
      <c r="GW80" s="339"/>
      <c r="GX80" s="339"/>
      <c r="GY80" s="339"/>
      <c r="GZ80" s="339"/>
      <c r="HA80" s="339"/>
      <c r="HB80" s="339"/>
      <c r="HC80" s="339"/>
      <c r="HD80" s="339"/>
      <c r="HE80" s="339"/>
      <c r="HF80" s="339"/>
      <c r="HG80" s="339"/>
      <c r="HH80" s="339"/>
      <c r="HI80" s="505"/>
      <c r="HJ80" s="339"/>
      <c r="HK80" s="339"/>
      <c r="HL80" s="339"/>
      <c r="HM80" s="339"/>
      <c r="HN80" s="339"/>
      <c r="HO80" s="339"/>
      <c r="HP80" s="339"/>
      <c r="HQ80" s="339"/>
      <c r="HR80" s="339"/>
      <c r="HS80" s="339"/>
      <c r="HT80" s="339"/>
      <c r="HU80" s="339"/>
      <c r="HV80" s="339"/>
      <c r="HW80" s="339"/>
      <c r="HX80" s="506"/>
      <c r="HY80" s="513"/>
      <c r="HZ80" s="339"/>
      <c r="IA80" s="339"/>
      <c r="IB80" s="339"/>
      <c r="IC80" s="339"/>
      <c r="ID80" s="339"/>
      <c r="IE80" s="339"/>
      <c r="IF80" s="339"/>
      <c r="IG80" s="339"/>
      <c r="IH80" s="339"/>
      <c r="II80" s="339"/>
      <c r="IJ80" s="505"/>
      <c r="IK80" s="339"/>
      <c r="IL80" s="339"/>
      <c r="IM80" s="339"/>
      <c r="IN80" s="339"/>
      <c r="IO80" s="339"/>
      <c r="IP80" s="339"/>
      <c r="IQ80" s="339"/>
      <c r="IR80" s="339"/>
      <c r="IS80" s="339"/>
      <c r="IT80" s="339"/>
      <c r="IU80" s="339"/>
      <c r="IV80" s="339"/>
      <c r="IW80" s="339"/>
      <c r="IX80" s="339"/>
      <c r="IY80" s="339"/>
      <c r="IZ80" s="342"/>
      <c r="JA80" s="339"/>
      <c r="JB80" s="339"/>
      <c r="JC80" s="339"/>
      <c r="JD80" s="339"/>
      <c r="JE80" s="339"/>
      <c r="JF80" s="339"/>
      <c r="JG80" s="339"/>
      <c r="JH80" s="339"/>
      <c r="JI80" s="339"/>
      <c r="JJ80" s="339"/>
      <c r="JK80" s="339"/>
      <c r="JL80" s="339"/>
      <c r="JM80" s="339"/>
      <c r="JN80" s="339"/>
      <c r="JO80" s="339"/>
      <c r="JP80" s="339"/>
      <c r="JQ80" s="339"/>
      <c r="JR80" s="339"/>
      <c r="JS80" s="339"/>
      <c r="JT80" s="342"/>
      <c r="JU80" s="342"/>
      <c r="JV80" s="339"/>
      <c r="JW80" s="339"/>
      <c r="JX80" s="339"/>
      <c r="JY80" s="339"/>
      <c r="JZ80" s="339"/>
      <c r="KA80" s="339"/>
      <c r="KB80" s="339"/>
      <c r="KC80" s="339"/>
      <c r="KD80" s="339"/>
      <c r="KE80" s="339"/>
      <c r="KF80" s="339"/>
      <c r="KG80" s="339"/>
      <c r="KH80" s="339"/>
      <c r="KI80" s="339"/>
      <c r="KJ80" s="339"/>
      <c r="KK80" s="339"/>
      <c r="KL80" s="339"/>
      <c r="KM80" s="339"/>
      <c r="KN80" s="339"/>
      <c r="KO80" s="339"/>
      <c r="KP80" s="339"/>
      <c r="KQ80" s="339">
        <v>69.900000000000006</v>
      </c>
      <c r="KR80" s="339">
        <v>34.75</v>
      </c>
      <c r="KS80" s="339">
        <v>0.31</v>
      </c>
      <c r="KT80" s="339">
        <v>69.900000000000006</v>
      </c>
      <c r="KU80" s="339">
        <v>28.0625</v>
      </c>
      <c r="KV80" s="339">
        <v>0.31</v>
      </c>
      <c r="KW80" s="334">
        <v>71.67</v>
      </c>
      <c r="KX80" s="334">
        <v>27.25</v>
      </c>
      <c r="KY80" s="334">
        <v>0.31</v>
      </c>
      <c r="KZ80" s="334">
        <v>71.7</v>
      </c>
      <c r="LA80" s="334">
        <v>21.1875</v>
      </c>
      <c r="LB80" s="334">
        <v>0.31</v>
      </c>
      <c r="LC80" s="334">
        <v>71.7</v>
      </c>
      <c r="LD80" s="334">
        <v>25</v>
      </c>
      <c r="LE80" s="334">
        <v>0.31</v>
      </c>
      <c r="LF80" s="334">
        <v>71.7</v>
      </c>
      <c r="LG80" s="334">
        <v>28.687999999999999</v>
      </c>
      <c r="LH80" s="334">
        <v>0.31</v>
      </c>
      <c r="LI80" s="334">
        <v>71.7</v>
      </c>
      <c r="LJ80" s="334">
        <v>30</v>
      </c>
      <c r="LK80" s="334">
        <v>0.31</v>
      </c>
      <c r="LL80" s="334">
        <v>73.010000000000005</v>
      </c>
      <c r="LM80" s="334">
        <v>30.1875</v>
      </c>
      <c r="LN80" s="334">
        <v>0.31</v>
      </c>
      <c r="LO80" s="334">
        <v>73.009</v>
      </c>
      <c r="LP80" s="334">
        <v>26.9375</v>
      </c>
      <c r="LQ80" s="334">
        <v>0.31</v>
      </c>
      <c r="LR80" s="334">
        <v>75.682000000000002</v>
      </c>
      <c r="LS80" s="334">
        <v>21.5625</v>
      </c>
      <c r="LT80" s="334">
        <v>0.31</v>
      </c>
      <c r="LU80" s="334">
        <v>75.682000000000002</v>
      </c>
      <c r="LV80" s="334">
        <v>22</v>
      </c>
      <c r="LW80" s="334">
        <v>0.31</v>
      </c>
      <c r="LX80" s="334">
        <v>75.644000000000005</v>
      </c>
      <c r="LY80" s="334">
        <v>22.875</v>
      </c>
      <c r="LZ80" s="334">
        <v>0.31</v>
      </c>
      <c r="MA80" s="334">
        <v>75.644000000000005</v>
      </c>
      <c r="MB80" s="334">
        <v>27.5</v>
      </c>
      <c r="MC80" s="334">
        <v>0.28000000000000003</v>
      </c>
      <c r="MD80" s="334">
        <v>75.644000000000005</v>
      </c>
      <c r="ME80" s="334">
        <v>26.5</v>
      </c>
      <c r="MF80" s="334">
        <v>0.28000000000000003</v>
      </c>
      <c r="MG80" s="334">
        <v>75.644000000000005</v>
      </c>
      <c r="MH80" s="334">
        <v>28.75</v>
      </c>
      <c r="MI80" s="334">
        <v>0.28000000000000003</v>
      </c>
      <c r="MJ80" s="334">
        <v>75.644000000000005</v>
      </c>
      <c r="MK80" s="334">
        <v>28.125</v>
      </c>
      <c r="ML80" s="334">
        <v>0.28000000000000003</v>
      </c>
      <c r="MM80" s="334">
        <v>75.644000000000005</v>
      </c>
      <c r="MN80" s="334">
        <v>30</v>
      </c>
      <c r="MO80" s="334">
        <v>0.28000000000000003</v>
      </c>
      <c r="MP80" s="334">
        <v>75.644000000000005</v>
      </c>
      <c r="MQ80" s="334">
        <v>27.125</v>
      </c>
      <c r="MR80" s="334">
        <v>0.25</v>
      </c>
      <c r="MS80" s="334">
        <v>75.644000000000005</v>
      </c>
      <c r="MT80" s="334">
        <v>25.375</v>
      </c>
      <c r="MU80" s="334">
        <v>0.25</v>
      </c>
      <c r="MV80" s="334">
        <v>75.644000000000005</v>
      </c>
      <c r="MW80" s="334">
        <v>22.75</v>
      </c>
      <c r="MX80" s="334">
        <v>0.25</v>
      </c>
      <c r="MY80" s="334">
        <v>75.644000000000005</v>
      </c>
      <c r="MZ80" s="334">
        <v>21.84375</v>
      </c>
      <c r="NA80" s="334">
        <v>0.2</v>
      </c>
      <c r="NB80" s="334">
        <v>75.644000000000005</v>
      </c>
      <c r="NC80" s="334">
        <v>19.25</v>
      </c>
      <c r="ND80" s="334">
        <v>0.2</v>
      </c>
      <c r="NE80" s="334">
        <v>75.644000000000005</v>
      </c>
      <c r="NF80" s="334">
        <v>18.75</v>
      </c>
      <c r="NG80" s="334">
        <v>0.2</v>
      </c>
      <c r="NH80" s="334">
        <v>75.644000000000005</v>
      </c>
      <c r="NI80" s="334">
        <v>20.25</v>
      </c>
      <c r="NJ80" s="334">
        <v>0.2</v>
      </c>
      <c r="NK80" s="334">
        <v>75.644000000000005</v>
      </c>
      <c r="NL80" s="334">
        <v>22.125</v>
      </c>
      <c r="NM80" s="334">
        <v>0.2</v>
      </c>
      <c r="NN80" s="334">
        <v>75.644000000000005</v>
      </c>
      <c r="NO80" s="334">
        <v>24.75</v>
      </c>
      <c r="NP80" s="334">
        <v>0.2</v>
      </c>
      <c r="NQ80" s="334">
        <v>75.644000000000005</v>
      </c>
      <c r="NR80" s="334">
        <v>25.375</v>
      </c>
      <c r="NS80" s="334">
        <v>0.2</v>
      </c>
      <c r="NT80" s="334">
        <v>75.644000000000005</v>
      </c>
      <c r="NU80" s="334">
        <v>23.625</v>
      </c>
      <c r="NV80" s="334">
        <v>0.2</v>
      </c>
      <c r="NW80" s="334">
        <v>75.644000000000005</v>
      </c>
      <c r="NX80" s="334">
        <v>22.13</v>
      </c>
      <c r="NY80" s="334">
        <v>0.2</v>
      </c>
      <c r="NZ80" s="334">
        <v>75.644000000000005</v>
      </c>
      <c r="OA80" s="334">
        <v>21.38</v>
      </c>
      <c r="OB80" s="334">
        <v>0.2</v>
      </c>
      <c r="OC80" s="334">
        <v>75.644000000000005</v>
      </c>
      <c r="OD80" s="334">
        <v>22.75</v>
      </c>
      <c r="OE80" s="334">
        <v>0.2</v>
      </c>
      <c r="OF80" s="334">
        <v>75.644000000000005</v>
      </c>
      <c r="OG80" s="334">
        <v>20.88</v>
      </c>
      <c r="OH80" s="334">
        <v>0.2</v>
      </c>
      <c r="OI80" s="334">
        <v>75.644000000000005</v>
      </c>
      <c r="OJ80" s="334">
        <v>23.5</v>
      </c>
      <c r="OK80" s="334">
        <v>0.2</v>
      </c>
      <c r="OL80" s="334">
        <v>75.644000000000005</v>
      </c>
      <c r="OM80" s="334">
        <v>21.25</v>
      </c>
      <c r="ON80" s="334">
        <v>0</v>
      </c>
      <c r="OO80" s="334">
        <v>75.644000000000005</v>
      </c>
      <c r="OP80" s="334">
        <v>18.75</v>
      </c>
      <c r="OQ80" s="334">
        <v>0</v>
      </c>
      <c r="OR80" s="334">
        <v>75.644000000000005</v>
      </c>
      <c r="OS80" s="334">
        <v>18.25</v>
      </c>
      <c r="OT80" s="334">
        <v>0</v>
      </c>
      <c r="OU80" s="334">
        <v>75.613</v>
      </c>
      <c r="OV80" s="334">
        <v>16.25</v>
      </c>
    </row>
    <row r="81" spans="1:412">
      <c r="B81" s="333" t="s">
        <v>259</v>
      </c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503"/>
      <c r="AZ81" s="503"/>
      <c r="BA81" s="503"/>
      <c r="BB81" s="503"/>
      <c r="BC81" s="503"/>
      <c r="BD81" s="503"/>
      <c r="BE81" s="503"/>
      <c r="BF81" s="503"/>
      <c r="BG81" s="503"/>
      <c r="BH81" s="503"/>
      <c r="BI81" s="503"/>
      <c r="BJ81" s="503"/>
      <c r="BK81" s="503"/>
      <c r="BL81" s="503"/>
      <c r="BM81" s="503"/>
      <c r="BN81" s="503"/>
      <c r="BO81" s="503"/>
      <c r="BP81" s="503"/>
      <c r="BQ81" s="504"/>
      <c r="BR81" s="504"/>
      <c r="BS81" s="504"/>
      <c r="BT81" s="504"/>
      <c r="BU81" s="504"/>
      <c r="BV81" s="504"/>
      <c r="BW81" s="504"/>
      <c r="BX81" s="504"/>
      <c r="BY81" s="504"/>
      <c r="BZ81" s="503"/>
      <c r="CA81" s="503"/>
      <c r="CB81" s="503"/>
      <c r="CC81" s="503"/>
      <c r="CD81" s="503"/>
      <c r="CE81" s="503"/>
      <c r="CF81" s="503"/>
      <c r="CG81" s="503"/>
      <c r="CH81" s="503"/>
      <c r="CI81" s="503"/>
      <c r="CJ81" s="503"/>
      <c r="CK81" s="503"/>
      <c r="CL81" s="503"/>
      <c r="CM81" s="503"/>
      <c r="CN81" s="503"/>
      <c r="CO81" s="503"/>
      <c r="CP81" s="503"/>
      <c r="CQ81" s="503"/>
      <c r="CR81" s="504"/>
      <c r="CS81" s="504"/>
      <c r="CT81" s="504"/>
      <c r="CU81" s="503"/>
      <c r="CV81" s="503"/>
      <c r="CW81" s="503"/>
      <c r="CX81" s="339"/>
      <c r="CY81" s="339"/>
      <c r="CZ81" s="339"/>
      <c r="DA81" s="339"/>
      <c r="DB81" s="339"/>
      <c r="DC81" s="339"/>
      <c r="DD81" s="339"/>
      <c r="DE81" s="339"/>
      <c r="DF81" s="339"/>
      <c r="DG81" s="339"/>
      <c r="DH81" s="339"/>
      <c r="DI81" s="339"/>
      <c r="DJ81" s="339"/>
      <c r="DK81" s="339"/>
      <c r="DL81" s="339"/>
      <c r="DM81" s="339"/>
      <c r="DN81" s="339"/>
      <c r="DO81" s="339"/>
      <c r="DP81" s="339"/>
      <c r="DQ81" s="339"/>
      <c r="DR81" s="339"/>
      <c r="DS81" s="339"/>
      <c r="DT81" s="339"/>
      <c r="DU81" s="339"/>
      <c r="DV81" s="339"/>
      <c r="DW81" s="339"/>
      <c r="DX81" s="339"/>
      <c r="DY81" s="339"/>
      <c r="DZ81" s="339"/>
      <c r="EA81" s="339"/>
      <c r="EB81" s="340"/>
      <c r="EC81" s="340"/>
      <c r="ED81" s="340"/>
      <c r="EE81" s="339"/>
      <c r="EF81" s="339"/>
      <c r="EG81" s="339"/>
      <c r="EH81" s="339"/>
      <c r="EI81" s="339"/>
      <c r="EJ81" s="339"/>
      <c r="EK81" s="339"/>
      <c r="EL81" s="339"/>
      <c r="EM81" s="339"/>
      <c r="EN81" s="339"/>
      <c r="EO81" s="339"/>
      <c r="EP81" s="339"/>
      <c r="EQ81" s="339"/>
      <c r="ER81" s="339"/>
      <c r="ES81" s="339"/>
      <c r="ET81" s="339"/>
      <c r="EU81" s="339"/>
      <c r="EV81" s="339"/>
      <c r="EW81" s="339"/>
      <c r="EX81" s="339"/>
      <c r="EY81" s="339"/>
      <c r="EZ81" s="339"/>
      <c r="FA81" s="339"/>
      <c r="FB81" s="339"/>
      <c r="FC81" s="339"/>
      <c r="FD81" s="339"/>
      <c r="FE81" s="339"/>
      <c r="FF81" s="339"/>
      <c r="FG81" s="339"/>
      <c r="FH81" s="342"/>
      <c r="FI81" s="339"/>
      <c r="FJ81" s="339"/>
      <c r="FK81" s="339"/>
      <c r="FL81" s="339"/>
      <c r="FM81" s="339"/>
      <c r="FN81" s="339"/>
      <c r="FO81" s="339"/>
      <c r="FP81" s="339"/>
      <c r="FQ81" s="339"/>
      <c r="FR81" s="339"/>
      <c r="FS81" s="339"/>
      <c r="FT81" s="339"/>
      <c r="FU81" s="339"/>
      <c r="FV81" s="339"/>
      <c r="FW81" s="339"/>
      <c r="FX81" s="339"/>
      <c r="FY81" s="339"/>
      <c r="FZ81" s="339"/>
      <c r="GA81" s="339"/>
      <c r="GB81" s="339"/>
      <c r="GC81" s="339"/>
      <c r="GD81" s="339"/>
      <c r="GE81" s="339"/>
      <c r="GF81" s="339"/>
      <c r="GG81" s="339"/>
      <c r="GH81" s="339"/>
      <c r="GI81" s="339"/>
      <c r="GJ81" s="339"/>
      <c r="GK81" s="339"/>
      <c r="GL81" s="339"/>
      <c r="GM81" s="339"/>
      <c r="GN81" s="339"/>
      <c r="GO81" s="339"/>
      <c r="GP81" s="339"/>
      <c r="GQ81" s="339"/>
      <c r="GR81" s="339"/>
      <c r="GS81" s="339"/>
      <c r="GT81" s="339"/>
      <c r="GU81" s="339"/>
      <c r="GV81" s="339"/>
      <c r="GW81" s="339"/>
      <c r="GX81" s="339"/>
      <c r="GY81" s="339"/>
      <c r="GZ81" s="339"/>
      <c r="HA81" s="339"/>
      <c r="HB81" s="339"/>
      <c r="HC81" s="339"/>
      <c r="HD81" s="339"/>
      <c r="HE81" s="339"/>
      <c r="HF81" s="339"/>
      <c r="HG81" s="339"/>
      <c r="HH81" s="339"/>
      <c r="HI81" s="505"/>
      <c r="HJ81" s="339"/>
      <c r="HK81" s="339"/>
      <c r="HL81" s="339"/>
      <c r="HM81" s="339"/>
      <c r="HN81" s="339"/>
      <c r="HO81" s="339"/>
      <c r="HP81" s="339"/>
      <c r="HQ81" s="339"/>
      <c r="HR81" s="339"/>
      <c r="HS81" s="339"/>
      <c r="HT81" s="339"/>
      <c r="HU81" s="339"/>
      <c r="HV81" s="339"/>
      <c r="HW81" s="339"/>
      <c r="HX81" s="506"/>
      <c r="HY81" s="513"/>
      <c r="HZ81" s="339"/>
      <c r="IA81" s="339"/>
      <c r="IB81" s="339"/>
      <c r="IC81" s="339"/>
      <c r="ID81" s="339"/>
      <c r="IE81" s="339"/>
      <c r="IF81" s="339"/>
      <c r="IG81" s="339"/>
      <c r="IH81" s="339"/>
      <c r="II81" s="339"/>
      <c r="IJ81" s="505"/>
      <c r="IK81" s="339"/>
      <c r="IL81" s="339"/>
      <c r="IM81" s="339"/>
      <c r="IN81" s="339"/>
      <c r="IO81" s="339"/>
      <c r="IP81" s="339"/>
      <c r="IQ81" s="339"/>
      <c r="IR81" s="339"/>
      <c r="IS81" s="339"/>
      <c r="IT81" s="339"/>
      <c r="IU81" s="339"/>
      <c r="IV81" s="339"/>
      <c r="IW81" s="339"/>
      <c r="IX81" s="339"/>
      <c r="IY81" s="339"/>
      <c r="IZ81" s="342"/>
      <c r="JA81" s="339"/>
      <c r="JB81" s="339"/>
      <c r="JC81" s="339"/>
      <c r="JD81" s="339"/>
      <c r="JE81" s="339"/>
      <c r="JF81" s="339"/>
      <c r="JG81" s="339"/>
      <c r="JH81" s="339"/>
      <c r="JI81" s="339"/>
      <c r="JJ81" s="339"/>
      <c r="JK81" s="339"/>
      <c r="JL81" s="339"/>
      <c r="JM81" s="339"/>
      <c r="JN81" s="339"/>
      <c r="JO81" s="339"/>
      <c r="JP81" s="339"/>
      <c r="JQ81" s="339"/>
      <c r="JR81" s="339"/>
      <c r="JS81" s="339"/>
      <c r="JT81" s="342"/>
      <c r="JU81" s="342"/>
      <c r="JV81" s="339"/>
      <c r="JW81" s="339"/>
      <c r="JX81" s="339"/>
      <c r="JY81" s="339"/>
      <c r="JZ81" s="339"/>
      <c r="KA81" s="339"/>
      <c r="KB81" s="339"/>
      <c r="KC81" s="339"/>
      <c r="KD81" s="339"/>
      <c r="KE81" s="339"/>
      <c r="KF81" s="339"/>
      <c r="KG81" s="339"/>
      <c r="KH81" s="339"/>
      <c r="KI81" s="339"/>
      <c r="KJ81" s="339"/>
      <c r="KK81" s="339"/>
      <c r="KL81" s="339"/>
      <c r="KM81" s="339"/>
      <c r="KN81" s="339"/>
      <c r="KO81" s="339"/>
      <c r="KP81" s="339"/>
      <c r="KQ81" s="339"/>
      <c r="KR81" s="339"/>
      <c r="KS81" s="339"/>
      <c r="KT81" s="339"/>
      <c r="KU81" s="339"/>
      <c r="KV81" s="339"/>
      <c r="KW81" s="334"/>
      <c r="KX81" s="334"/>
      <c r="KY81" s="334"/>
      <c r="KZ81" s="334"/>
      <c r="LA81" s="334"/>
      <c r="LB81" s="334"/>
      <c r="LC81" s="334"/>
      <c r="LD81" s="334"/>
      <c r="LE81" s="334"/>
      <c r="LF81" s="334"/>
      <c r="LG81" s="334"/>
      <c r="LH81" s="334"/>
      <c r="LI81" s="334"/>
      <c r="LJ81" s="334"/>
      <c r="LK81" s="334"/>
      <c r="LL81" s="334">
        <v>9.75</v>
      </c>
      <c r="LM81" s="334">
        <v>35.8125</v>
      </c>
      <c r="LN81" s="334">
        <v>0.52</v>
      </c>
      <c r="LO81" s="334">
        <v>9.7509999999999994</v>
      </c>
      <c r="LP81" s="334">
        <v>37.4375</v>
      </c>
      <c r="LQ81" s="334">
        <v>0.52</v>
      </c>
      <c r="LR81" s="334">
        <v>9.6790000000000003</v>
      </c>
      <c r="LS81" s="334">
        <v>31.625</v>
      </c>
      <c r="LT81" s="334">
        <v>0.52</v>
      </c>
      <c r="LU81" s="334">
        <v>9.6790000000000003</v>
      </c>
      <c r="LV81" s="334">
        <v>28.625</v>
      </c>
      <c r="LW81" s="334">
        <v>0.52</v>
      </c>
      <c r="LX81" s="334">
        <v>9.64</v>
      </c>
      <c r="LY81" s="334">
        <v>29.125</v>
      </c>
      <c r="LZ81" s="334">
        <v>0.52</v>
      </c>
      <c r="MA81" s="334">
        <v>9.5640000000000001</v>
      </c>
      <c r="MB81" s="334">
        <v>29</v>
      </c>
      <c r="MC81" s="334">
        <v>0.52</v>
      </c>
      <c r="MD81" s="334">
        <v>9.5640000000000001</v>
      </c>
      <c r="ME81" s="334">
        <v>28.875</v>
      </c>
      <c r="MF81" s="334">
        <v>0.52</v>
      </c>
      <c r="MG81" s="334">
        <v>9.5640000000000001</v>
      </c>
      <c r="MH81" s="334">
        <v>32.125</v>
      </c>
      <c r="MI81" s="334">
        <v>0.52</v>
      </c>
      <c r="MJ81" s="334">
        <v>9.5640000000000001</v>
      </c>
      <c r="MK81" s="334">
        <v>31.875</v>
      </c>
      <c r="ML81" s="334">
        <v>0.52</v>
      </c>
      <c r="MM81" s="334">
        <v>9.5640000000000001</v>
      </c>
      <c r="MN81" s="334">
        <v>33.125</v>
      </c>
      <c r="MO81" s="334">
        <v>0.52</v>
      </c>
      <c r="MP81" s="334">
        <v>9.5640000000000001</v>
      </c>
      <c r="MQ81" s="334">
        <v>27.25</v>
      </c>
      <c r="MR81" s="334">
        <v>0.52</v>
      </c>
      <c r="MS81" s="334">
        <v>9.5640000000000001</v>
      </c>
      <c r="MT81" s="334">
        <v>24.125</v>
      </c>
      <c r="MU81" s="334">
        <v>0.52</v>
      </c>
      <c r="MV81" s="334">
        <v>9.5640000000000001</v>
      </c>
      <c r="MW81" s="334">
        <v>23.875</v>
      </c>
      <c r="MX81" s="334">
        <v>0.52</v>
      </c>
      <c r="MY81" s="334">
        <v>9.4250000000000007</v>
      </c>
      <c r="MZ81" s="334">
        <v>23.75</v>
      </c>
      <c r="NA81" s="334">
        <v>0.52</v>
      </c>
      <c r="NB81" s="334">
        <v>9.4250000000000007</v>
      </c>
      <c r="NC81" s="334">
        <v>22</v>
      </c>
      <c r="ND81" s="334">
        <v>0.52</v>
      </c>
      <c r="NE81" s="334">
        <v>9.4250000000000007</v>
      </c>
      <c r="NF81" s="334">
        <v>22.5</v>
      </c>
      <c r="NG81" s="334">
        <v>0.52</v>
      </c>
      <c r="NH81" s="334">
        <v>9.3109999999999999</v>
      </c>
      <c r="NI81" s="334">
        <v>27.75</v>
      </c>
      <c r="NJ81" s="334">
        <v>0.52</v>
      </c>
      <c r="NK81" s="334">
        <v>9.3109999999999999</v>
      </c>
      <c r="NL81" s="334">
        <v>30.25</v>
      </c>
      <c r="NM81" s="334">
        <v>0.52</v>
      </c>
      <c r="NN81" s="334">
        <v>9.3109999999999999</v>
      </c>
      <c r="NO81" s="334">
        <v>29.375</v>
      </c>
      <c r="NP81" s="334">
        <v>0.52</v>
      </c>
      <c r="NQ81" s="334">
        <v>9.298</v>
      </c>
      <c r="NR81" s="334">
        <v>30.5</v>
      </c>
      <c r="NS81" s="334">
        <v>0.52</v>
      </c>
      <c r="NT81" s="334">
        <v>9.298</v>
      </c>
      <c r="NU81" s="334">
        <v>32.5</v>
      </c>
      <c r="NV81" s="334">
        <v>0.52</v>
      </c>
      <c r="NW81" s="334">
        <v>9.298</v>
      </c>
      <c r="NX81" s="334">
        <v>30.88</v>
      </c>
      <c r="NY81" s="334">
        <v>0.52</v>
      </c>
      <c r="NZ81" s="334">
        <v>9.298</v>
      </c>
      <c r="OA81" s="334">
        <v>31.75</v>
      </c>
      <c r="OB81" s="334">
        <v>0.52</v>
      </c>
      <c r="OC81" s="334">
        <v>9.298</v>
      </c>
      <c r="OD81" s="334">
        <v>31.75</v>
      </c>
      <c r="OE81" s="334">
        <v>0.52</v>
      </c>
      <c r="OF81" s="334">
        <v>9.298</v>
      </c>
      <c r="OG81" s="334">
        <v>34.380000000000003</v>
      </c>
      <c r="OH81" s="334">
        <v>0.52</v>
      </c>
      <c r="OI81" s="334">
        <v>9.298</v>
      </c>
      <c r="OJ81" s="334">
        <v>33.75</v>
      </c>
      <c r="OK81" s="334">
        <v>0.51</v>
      </c>
      <c r="OL81" s="334">
        <v>9.298</v>
      </c>
      <c r="OM81" s="334">
        <v>32.130000000000003</v>
      </c>
      <c r="ON81" s="334">
        <v>0.51</v>
      </c>
      <c r="OO81" s="334">
        <v>9.298</v>
      </c>
      <c r="OP81" s="334">
        <v>29.63</v>
      </c>
      <c r="OQ81" s="334">
        <v>0.51</v>
      </c>
      <c r="OR81" s="334">
        <v>9.298</v>
      </c>
      <c r="OS81" s="334">
        <v>28.5</v>
      </c>
      <c r="OT81" s="334">
        <v>0.51</v>
      </c>
      <c r="OU81" s="334">
        <v>9.298</v>
      </c>
      <c r="OV81" s="334">
        <v>25.13</v>
      </c>
    </row>
    <row r="82" spans="1:412">
      <c r="B82" s="333" t="s">
        <v>260</v>
      </c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9"/>
      <c r="S82" s="339"/>
      <c r="T82" s="339"/>
      <c r="U82" s="339"/>
      <c r="V82" s="339"/>
      <c r="W82" s="339"/>
      <c r="X82" s="339"/>
      <c r="Y82" s="339"/>
      <c r="Z82" s="339"/>
      <c r="AA82" s="339"/>
      <c r="AB82" s="339"/>
      <c r="AC82" s="339"/>
      <c r="AD82" s="339"/>
      <c r="AE82" s="339"/>
      <c r="AF82" s="339"/>
      <c r="AG82" s="339"/>
      <c r="AH82" s="339"/>
      <c r="AI82" s="339"/>
      <c r="AJ82" s="339"/>
      <c r="AK82" s="339"/>
      <c r="AL82" s="339"/>
      <c r="AM82" s="339"/>
      <c r="AN82" s="339"/>
      <c r="AO82" s="339"/>
      <c r="AP82" s="339"/>
      <c r="AQ82" s="339"/>
      <c r="AR82" s="339"/>
      <c r="AS82" s="339"/>
      <c r="AT82" s="339"/>
      <c r="AU82" s="339"/>
      <c r="AV82" s="339"/>
      <c r="AW82" s="339"/>
      <c r="AX82" s="339"/>
      <c r="AY82" s="504"/>
      <c r="AZ82" s="504"/>
      <c r="BA82" s="504"/>
      <c r="BB82" s="503"/>
      <c r="BC82" s="503"/>
      <c r="BD82" s="503"/>
      <c r="BE82" s="503"/>
      <c r="BF82" s="503"/>
      <c r="BG82" s="503"/>
      <c r="BH82" s="503"/>
      <c r="BI82" s="503"/>
      <c r="BJ82" s="503"/>
      <c r="BK82" s="503"/>
      <c r="BL82" s="503"/>
      <c r="BM82" s="503"/>
      <c r="BN82" s="503"/>
      <c r="BO82" s="503"/>
      <c r="BP82" s="503"/>
      <c r="BQ82" s="504"/>
      <c r="BR82" s="504"/>
      <c r="BS82" s="504"/>
      <c r="BT82" s="504"/>
      <c r="BU82" s="504"/>
      <c r="BV82" s="504"/>
      <c r="BW82" s="504"/>
      <c r="BX82" s="504"/>
      <c r="BY82" s="504"/>
      <c r="BZ82" s="503"/>
      <c r="CA82" s="503"/>
      <c r="CB82" s="503"/>
      <c r="CC82" s="503"/>
      <c r="CD82" s="503"/>
      <c r="CE82" s="503"/>
      <c r="CF82" s="503"/>
      <c r="CG82" s="503"/>
      <c r="CH82" s="503"/>
      <c r="CI82" s="503"/>
      <c r="CJ82" s="503"/>
      <c r="CK82" s="503"/>
      <c r="CL82" s="503"/>
      <c r="CM82" s="503"/>
      <c r="CN82" s="503"/>
      <c r="CO82" s="503"/>
      <c r="CP82" s="503"/>
      <c r="CQ82" s="503"/>
      <c r="CR82" s="504"/>
      <c r="CS82" s="504"/>
      <c r="CT82" s="504"/>
      <c r="CU82" s="503"/>
      <c r="CV82" s="503"/>
      <c r="CW82" s="503"/>
      <c r="CX82" s="339"/>
      <c r="CY82" s="339"/>
      <c r="CZ82" s="339"/>
      <c r="DA82" s="339"/>
      <c r="DB82" s="339"/>
      <c r="DC82" s="339"/>
      <c r="DD82" s="339"/>
      <c r="DE82" s="339"/>
      <c r="DF82" s="339"/>
      <c r="DG82" s="339"/>
      <c r="DH82" s="339"/>
      <c r="DI82" s="339"/>
      <c r="DJ82" s="339"/>
      <c r="DK82" s="339"/>
      <c r="DL82" s="339"/>
      <c r="DM82" s="339"/>
      <c r="DN82" s="339"/>
      <c r="DO82" s="339"/>
      <c r="DP82" s="339"/>
      <c r="DQ82" s="339"/>
      <c r="DR82" s="339"/>
      <c r="DS82" s="339"/>
      <c r="DT82" s="339"/>
      <c r="DU82" s="339"/>
      <c r="DV82" s="339"/>
      <c r="DW82" s="339"/>
      <c r="DX82" s="339"/>
      <c r="DY82" s="339"/>
      <c r="DZ82" s="339"/>
      <c r="EA82" s="339"/>
      <c r="EB82" s="340"/>
      <c r="EC82" s="340"/>
      <c r="ED82" s="340"/>
      <c r="EE82" s="339"/>
      <c r="EF82" s="339"/>
      <c r="EG82" s="339"/>
      <c r="EH82" s="339"/>
      <c r="EI82" s="339"/>
      <c r="EJ82" s="339"/>
      <c r="EK82" s="339"/>
      <c r="EL82" s="339"/>
      <c r="EM82" s="339"/>
      <c r="EN82" s="339"/>
      <c r="EO82" s="339"/>
      <c r="EP82" s="339"/>
      <c r="EQ82" s="339"/>
      <c r="ER82" s="339"/>
      <c r="ES82" s="339"/>
      <c r="ET82" s="339"/>
      <c r="EU82" s="339"/>
      <c r="EV82" s="339"/>
      <c r="EW82" s="339"/>
      <c r="EX82" s="339"/>
      <c r="EY82" s="339"/>
      <c r="EZ82" s="339"/>
      <c r="FA82" s="339"/>
      <c r="FB82" s="339"/>
      <c r="FC82" s="339"/>
      <c r="FD82" s="339"/>
      <c r="FE82" s="339"/>
      <c r="FF82" s="339"/>
      <c r="FG82" s="339"/>
      <c r="FH82" s="342"/>
      <c r="FI82" s="339"/>
      <c r="FJ82" s="339"/>
      <c r="FK82" s="339"/>
      <c r="FL82" s="339"/>
      <c r="FM82" s="339"/>
      <c r="FN82" s="339"/>
      <c r="FO82" s="339"/>
      <c r="FP82" s="339"/>
      <c r="FQ82" s="339"/>
      <c r="FR82" s="339"/>
      <c r="FS82" s="339"/>
      <c r="FT82" s="339"/>
      <c r="FU82" s="339"/>
      <c r="FV82" s="339"/>
      <c r="FW82" s="339"/>
      <c r="FX82" s="339"/>
      <c r="FY82" s="339"/>
      <c r="FZ82" s="339"/>
      <c r="GA82" s="339"/>
      <c r="GB82" s="339"/>
      <c r="GC82" s="339"/>
      <c r="GD82" s="339"/>
      <c r="GE82" s="339"/>
      <c r="GF82" s="339"/>
      <c r="GG82" s="339"/>
      <c r="GH82" s="339"/>
      <c r="GI82" s="339"/>
      <c r="GJ82" s="339"/>
      <c r="GK82" s="339"/>
      <c r="GL82" s="339"/>
      <c r="GM82" s="339"/>
      <c r="GN82" s="339"/>
      <c r="GO82" s="339"/>
      <c r="GP82" s="339"/>
      <c r="GQ82" s="339"/>
      <c r="GR82" s="339"/>
      <c r="GS82" s="339"/>
      <c r="GT82" s="339"/>
      <c r="GU82" s="339"/>
      <c r="GV82" s="339"/>
      <c r="GW82" s="339"/>
      <c r="GX82" s="339"/>
      <c r="GY82" s="339"/>
      <c r="GZ82" s="339"/>
      <c r="HA82" s="339"/>
      <c r="HB82" s="339"/>
      <c r="HC82" s="339"/>
      <c r="HD82" s="339"/>
      <c r="HE82" s="339"/>
      <c r="HF82" s="339"/>
      <c r="HG82" s="339"/>
      <c r="HH82" s="339"/>
      <c r="HI82" s="505"/>
      <c r="HJ82" s="339"/>
      <c r="HK82" s="339"/>
      <c r="HL82" s="339"/>
      <c r="HM82" s="339"/>
      <c r="HN82" s="339"/>
      <c r="HO82" s="339"/>
      <c r="HP82" s="339"/>
      <c r="HQ82" s="339"/>
      <c r="HR82" s="339"/>
      <c r="HS82" s="339"/>
      <c r="HT82" s="339"/>
      <c r="HU82" s="339"/>
      <c r="HV82" s="339"/>
      <c r="HW82" s="339"/>
      <c r="HX82" s="506"/>
      <c r="HY82" s="513"/>
      <c r="HZ82" s="339"/>
      <c r="IA82" s="339"/>
      <c r="IB82" s="339"/>
      <c r="IC82" s="339"/>
      <c r="ID82" s="339"/>
      <c r="IE82" s="339"/>
      <c r="IF82" s="339"/>
      <c r="IG82" s="339"/>
      <c r="IH82" s="339"/>
      <c r="II82" s="339"/>
      <c r="IJ82" s="505"/>
      <c r="IK82" s="339"/>
      <c r="IL82" s="339"/>
      <c r="IM82" s="339"/>
      <c r="IN82" s="339"/>
      <c r="IO82" s="339"/>
      <c r="IP82" s="339"/>
      <c r="IQ82" s="339"/>
      <c r="IR82" s="339"/>
      <c r="IS82" s="339"/>
      <c r="IT82" s="339"/>
      <c r="IU82" s="339"/>
      <c r="IV82" s="339"/>
      <c r="IW82" s="339"/>
      <c r="IX82" s="339"/>
      <c r="IY82" s="339"/>
      <c r="IZ82" s="342"/>
      <c r="JA82" s="339"/>
      <c r="JB82" s="339"/>
      <c r="JC82" s="339"/>
      <c r="JD82" s="339"/>
      <c r="JE82" s="339"/>
      <c r="JF82" s="339"/>
      <c r="JG82" s="339"/>
      <c r="JH82" s="339"/>
      <c r="JI82" s="339"/>
      <c r="JJ82" s="339"/>
      <c r="JK82" s="339"/>
      <c r="JL82" s="339"/>
      <c r="JM82" s="339"/>
      <c r="JN82" s="339"/>
      <c r="JO82" s="339"/>
      <c r="JP82" s="339"/>
      <c r="JQ82" s="339"/>
      <c r="JR82" s="339"/>
      <c r="JS82" s="339"/>
      <c r="JT82" s="342"/>
      <c r="JU82" s="342"/>
      <c r="JV82" s="339"/>
      <c r="JW82" s="339"/>
      <c r="JX82" s="339"/>
      <c r="JY82" s="339"/>
      <c r="JZ82" s="339"/>
      <c r="KA82" s="339"/>
      <c r="KB82" s="339"/>
      <c r="KC82" s="339"/>
      <c r="KD82" s="339"/>
      <c r="KE82" s="339"/>
      <c r="KF82" s="339"/>
      <c r="KG82" s="339"/>
      <c r="KH82" s="339"/>
      <c r="KI82" s="339"/>
      <c r="KJ82" s="339"/>
      <c r="KK82" s="339"/>
      <c r="KL82" s="339"/>
      <c r="KM82" s="339"/>
      <c r="KN82" s="339"/>
      <c r="KO82" s="339"/>
      <c r="KP82" s="339"/>
      <c r="KQ82" s="339"/>
      <c r="KR82" s="339"/>
      <c r="KS82" s="339"/>
      <c r="KT82" s="339"/>
      <c r="KU82" s="339"/>
      <c r="KV82" s="339"/>
      <c r="KW82" s="334"/>
      <c r="KX82" s="334"/>
      <c r="KY82" s="334"/>
      <c r="KZ82" s="334"/>
      <c r="LA82" s="334"/>
      <c r="LB82" s="334"/>
      <c r="LC82" s="334"/>
      <c r="LD82" s="334"/>
      <c r="LE82" s="334"/>
      <c r="LF82" s="334"/>
      <c r="LG82" s="334"/>
      <c r="LH82" s="334"/>
      <c r="LI82" s="334"/>
      <c r="LJ82" s="334"/>
      <c r="LK82" s="334"/>
      <c r="LL82" s="334"/>
      <c r="LM82" s="334"/>
      <c r="LN82" s="334"/>
      <c r="LO82" s="334"/>
      <c r="LP82" s="334"/>
      <c r="LQ82" s="334"/>
      <c r="LR82" s="334"/>
      <c r="LS82" s="334"/>
      <c r="LT82" s="334"/>
      <c r="LU82" s="334"/>
      <c r="LV82" s="334"/>
      <c r="LW82" s="334"/>
      <c r="LX82" s="334"/>
      <c r="LY82" s="334"/>
      <c r="LZ82" s="334"/>
      <c r="MA82" s="334"/>
      <c r="MB82" s="334"/>
      <c r="MC82" s="334"/>
      <c r="MD82" s="334"/>
      <c r="ME82" s="334"/>
      <c r="MF82" s="334"/>
      <c r="MG82" s="334"/>
      <c r="MH82" s="334"/>
      <c r="MI82" s="334"/>
      <c r="MJ82" s="334"/>
      <c r="MK82" s="334"/>
      <c r="ML82" s="334"/>
      <c r="MM82" s="334"/>
      <c r="MN82" s="334"/>
      <c r="MO82" s="334"/>
      <c r="MP82" s="334"/>
      <c r="MQ82" s="334"/>
      <c r="MR82" s="334"/>
      <c r="MS82" s="334">
        <v>29.827999999999999</v>
      </c>
      <c r="MT82" s="334">
        <v>21.875</v>
      </c>
      <c r="MU82" s="334">
        <v>0.4325</v>
      </c>
      <c r="MV82" s="334">
        <v>29.827999999999999</v>
      </c>
      <c r="MW82" s="334">
        <v>20.875</v>
      </c>
      <c r="MX82" s="334">
        <v>0.4325</v>
      </c>
      <c r="MY82" s="334">
        <v>29.372</v>
      </c>
      <c r="MZ82" s="334">
        <v>19.875</v>
      </c>
      <c r="NA82" s="334">
        <v>0.4325</v>
      </c>
      <c r="NB82" s="334">
        <v>29.372</v>
      </c>
      <c r="NC82" s="334">
        <v>19.875</v>
      </c>
      <c r="ND82" s="334">
        <v>0.4325</v>
      </c>
      <c r="NE82" s="334">
        <v>29.372</v>
      </c>
      <c r="NF82" s="334">
        <v>20.5</v>
      </c>
      <c r="NG82" s="334">
        <v>0.4325</v>
      </c>
      <c r="NH82" s="334">
        <v>29.341999999999999</v>
      </c>
      <c r="NI82" s="334">
        <v>22.75</v>
      </c>
      <c r="NJ82" s="334">
        <v>0.4325</v>
      </c>
      <c r="NK82" s="334">
        <v>29.341999999999999</v>
      </c>
      <c r="NL82" s="334">
        <v>24.625</v>
      </c>
      <c r="NM82" s="334">
        <v>0.432</v>
      </c>
      <c r="NN82" s="334">
        <v>29.341999999999999</v>
      </c>
      <c r="NO82" s="334">
        <v>25.375</v>
      </c>
      <c r="NP82" s="334">
        <v>0.432</v>
      </c>
      <c r="NQ82" s="334">
        <v>29.332999999999998</v>
      </c>
      <c r="NR82" s="334">
        <v>23.625</v>
      </c>
      <c r="NS82" s="334">
        <v>0.432</v>
      </c>
      <c r="NT82" s="334">
        <v>29.329000000000001</v>
      </c>
      <c r="NU82" s="334">
        <v>22.625</v>
      </c>
      <c r="NV82" s="334">
        <v>0.432</v>
      </c>
      <c r="NW82" s="334">
        <v>27.474</v>
      </c>
      <c r="NX82" s="334">
        <v>22.13</v>
      </c>
      <c r="NY82" s="334">
        <v>0.45</v>
      </c>
      <c r="NZ82" s="334">
        <v>27.474</v>
      </c>
      <c r="OA82" s="334">
        <v>24.63</v>
      </c>
      <c r="OB82" s="334">
        <v>0.43</v>
      </c>
      <c r="OC82" s="334">
        <v>26.832000000000001</v>
      </c>
      <c r="OD82" s="334">
        <v>24.63</v>
      </c>
      <c r="OE82" s="334">
        <v>0.43</v>
      </c>
      <c r="OF82" s="334">
        <v>26.832999999999998</v>
      </c>
      <c r="OG82" s="334">
        <v>24</v>
      </c>
      <c r="OH82" s="334">
        <v>0.43</v>
      </c>
      <c r="OI82" s="334">
        <v>26.838000000000001</v>
      </c>
      <c r="OJ82" s="334">
        <v>26.25</v>
      </c>
      <c r="OK82" s="334">
        <v>0.43</v>
      </c>
      <c r="OL82" s="334">
        <v>26.835000000000001</v>
      </c>
      <c r="OM82" s="334">
        <v>25.5</v>
      </c>
      <c r="ON82" s="334">
        <v>0.43</v>
      </c>
      <c r="OO82" s="334">
        <v>26.835000000000001</v>
      </c>
      <c r="OP82" s="334">
        <v>22.25</v>
      </c>
      <c r="OQ82" s="334">
        <v>0.43</v>
      </c>
      <c r="OR82" s="334">
        <v>26.838000000000001</v>
      </c>
      <c r="OS82" s="334">
        <v>21.13</v>
      </c>
      <c r="OT82" s="334">
        <v>0.43</v>
      </c>
      <c r="OU82" s="334">
        <v>26.847000000000001</v>
      </c>
      <c r="OV82" s="334">
        <v>21.38</v>
      </c>
    </row>
    <row r="83" spans="1:412">
      <c r="B83" s="333" t="s">
        <v>261</v>
      </c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9"/>
      <c r="S83" s="339"/>
      <c r="T83" s="339"/>
      <c r="U83" s="339"/>
      <c r="V83" s="339"/>
      <c r="W83" s="339"/>
      <c r="X83" s="339"/>
      <c r="Y83" s="339"/>
      <c r="Z83" s="339"/>
      <c r="AA83" s="339"/>
      <c r="AB83" s="339"/>
      <c r="AC83" s="339"/>
      <c r="AD83" s="339"/>
      <c r="AE83" s="339"/>
      <c r="AF83" s="339"/>
      <c r="AG83" s="339"/>
      <c r="AH83" s="339"/>
      <c r="AI83" s="339"/>
      <c r="AJ83" s="339"/>
      <c r="AK83" s="339"/>
      <c r="AL83" s="339"/>
      <c r="AM83" s="339"/>
      <c r="AN83" s="339"/>
      <c r="AO83" s="339"/>
      <c r="AP83" s="339"/>
      <c r="AQ83" s="339"/>
      <c r="AR83" s="339"/>
      <c r="AS83" s="339"/>
      <c r="AT83" s="339"/>
      <c r="AU83" s="339"/>
      <c r="AV83" s="339"/>
      <c r="AW83" s="339"/>
      <c r="AX83" s="339"/>
      <c r="AY83" s="503"/>
      <c r="AZ83" s="503"/>
      <c r="BA83" s="503"/>
      <c r="BB83" s="503"/>
      <c r="BC83" s="503"/>
      <c r="BD83" s="503"/>
      <c r="BE83" s="503"/>
      <c r="BF83" s="503"/>
      <c r="BG83" s="503"/>
      <c r="BH83" s="503"/>
      <c r="BI83" s="503"/>
      <c r="BJ83" s="503"/>
      <c r="BK83" s="503"/>
      <c r="BL83" s="503"/>
      <c r="BM83" s="503"/>
      <c r="BN83" s="503"/>
      <c r="BO83" s="503"/>
      <c r="BP83" s="503"/>
      <c r="BQ83" s="504"/>
      <c r="BR83" s="504"/>
      <c r="BS83" s="504"/>
      <c r="BT83" s="504"/>
      <c r="BU83" s="504"/>
      <c r="BV83" s="504"/>
      <c r="BW83" s="504"/>
      <c r="BX83" s="504"/>
      <c r="BY83" s="504"/>
      <c r="BZ83" s="503"/>
      <c r="CA83" s="503"/>
      <c r="CB83" s="503"/>
      <c r="CC83" s="503"/>
      <c r="CD83" s="503"/>
      <c r="CE83" s="503"/>
      <c r="CF83" s="503"/>
      <c r="CG83" s="503"/>
      <c r="CH83" s="503"/>
      <c r="CI83" s="503"/>
      <c r="CJ83" s="503"/>
      <c r="CK83" s="503"/>
      <c r="CL83" s="503"/>
      <c r="CM83" s="503"/>
      <c r="CN83" s="503"/>
      <c r="CO83" s="503"/>
      <c r="CP83" s="503"/>
      <c r="CQ83" s="503"/>
      <c r="CR83" s="504"/>
      <c r="CS83" s="504"/>
      <c r="CT83" s="504"/>
      <c r="CU83" s="503"/>
      <c r="CV83" s="503"/>
      <c r="CW83" s="503"/>
      <c r="CX83" s="339"/>
      <c r="CY83" s="339"/>
      <c r="CZ83" s="339"/>
      <c r="DA83" s="339"/>
      <c r="DB83" s="339"/>
      <c r="DC83" s="339"/>
      <c r="DD83" s="339"/>
      <c r="DE83" s="339"/>
      <c r="DF83" s="339"/>
      <c r="DG83" s="339"/>
      <c r="DH83" s="339"/>
      <c r="DI83" s="339"/>
      <c r="DJ83" s="339"/>
      <c r="DK83" s="339"/>
      <c r="DL83" s="339"/>
      <c r="DM83" s="339"/>
      <c r="DN83" s="339"/>
      <c r="DO83" s="339"/>
      <c r="DP83" s="339"/>
      <c r="DQ83" s="339"/>
      <c r="DR83" s="339"/>
      <c r="DS83" s="339"/>
      <c r="DT83" s="339"/>
      <c r="DU83" s="339"/>
      <c r="DV83" s="339"/>
      <c r="DW83" s="339"/>
      <c r="DX83" s="339"/>
      <c r="DY83" s="339"/>
      <c r="DZ83" s="339"/>
      <c r="EA83" s="339"/>
      <c r="EB83" s="340"/>
      <c r="EC83" s="340"/>
      <c r="ED83" s="340"/>
      <c r="EE83" s="339"/>
      <c r="EF83" s="339"/>
      <c r="EG83" s="339"/>
      <c r="EH83" s="339"/>
      <c r="EI83" s="339"/>
      <c r="EJ83" s="339"/>
      <c r="EK83" s="339"/>
      <c r="EL83" s="339"/>
      <c r="EM83" s="339"/>
      <c r="EN83" s="339"/>
      <c r="EO83" s="339"/>
      <c r="EP83" s="339"/>
      <c r="EQ83" s="339"/>
      <c r="ER83" s="339"/>
      <c r="ES83" s="339"/>
      <c r="ET83" s="339"/>
      <c r="EU83" s="339"/>
      <c r="EV83" s="339"/>
      <c r="EW83" s="339"/>
      <c r="EX83" s="339"/>
      <c r="EY83" s="339"/>
      <c r="EZ83" s="339"/>
      <c r="FA83" s="339"/>
      <c r="FB83" s="339"/>
      <c r="FC83" s="339"/>
      <c r="FD83" s="339"/>
      <c r="FE83" s="339"/>
      <c r="FF83" s="339"/>
      <c r="FG83" s="339"/>
      <c r="FH83" s="342"/>
      <c r="FI83" s="339"/>
      <c r="FJ83" s="339"/>
      <c r="FK83" s="339"/>
      <c r="FL83" s="339"/>
      <c r="FM83" s="339"/>
      <c r="FN83" s="339"/>
      <c r="FO83" s="339"/>
      <c r="FP83" s="339"/>
      <c r="FQ83" s="339"/>
      <c r="FR83" s="339"/>
      <c r="FS83" s="339"/>
      <c r="FT83" s="339"/>
      <c r="FU83" s="339"/>
      <c r="FV83" s="339"/>
      <c r="FW83" s="339"/>
      <c r="FX83" s="339"/>
      <c r="FY83" s="339"/>
      <c r="FZ83" s="339"/>
      <c r="GA83" s="339"/>
      <c r="GB83" s="339"/>
      <c r="GC83" s="339"/>
      <c r="GD83" s="339"/>
      <c r="GE83" s="339"/>
      <c r="GF83" s="339"/>
      <c r="GG83" s="339"/>
      <c r="GH83" s="339"/>
      <c r="GI83" s="339"/>
      <c r="GJ83" s="339"/>
      <c r="GK83" s="339"/>
      <c r="GL83" s="339"/>
      <c r="GM83" s="339"/>
      <c r="GN83" s="339"/>
      <c r="GO83" s="339"/>
      <c r="GP83" s="339"/>
      <c r="GQ83" s="339"/>
      <c r="GR83" s="339"/>
      <c r="GS83" s="339"/>
      <c r="GT83" s="339"/>
      <c r="GU83" s="339"/>
      <c r="GV83" s="339"/>
      <c r="GW83" s="339"/>
      <c r="GX83" s="339"/>
      <c r="GY83" s="339"/>
      <c r="GZ83" s="339"/>
      <c r="HA83" s="339"/>
      <c r="HB83" s="339"/>
      <c r="HC83" s="339"/>
      <c r="HD83" s="339"/>
      <c r="HE83" s="339"/>
      <c r="HF83" s="339"/>
      <c r="HG83" s="339"/>
      <c r="HH83" s="339"/>
      <c r="HI83" s="505"/>
      <c r="HJ83" s="339"/>
      <c r="HK83" s="339"/>
      <c r="HL83" s="339"/>
      <c r="HM83" s="339"/>
      <c r="HN83" s="339"/>
      <c r="HO83" s="339"/>
      <c r="HP83" s="339"/>
      <c r="HQ83" s="339"/>
      <c r="HR83" s="339"/>
      <c r="HS83" s="339"/>
      <c r="HT83" s="339"/>
      <c r="HU83" s="339"/>
      <c r="HV83" s="339"/>
      <c r="HW83" s="339"/>
      <c r="HX83" s="506"/>
      <c r="HY83" s="513"/>
      <c r="HZ83" s="339"/>
      <c r="IA83" s="339"/>
      <c r="IB83" s="339"/>
      <c r="IC83" s="339"/>
      <c r="ID83" s="339"/>
      <c r="IE83" s="339"/>
      <c r="IF83" s="339"/>
      <c r="IG83" s="339"/>
      <c r="IH83" s="339"/>
      <c r="II83" s="339"/>
      <c r="IJ83" s="505"/>
      <c r="IK83" s="339"/>
      <c r="IL83" s="339"/>
      <c r="IM83" s="339"/>
      <c r="IN83" s="339"/>
      <c r="IO83" s="339"/>
      <c r="IP83" s="339"/>
      <c r="IQ83" s="339"/>
      <c r="IR83" s="339"/>
      <c r="IS83" s="339"/>
      <c r="IT83" s="339"/>
      <c r="IU83" s="339"/>
      <c r="IV83" s="339"/>
      <c r="IW83" s="339"/>
      <c r="IX83" s="339"/>
      <c r="IY83" s="339"/>
      <c r="IZ83" s="342"/>
      <c r="JA83" s="339"/>
      <c r="JB83" s="339"/>
      <c r="JC83" s="339"/>
      <c r="JD83" s="339"/>
      <c r="JE83" s="339"/>
      <c r="JF83" s="339"/>
      <c r="JG83" s="339"/>
      <c r="JH83" s="339"/>
      <c r="JI83" s="339"/>
      <c r="JJ83" s="339"/>
      <c r="JK83" s="339"/>
      <c r="JL83" s="339"/>
      <c r="JM83" s="339"/>
      <c r="JN83" s="339"/>
      <c r="JO83" s="339"/>
      <c r="JP83" s="339"/>
      <c r="JQ83" s="339"/>
      <c r="JR83" s="339"/>
      <c r="JS83" s="339"/>
      <c r="JT83" s="342"/>
      <c r="JU83" s="342"/>
      <c r="JV83" s="339"/>
      <c r="JW83" s="339"/>
      <c r="JX83" s="339"/>
      <c r="JY83" s="339"/>
      <c r="JZ83" s="339"/>
      <c r="KA83" s="339"/>
      <c r="KB83" s="339"/>
      <c r="KC83" s="339"/>
      <c r="KD83" s="339"/>
      <c r="KE83" s="339"/>
      <c r="KF83" s="339"/>
      <c r="KG83" s="339"/>
      <c r="KH83" s="339">
        <v>129.67699999999999</v>
      </c>
      <c r="KI83" s="339">
        <v>24.4375</v>
      </c>
      <c r="KJ83" s="339">
        <v>0.32750000000000001</v>
      </c>
      <c r="KK83" s="339">
        <v>129.67699999999999</v>
      </c>
      <c r="KL83" s="339">
        <v>23.875</v>
      </c>
      <c r="KM83" s="339">
        <v>0.3175</v>
      </c>
      <c r="KN83" s="339">
        <v>129.67699999999999</v>
      </c>
      <c r="KO83" s="339">
        <v>22.875</v>
      </c>
      <c r="KP83" s="339">
        <v>0.3175</v>
      </c>
      <c r="KQ83" s="339">
        <v>129.69999999999999</v>
      </c>
      <c r="KR83" s="339">
        <v>17.4375</v>
      </c>
      <c r="KS83" s="339">
        <v>0.3175</v>
      </c>
      <c r="KT83" s="339">
        <v>129.67699999999999</v>
      </c>
      <c r="KU83" s="339">
        <v>21.25</v>
      </c>
      <c r="KV83" s="339">
        <v>0.3175</v>
      </c>
      <c r="KW83" s="334">
        <v>129.68</v>
      </c>
      <c r="KX83" s="334">
        <v>21</v>
      </c>
      <c r="KY83" s="334">
        <v>0.3075</v>
      </c>
      <c r="KZ83" s="334">
        <v>129.69</v>
      </c>
      <c r="LA83" s="334">
        <v>20.8125</v>
      </c>
      <c r="LB83" s="334">
        <v>0.3075</v>
      </c>
      <c r="LC83" s="334">
        <v>129.69</v>
      </c>
      <c r="LD83" s="334">
        <v>28.312999999999999</v>
      </c>
      <c r="LE83" s="334">
        <v>0.308</v>
      </c>
      <c r="LF83" s="334">
        <v>66.53</v>
      </c>
      <c r="LG83" s="334">
        <v>27.75</v>
      </c>
      <c r="LH83" s="334">
        <v>0.308</v>
      </c>
      <c r="LI83" s="334">
        <v>66.53</v>
      </c>
      <c r="LJ83" s="334">
        <v>27.062999999999999</v>
      </c>
      <c r="LK83" s="334">
        <v>0.29799999999999999</v>
      </c>
      <c r="LL83" s="334">
        <v>66.489999999999995</v>
      </c>
      <c r="LM83" s="334">
        <v>25.8125</v>
      </c>
      <c r="LN83" s="334">
        <v>0.29799999999999999</v>
      </c>
      <c r="LO83" s="334">
        <v>66.491</v>
      </c>
      <c r="LP83" s="334">
        <v>24.8125</v>
      </c>
      <c r="LQ83" s="334">
        <v>0.29799999999999999</v>
      </c>
      <c r="LR83" s="334">
        <v>66.382999999999996</v>
      </c>
      <c r="LS83" s="334">
        <v>22.1875</v>
      </c>
      <c r="LT83" s="334">
        <v>0.28799999999999998</v>
      </c>
      <c r="LU83" s="334">
        <v>66.382999999999996</v>
      </c>
      <c r="LV83" s="334">
        <v>22.062999999999999</v>
      </c>
      <c r="LW83" s="334">
        <v>0.28799999999999998</v>
      </c>
      <c r="LX83" s="334">
        <v>66.340999999999994</v>
      </c>
      <c r="LY83" s="334">
        <v>24.125</v>
      </c>
      <c r="LZ83" s="334">
        <v>0.28799999999999998</v>
      </c>
      <c r="MA83" s="334">
        <v>66.307000000000002</v>
      </c>
      <c r="MB83" s="334">
        <v>24.5</v>
      </c>
      <c r="MC83" s="334">
        <v>0.27750000000000002</v>
      </c>
      <c r="MD83" s="334">
        <v>65.537999999999997</v>
      </c>
      <c r="ME83" s="334">
        <v>22.25</v>
      </c>
      <c r="MF83" s="334">
        <v>0.27750000000000002</v>
      </c>
      <c r="MG83" s="334">
        <v>65.537999999999997</v>
      </c>
      <c r="MH83" s="334">
        <v>22.875</v>
      </c>
      <c r="MI83" s="334">
        <v>0.27750000000000002</v>
      </c>
      <c r="MJ83" s="334">
        <v>65.537999999999997</v>
      </c>
      <c r="MK83" s="334">
        <v>21.437999999999999</v>
      </c>
      <c r="ML83" s="334">
        <v>0.27750000000000002</v>
      </c>
      <c r="MM83" s="334">
        <v>65.537999999999997</v>
      </c>
      <c r="MN83" s="334">
        <v>21.125</v>
      </c>
      <c r="MO83" s="334">
        <v>0.27750000000000002</v>
      </c>
      <c r="MP83" s="334">
        <v>65.537999999999997</v>
      </c>
      <c r="MQ83" s="334">
        <v>20.062999999999999</v>
      </c>
      <c r="MR83" s="334">
        <v>0.27750000000000002</v>
      </c>
      <c r="MS83" s="334">
        <v>65.537999999999997</v>
      </c>
      <c r="MT83" s="334">
        <v>19.5</v>
      </c>
      <c r="MU83" s="334">
        <v>0.26874999999999999</v>
      </c>
      <c r="MV83" s="334">
        <v>65.537999999999997</v>
      </c>
      <c r="MW83" s="334">
        <v>18.75</v>
      </c>
      <c r="MX83" s="334">
        <v>0.26874999999999999</v>
      </c>
      <c r="MY83" s="334">
        <v>65.537999999999997</v>
      </c>
      <c r="MZ83" s="334">
        <v>18.4375</v>
      </c>
      <c r="NA83" s="334">
        <v>0.26874999999999999</v>
      </c>
      <c r="NB83" s="334">
        <v>65.537999999999997</v>
      </c>
      <c r="NC83" s="334">
        <v>18.9375</v>
      </c>
      <c r="ND83" s="334">
        <v>0.26</v>
      </c>
      <c r="NE83" s="334">
        <v>65.537999999999997</v>
      </c>
      <c r="NF83" s="334">
        <v>18.25</v>
      </c>
      <c r="NG83" s="334">
        <v>0.26</v>
      </c>
      <c r="NH83" s="334">
        <v>65.537999999999997</v>
      </c>
      <c r="NI83" s="334">
        <v>18.3125</v>
      </c>
      <c r="NJ83" s="334">
        <v>0.26</v>
      </c>
      <c r="NK83" s="334">
        <v>65.537999999999997</v>
      </c>
      <c r="NL83" s="334">
        <v>20.25</v>
      </c>
      <c r="NM83" s="334">
        <v>0.26</v>
      </c>
      <c r="NN83" s="334">
        <v>65.537999999999997</v>
      </c>
      <c r="NO83" s="334">
        <v>20.875</v>
      </c>
      <c r="NP83" s="334">
        <v>0.26</v>
      </c>
      <c r="NQ83" s="334">
        <v>65.238</v>
      </c>
      <c r="NR83" s="334">
        <v>19.4375</v>
      </c>
      <c r="NS83" s="334">
        <v>0.251</v>
      </c>
      <c r="NT83" s="334">
        <v>64.885999999999996</v>
      </c>
      <c r="NU83" s="334">
        <v>19.1875</v>
      </c>
      <c r="NV83" s="334">
        <v>0.251</v>
      </c>
      <c r="NW83" s="334">
        <v>64.602000000000004</v>
      </c>
      <c r="NX83" s="334">
        <v>17.5</v>
      </c>
      <c r="NY83" s="334">
        <v>0.25</v>
      </c>
      <c r="NZ83" s="334">
        <v>64.602000000000004</v>
      </c>
      <c r="OA83" s="334">
        <v>17</v>
      </c>
      <c r="OB83" s="334">
        <v>0.25</v>
      </c>
      <c r="OC83" s="334">
        <v>64.591999999999999</v>
      </c>
      <c r="OD83" s="334">
        <v>15.56</v>
      </c>
      <c r="OE83" s="334">
        <v>0.24</v>
      </c>
      <c r="OF83" s="334">
        <v>64.575000000000003</v>
      </c>
      <c r="OG83" s="334">
        <v>14.92</v>
      </c>
      <c r="OH83" s="334">
        <v>0.24</v>
      </c>
      <c r="OI83" s="334">
        <v>64.512</v>
      </c>
      <c r="OJ83" s="334">
        <v>15.83</v>
      </c>
      <c r="OK83" s="334">
        <v>0.24</v>
      </c>
      <c r="OL83" s="334">
        <v>64.494</v>
      </c>
      <c r="OM83" s="334">
        <v>14.67</v>
      </c>
      <c r="ON83" s="334">
        <v>0.24</v>
      </c>
      <c r="OO83" s="334">
        <v>64.475999999999999</v>
      </c>
      <c r="OP83" s="334">
        <v>13.21</v>
      </c>
      <c r="OQ83" s="334">
        <v>0.24</v>
      </c>
      <c r="OR83" s="334">
        <v>64.427999999999997</v>
      </c>
      <c r="OS83" s="334">
        <v>13.42</v>
      </c>
      <c r="OT83" s="334">
        <v>0.24</v>
      </c>
      <c r="OU83" s="334">
        <v>63.713999999999999</v>
      </c>
      <c r="OV83" s="334">
        <v>13.33</v>
      </c>
    </row>
    <row r="84" spans="1:412">
      <c r="B84" s="333" t="s">
        <v>262</v>
      </c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504"/>
      <c r="AZ84" s="504"/>
      <c r="BA84" s="504"/>
      <c r="BB84" s="503"/>
      <c r="BC84" s="503"/>
      <c r="BD84" s="503"/>
      <c r="BE84" s="503"/>
      <c r="BF84" s="503"/>
      <c r="BG84" s="503"/>
      <c r="BH84" s="503"/>
      <c r="BI84" s="503"/>
      <c r="BJ84" s="503"/>
      <c r="BK84" s="503"/>
      <c r="BL84" s="503"/>
      <c r="BM84" s="503"/>
      <c r="BN84" s="503"/>
      <c r="BO84" s="503"/>
      <c r="BP84" s="503"/>
      <c r="BQ84" s="504"/>
      <c r="BR84" s="504"/>
      <c r="BS84" s="504"/>
      <c r="BT84" s="504"/>
      <c r="BU84" s="504"/>
      <c r="BV84" s="504"/>
      <c r="BW84" s="504"/>
      <c r="BX84" s="504"/>
      <c r="BY84" s="504"/>
      <c r="BZ84" s="503"/>
      <c r="CA84" s="503"/>
      <c r="CB84" s="503"/>
      <c r="CC84" s="503"/>
      <c r="CD84" s="503"/>
      <c r="CE84" s="503"/>
      <c r="CF84" s="503"/>
      <c r="CG84" s="503"/>
      <c r="CH84" s="503"/>
      <c r="CI84" s="503"/>
      <c r="CJ84" s="503"/>
      <c r="CK84" s="503"/>
      <c r="CL84" s="503"/>
      <c r="CM84" s="503"/>
      <c r="CN84" s="503"/>
      <c r="CO84" s="503"/>
      <c r="CP84" s="503"/>
      <c r="CQ84" s="503"/>
      <c r="CR84" s="504"/>
      <c r="CS84" s="504"/>
      <c r="CT84" s="504"/>
      <c r="CU84" s="503"/>
      <c r="CV84" s="503"/>
      <c r="CW84" s="503"/>
      <c r="CX84" s="339"/>
      <c r="CY84" s="339"/>
      <c r="CZ84" s="339"/>
      <c r="DA84" s="339"/>
      <c r="DB84" s="339"/>
      <c r="DC84" s="339"/>
      <c r="DD84" s="339"/>
      <c r="DE84" s="339"/>
      <c r="DF84" s="339"/>
      <c r="DG84" s="339"/>
      <c r="DH84" s="339"/>
      <c r="DI84" s="339"/>
      <c r="DJ84" s="339"/>
      <c r="DK84" s="339"/>
      <c r="DL84" s="339"/>
      <c r="DM84" s="339"/>
      <c r="DN84" s="339"/>
      <c r="DO84" s="339"/>
      <c r="DP84" s="339"/>
      <c r="DQ84" s="339"/>
      <c r="DR84" s="339"/>
      <c r="DS84" s="339"/>
      <c r="DT84" s="339"/>
      <c r="DU84" s="339"/>
      <c r="DV84" s="339"/>
      <c r="DW84" s="339"/>
      <c r="DX84" s="339"/>
      <c r="DY84" s="339"/>
      <c r="DZ84" s="339"/>
      <c r="EA84" s="339"/>
      <c r="EB84" s="340"/>
      <c r="EC84" s="340"/>
      <c r="ED84" s="340"/>
      <c r="EE84" s="339"/>
      <c r="EF84" s="339"/>
      <c r="EG84" s="339"/>
      <c r="EH84" s="339"/>
      <c r="EI84" s="339"/>
      <c r="EJ84" s="339"/>
      <c r="EK84" s="339"/>
      <c r="EL84" s="339"/>
      <c r="EM84" s="339"/>
      <c r="EN84" s="339"/>
      <c r="EO84" s="339"/>
      <c r="EP84" s="339"/>
      <c r="EQ84" s="339"/>
      <c r="ER84" s="339"/>
      <c r="ES84" s="339"/>
      <c r="ET84" s="339"/>
      <c r="EU84" s="339"/>
      <c r="EV84" s="339"/>
      <c r="EW84" s="339"/>
      <c r="EX84" s="339"/>
      <c r="EY84" s="339"/>
      <c r="EZ84" s="339"/>
      <c r="FA84" s="339"/>
      <c r="FB84" s="339"/>
      <c r="FC84" s="339"/>
      <c r="FD84" s="339"/>
      <c r="FE84" s="339"/>
      <c r="FF84" s="339"/>
      <c r="FG84" s="339"/>
      <c r="FH84" s="342"/>
      <c r="FI84" s="339"/>
      <c r="FJ84" s="339"/>
      <c r="FK84" s="339"/>
      <c r="FL84" s="339"/>
      <c r="FM84" s="339"/>
      <c r="FN84" s="339"/>
      <c r="FO84" s="339"/>
      <c r="FP84" s="339"/>
      <c r="FQ84" s="339"/>
      <c r="FR84" s="339"/>
      <c r="FS84" s="339"/>
      <c r="FT84" s="339"/>
      <c r="FU84" s="339"/>
      <c r="FV84" s="339"/>
      <c r="FW84" s="339"/>
      <c r="FX84" s="339"/>
      <c r="FY84" s="339"/>
      <c r="FZ84" s="339"/>
      <c r="GA84" s="339"/>
      <c r="GB84" s="339"/>
      <c r="GC84" s="339"/>
      <c r="GD84" s="339"/>
      <c r="GE84" s="339"/>
      <c r="GF84" s="339"/>
      <c r="GG84" s="339"/>
      <c r="GH84" s="339"/>
      <c r="GI84" s="339"/>
      <c r="GJ84" s="339"/>
      <c r="GK84" s="339"/>
      <c r="GL84" s="339"/>
      <c r="GM84" s="339"/>
      <c r="GN84" s="339"/>
      <c r="GO84" s="339"/>
      <c r="GP84" s="339"/>
      <c r="GQ84" s="339"/>
      <c r="GR84" s="339"/>
      <c r="GS84" s="339"/>
      <c r="GT84" s="339"/>
      <c r="GU84" s="339"/>
      <c r="GV84" s="339"/>
      <c r="GW84" s="339"/>
      <c r="GX84" s="339"/>
      <c r="GY84" s="339"/>
      <c r="GZ84" s="339"/>
      <c r="HA84" s="339"/>
      <c r="HB84" s="339"/>
      <c r="HC84" s="339"/>
      <c r="HD84" s="339"/>
      <c r="HE84" s="339">
        <v>175.6</v>
      </c>
      <c r="HF84" s="339">
        <v>41.98</v>
      </c>
      <c r="HG84" s="339">
        <v>0.47499999999999998</v>
      </c>
      <c r="HH84" s="339">
        <v>175.04</v>
      </c>
      <c r="HI84" s="505">
        <v>41.15</v>
      </c>
      <c r="HJ84" s="339">
        <v>0.47499999999999998</v>
      </c>
      <c r="HK84" s="339">
        <v>175.114</v>
      </c>
      <c r="HL84" s="339">
        <v>41.18</v>
      </c>
      <c r="HM84" s="512">
        <v>0.47499999999999998</v>
      </c>
      <c r="HN84" s="339">
        <v>174.989</v>
      </c>
      <c r="HO84" s="339">
        <v>41.14</v>
      </c>
      <c r="HP84" s="339">
        <v>0.46500000000000002</v>
      </c>
      <c r="HQ84" s="339">
        <v>174.70400000000001</v>
      </c>
      <c r="HR84" s="339">
        <v>40.4</v>
      </c>
      <c r="HS84" s="339">
        <v>0.46500000000000002</v>
      </c>
      <c r="HT84" s="339">
        <v>174.36500000000001</v>
      </c>
      <c r="HU84" s="339">
        <v>40.869999999999997</v>
      </c>
      <c r="HV84" s="339">
        <v>0.46500000000000002</v>
      </c>
      <c r="HW84" s="339">
        <v>174.33199999999999</v>
      </c>
      <c r="HX84" s="506">
        <v>35.69</v>
      </c>
      <c r="HY84" s="513">
        <f>1.86/4</f>
        <v>0.46500000000000002</v>
      </c>
      <c r="HZ84" s="339">
        <v>169.93299999999999</v>
      </c>
      <c r="IA84" s="339">
        <v>36.78</v>
      </c>
      <c r="IB84" s="339">
        <v>0.45500000000000002</v>
      </c>
      <c r="IC84" s="339">
        <v>161.125</v>
      </c>
      <c r="ID84" s="339">
        <v>40.700000000000003</v>
      </c>
      <c r="IE84" s="339">
        <v>0.45500000000000002</v>
      </c>
      <c r="IF84" s="339">
        <v>160.357</v>
      </c>
      <c r="IG84" s="339">
        <v>38.97</v>
      </c>
      <c r="IH84" s="339">
        <v>0.45500000000000002</v>
      </c>
      <c r="II84" s="339">
        <v>160.357</v>
      </c>
      <c r="IJ84" s="505">
        <v>39.450000000000003</v>
      </c>
      <c r="IK84" s="339">
        <v>0.45500000000000002</v>
      </c>
      <c r="IL84" s="339">
        <v>160.167</v>
      </c>
      <c r="IM84" s="339">
        <v>39.200000000000003</v>
      </c>
      <c r="IN84" s="339">
        <v>0.44500000000000001</v>
      </c>
      <c r="IO84" s="339">
        <v>159.892</v>
      </c>
      <c r="IP84" s="339">
        <v>36.700000000000003</v>
      </c>
      <c r="IQ84" s="339">
        <v>0.44500000000000001</v>
      </c>
      <c r="IR84" s="339">
        <v>159.411</v>
      </c>
      <c r="IS84" s="339">
        <v>38.22</v>
      </c>
      <c r="IT84" s="339">
        <v>0.44500000000000001</v>
      </c>
      <c r="IU84" s="339">
        <v>158.78299999999999</v>
      </c>
      <c r="IV84" s="339">
        <v>36.799999999999997</v>
      </c>
      <c r="IW84" s="339">
        <v>0.44500000000000001</v>
      </c>
      <c r="IX84" s="339">
        <v>157.94300000000001</v>
      </c>
      <c r="IY84" s="339">
        <v>35.08</v>
      </c>
      <c r="IZ84" s="339">
        <v>0.44500000000000001</v>
      </c>
      <c r="JA84" s="339">
        <v>156.886</v>
      </c>
      <c r="JB84" s="339">
        <v>35.450000000000003</v>
      </c>
      <c r="JC84" s="339">
        <v>0.44500000000000001</v>
      </c>
      <c r="JD84" s="339">
        <v>142.26499999999999</v>
      </c>
      <c r="JE84" s="339">
        <v>32.25</v>
      </c>
      <c r="JF84" s="339">
        <v>0.44500000000000001</v>
      </c>
      <c r="JG84" s="339">
        <v>141.68600000000001</v>
      </c>
      <c r="JH84" s="339">
        <v>35.24</v>
      </c>
      <c r="JI84" s="339">
        <v>0.44500000000000001</v>
      </c>
      <c r="JJ84" s="339">
        <v>141.06299999999999</v>
      </c>
      <c r="JK84" s="339">
        <v>33.5</v>
      </c>
      <c r="JL84" s="339">
        <v>0.44500000000000001</v>
      </c>
      <c r="JM84" s="339">
        <v>140.03899999999999</v>
      </c>
      <c r="JN84" s="339">
        <v>37.65</v>
      </c>
      <c r="JO84" s="339">
        <v>0.44500000000000001</v>
      </c>
      <c r="JP84" s="339">
        <v>139.285</v>
      </c>
      <c r="JQ84" s="339">
        <v>36.39</v>
      </c>
      <c r="JR84" s="339">
        <v>0.44500000000000001</v>
      </c>
      <c r="JS84" s="339">
        <v>138.69300000000001</v>
      </c>
      <c r="JT84" s="339">
        <v>34.65</v>
      </c>
      <c r="JU84" s="339">
        <v>0.44500000000000001</v>
      </c>
      <c r="JV84" s="339">
        <v>137.916</v>
      </c>
      <c r="JW84" s="339">
        <v>33.24</v>
      </c>
      <c r="JX84" s="339">
        <v>0.44500000000000001</v>
      </c>
      <c r="JY84" s="339">
        <v>136.96100000000001</v>
      </c>
      <c r="JZ84" s="339">
        <v>36.479999999999997</v>
      </c>
      <c r="KA84" s="339">
        <v>0.44500000000000001</v>
      </c>
      <c r="KB84" s="339">
        <v>135.333</v>
      </c>
      <c r="KC84" s="339">
        <v>38.130000000000003</v>
      </c>
      <c r="KD84" s="339">
        <v>0.44500000000000001</v>
      </c>
      <c r="KE84" s="339">
        <v>134.33500000000001</v>
      </c>
      <c r="KF84" s="339">
        <v>42.375</v>
      </c>
      <c r="KG84" s="339">
        <v>0.44500000000000001</v>
      </c>
      <c r="KH84" s="339">
        <v>133.88900000000001</v>
      </c>
      <c r="KI84" s="339">
        <v>40.125</v>
      </c>
      <c r="KJ84" s="339">
        <v>0.44500000000000001</v>
      </c>
      <c r="KK84" s="339">
        <v>133.87299999999999</v>
      </c>
      <c r="KL84" s="339">
        <v>30.75</v>
      </c>
      <c r="KM84" s="339">
        <v>0.44500000000000001</v>
      </c>
      <c r="KN84" s="339">
        <v>133.86600000000001</v>
      </c>
      <c r="KO84" s="339">
        <v>27.625</v>
      </c>
      <c r="KP84" s="339">
        <v>0.44500000000000001</v>
      </c>
      <c r="KQ84" s="339">
        <v>136.506</v>
      </c>
      <c r="KR84" s="339">
        <v>23.1875</v>
      </c>
      <c r="KS84" s="339">
        <v>0.44500000000000001</v>
      </c>
      <c r="KT84" s="339">
        <v>140.749</v>
      </c>
      <c r="KU84" s="339">
        <v>28.625</v>
      </c>
      <c r="KV84" s="339">
        <v>0.44500000000000001</v>
      </c>
      <c r="KW84" s="334">
        <v>157.30000000000001</v>
      </c>
      <c r="KX84" s="334">
        <v>26.375</v>
      </c>
      <c r="KY84" s="334">
        <v>0.44500000000000001</v>
      </c>
      <c r="KZ84" s="334">
        <v>157.30000000000001</v>
      </c>
      <c r="LA84" s="334">
        <v>25.125</v>
      </c>
      <c r="LB84" s="334">
        <v>0.44500000000000001</v>
      </c>
      <c r="LC84" s="334">
        <v>157.30000000000001</v>
      </c>
      <c r="LD84" s="334">
        <v>31</v>
      </c>
      <c r="LE84" s="334">
        <v>0.44500000000000001</v>
      </c>
      <c r="LF84" s="334">
        <v>121</v>
      </c>
      <c r="LG84" s="334">
        <v>28.687999999999999</v>
      </c>
      <c r="LH84" s="334">
        <v>0.44500000000000001</v>
      </c>
      <c r="LI84" s="334">
        <v>121</v>
      </c>
      <c r="LJ84" s="334">
        <v>29.937999999999999</v>
      </c>
      <c r="LK84" s="334">
        <v>0.44500000000000001</v>
      </c>
      <c r="LL84" s="334">
        <v>121.34</v>
      </c>
      <c r="LM84" s="334">
        <v>31.25</v>
      </c>
      <c r="LN84" s="334">
        <v>0.44500000000000001</v>
      </c>
      <c r="LO84" s="334">
        <v>121.34099999999999</v>
      </c>
      <c r="LP84" s="334">
        <v>30.125</v>
      </c>
      <c r="LQ84" s="334">
        <v>0.44500000000000001</v>
      </c>
      <c r="LR84" s="334">
        <v>120.995</v>
      </c>
      <c r="LS84" s="334">
        <v>25.75</v>
      </c>
      <c r="LT84" s="334">
        <v>0.44500000000000001</v>
      </c>
      <c r="LU84" s="334">
        <v>120.995</v>
      </c>
      <c r="LV84" s="334">
        <v>23</v>
      </c>
      <c r="LW84" s="334">
        <v>0.44500000000000001</v>
      </c>
      <c r="LX84" s="334">
        <v>120.495</v>
      </c>
      <c r="LY84" s="334">
        <v>24</v>
      </c>
      <c r="LZ84" s="334">
        <v>0.44500000000000001</v>
      </c>
      <c r="MA84" s="334">
        <v>120.495</v>
      </c>
      <c r="MB84" s="334">
        <v>22.125</v>
      </c>
      <c r="MC84" s="334">
        <v>0.44500000000000001</v>
      </c>
      <c r="MD84" s="334">
        <v>119</v>
      </c>
      <c r="ME84" s="334">
        <v>17.125</v>
      </c>
      <c r="MF84" s="334">
        <v>0.44500000000000001</v>
      </c>
      <c r="MG84" s="334">
        <v>119</v>
      </c>
      <c r="MH84" s="334">
        <v>16.875</v>
      </c>
      <c r="MI84" s="334">
        <v>0.44500000000000001</v>
      </c>
      <c r="MJ84" s="334">
        <v>119</v>
      </c>
      <c r="MK84" s="334">
        <v>17.625</v>
      </c>
      <c r="ML84" s="334">
        <v>0.44500000000000001</v>
      </c>
      <c r="MM84" s="334">
        <v>119</v>
      </c>
      <c r="MN84" s="334">
        <v>16.375</v>
      </c>
      <c r="MO84" s="334">
        <v>0.44500000000000001</v>
      </c>
      <c r="MP84" s="334">
        <v>112.14700000000001</v>
      </c>
      <c r="MQ84" s="334">
        <v>17.25</v>
      </c>
      <c r="MR84" s="334">
        <v>0.44500000000000001</v>
      </c>
      <c r="MS84" s="334">
        <v>112.14700000000001</v>
      </c>
      <c r="MT84" s="334">
        <v>15.5</v>
      </c>
      <c r="MU84" s="334">
        <v>0.44500000000000001</v>
      </c>
      <c r="MV84" s="334">
        <v>112.14700000000001</v>
      </c>
      <c r="MW84" s="334">
        <v>14.625</v>
      </c>
      <c r="MX84" s="334">
        <v>0.44500000000000001</v>
      </c>
      <c r="MY84" s="334">
        <v>112.14700000000001</v>
      </c>
      <c r="MZ84" s="334">
        <v>15.375</v>
      </c>
      <c r="NA84" s="334">
        <v>0.44500000000000001</v>
      </c>
      <c r="NB84" s="334">
        <v>112.14700000000001</v>
      </c>
      <c r="NC84" s="334">
        <v>16.25</v>
      </c>
      <c r="ND84" s="334">
        <v>0.44500000000000001</v>
      </c>
      <c r="NE84" s="334">
        <v>112.14700000000001</v>
      </c>
      <c r="NF84" s="334">
        <v>17.75</v>
      </c>
      <c r="NG84" s="334">
        <v>0.44500000000000001</v>
      </c>
      <c r="NH84" s="334">
        <v>112.14700000000001</v>
      </c>
      <c r="NI84" s="334">
        <v>21.75</v>
      </c>
      <c r="NJ84" s="334">
        <v>0.44500000000000001</v>
      </c>
      <c r="NK84" s="334">
        <v>112.14700000000001</v>
      </c>
      <c r="NL84" s="334">
        <v>24.375</v>
      </c>
      <c r="NM84" s="334">
        <v>0.44500000000000001</v>
      </c>
      <c r="NN84" s="334">
        <v>112.14700000000001</v>
      </c>
      <c r="NO84" s="334">
        <v>27.25</v>
      </c>
      <c r="NP84" s="334">
        <v>0.44500000000000001</v>
      </c>
      <c r="NQ84" s="334">
        <v>111.97</v>
      </c>
      <c r="NR84" s="334">
        <v>27.25</v>
      </c>
      <c r="NS84" s="334">
        <v>0.435</v>
      </c>
      <c r="NT84" s="334">
        <v>111.779</v>
      </c>
      <c r="NU84" s="334">
        <v>27.625</v>
      </c>
      <c r="NV84" s="334">
        <v>0.435</v>
      </c>
      <c r="NW84" s="334">
        <v>111.38200000000001</v>
      </c>
      <c r="NX84" s="334">
        <v>25.75</v>
      </c>
      <c r="NY84" s="334">
        <v>0.44</v>
      </c>
      <c r="NZ84" s="334">
        <v>111.38200000000001</v>
      </c>
      <c r="OA84" s="334">
        <v>24.5</v>
      </c>
      <c r="OB84" s="334">
        <v>0.43</v>
      </c>
      <c r="OC84" s="334">
        <v>111.379</v>
      </c>
      <c r="OD84" s="334">
        <v>23.5</v>
      </c>
      <c r="OE84" s="334">
        <v>0.43</v>
      </c>
      <c r="OF84" s="334">
        <v>111.372</v>
      </c>
      <c r="OG84" s="334">
        <v>22.5</v>
      </c>
      <c r="OH84" s="334">
        <v>0.43</v>
      </c>
      <c r="OI84" s="334">
        <v>111.348</v>
      </c>
      <c r="OJ84" s="334">
        <v>24.63</v>
      </c>
      <c r="OK84" s="334">
        <v>0.43</v>
      </c>
      <c r="OL84" s="334">
        <v>111.343</v>
      </c>
      <c r="OM84" s="334">
        <v>24</v>
      </c>
      <c r="ON84" s="334">
        <v>0.38</v>
      </c>
      <c r="OO84" s="334">
        <v>111.33799999999999</v>
      </c>
      <c r="OP84" s="334">
        <v>22.38</v>
      </c>
      <c r="OQ84" s="334">
        <v>0.38</v>
      </c>
      <c r="OR84" s="334">
        <v>111.331</v>
      </c>
      <c r="OS84" s="334">
        <v>22.75</v>
      </c>
      <c r="OT84" s="334">
        <v>0.38</v>
      </c>
      <c r="OU84" s="334">
        <v>111.29</v>
      </c>
      <c r="OV84" s="334">
        <v>21.38</v>
      </c>
    </row>
    <row r="85" spans="1:412">
      <c r="A85" s="294" t="s">
        <v>47</v>
      </c>
      <c r="B85" s="335" t="s">
        <v>145</v>
      </c>
      <c r="C85" s="335">
        <v>36.180999999999997</v>
      </c>
      <c r="D85" s="335">
        <v>93.96</v>
      </c>
      <c r="E85" s="335">
        <v>0.45</v>
      </c>
      <c r="F85" s="335">
        <v>36.176000000000002</v>
      </c>
      <c r="G85" s="335">
        <v>91.45</v>
      </c>
      <c r="H85" s="335">
        <v>0.45</v>
      </c>
      <c r="I85" s="335">
        <v>36.170999999999999</v>
      </c>
      <c r="J85" s="335">
        <v>74.72</v>
      </c>
      <c r="K85" s="335">
        <v>0.42749999999999999</v>
      </c>
      <c r="L85" s="335">
        <v>36.162999999999997</v>
      </c>
      <c r="M85" s="335">
        <v>78.72</v>
      </c>
      <c r="N85" s="335">
        <v>0.42749999999999999</v>
      </c>
      <c r="O85" s="335">
        <v>36.162999999999997</v>
      </c>
      <c r="P85" s="335">
        <v>72.31</v>
      </c>
      <c r="Q85" s="335">
        <v>0.42749999999999999</v>
      </c>
      <c r="R85" s="340">
        <v>36.162999999999997</v>
      </c>
      <c r="S85" s="340">
        <v>68.510000000000005</v>
      </c>
      <c r="T85" s="340">
        <v>0.42749999999999999</v>
      </c>
      <c r="U85" s="340">
        <v>36.162999999999997</v>
      </c>
      <c r="V85" s="340">
        <v>79.11</v>
      </c>
      <c r="W85" s="340">
        <v>0.40749999999999997</v>
      </c>
      <c r="X85" s="340">
        <v>36.162999999999997</v>
      </c>
      <c r="Y85" s="340">
        <v>77.67</v>
      </c>
      <c r="Z85" s="340">
        <v>0.40749999999999997</v>
      </c>
      <c r="AA85" s="340">
        <v>36.162999999999997</v>
      </c>
      <c r="AB85" s="340">
        <v>70.400000000000006</v>
      </c>
      <c r="AC85" s="340">
        <v>0.40749999999999997</v>
      </c>
      <c r="AD85" s="340">
        <v>36.162999999999997</v>
      </c>
      <c r="AE85" s="340">
        <v>65.63</v>
      </c>
      <c r="AF85" s="340">
        <v>0.40749999999999997</v>
      </c>
      <c r="AG85" s="340">
        <v>36.162999999999997</v>
      </c>
      <c r="AH85" s="340">
        <v>77.83</v>
      </c>
      <c r="AI85" s="340">
        <v>0.38750000000000001</v>
      </c>
      <c r="AJ85" s="340">
        <v>36.162999999999997</v>
      </c>
      <c r="AK85" s="340">
        <v>79.790000000000006</v>
      </c>
      <c r="AL85" s="340">
        <v>0.38750000000000001</v>
      </c>
      <c r="AM85" s="340">
        <v>36.162999999999997</v>
      </c>
      <c r="AN85" s="340">
        <v>82.25</v>
      </c>
      <c r="AO85" s="340">
        <v>0.38750000000000001</v>
      </c>
      <c r="AP85" s="340">
        <v>36.162999999999997</v>
      </c>
      <c r="AQ85" s="340">
        <v>73.5</v>
      </c>
      <c r="AR85" s="340">
        <v>0.37</v>
      </c>
      <c r="AS85" s="340">
        <v>36.162999999999997</v>
      </c>
      <c r="AT85" s="340">
        <v>74.44</v>
      </c>
      <c r="AU85" s="340">
        <v>0.37</v>
      </c>
      <c r="AV85" s="340">
        <v>35.612000000000002</v>
      </c>
      <c r="AW85" s="340">
        <v>71.39</v>
      </c>
      <c r="AX85" s="340">
        <v>0.37</v>
      </c>
      <c r="AY85" s="503">
        <v>36.162999999999997</v>
      </c>
      <c r="AZ85" s="503">
        <v>70.03</v>
      </c>
      <c r="BA85" s="503">
        <v>0.37</v>
      </c>
      <c r="BB85" s="504">
        <v>35.441000000000003</v>
      </c>
      <c r="BC85" s="504">
        <v>62.66</v>
      </c>
      <c r="BD85" s="504">
        <v>0.37</v>
      </c>
      <c r="BE85" s="504">
        <v>34.667999999999999</v>
      </c>
      <c r="BF85" s="504">
        <v>64.510000000000005</v>
      </c>
      <c r="BG85" s="504">
        <v>0.35249999999999998</v>
      </c>
      <c r="BH85" s="504">
        <v>34.667999999999999</v>
      </c>
      <c r="BI85" s="504">
        <v>65.47</v>
      </c>
      <c r="BJ85" s="504">
        <v>0.35249999999999998</v>
      </c>
      <c r="BK85" s="504">
        <v>34.667999999999999</v>
      </c>
      <c r="BL85" s="504">
        <v>78.819999999999993</v>
      </c>
      <c r="BM85" s="504">
        <v>0.35249999999999998</v>
      </c>
      <c r="BN85" s="504">
        <v>34.667999999999999</v>
      </c>
      <c r="BO85" s="504">
        <v>79.87</v>
      </c>
      <c r="BP85" s="507">
        <v>0.35249999999999998</v>
      </c>
      <c r="BQ85" s="504">
        <v>34.667999999999999</v>
      </c>
      <c r="BR85" s="504">
        <v>73.08</v>
      </c>
      <c r="BS85" s="504">
        <v>0.33750000000000002</v>
      </c>
      <c r="BT85" s="504">
        <v>34.667999999999999</v>
      </c>
      <c r="BU85" s="504">
        <v>67.97</v>
      </c>
      <c r="BV85" s="504">
        <v>0.33750000000000002</v>
      </c>
      <c r="BW85" s="504">
        <v>34.667999999999999</v>
      </c>
      <c r="BX85" s="504">
        <v>59.96</v>
      </c>
      <c r="BY85" s="504">
        <v>0.33750000000000002</v>
      </c>
      <c r="BZ85" s="504">
        <v>34.667999999999999</v>
      </c>
      <c r="CA85" s="504">
        <v>63.85</v>
      </c>
      <c r="CB85" s="504">
        <v>0.33750000000000002</v>
      </c>
      <c r="CC85" s="503">
        <v>34.667999999999999</v>
      </c>
      <c r="CD85" s="503">
        <v>63.05</v>
      </c>
      <c r="CE85" s="503">
        <v>0.32250000000000001</v>
      </c>
      <c r="CF85" s="503">
        <v>34.667999999999999</v>
      </c>
      <c r="CG85" s="503">
        <v>56.1</v>
      </c>
      <c r="CH85" s="503">
        <v>0.32250000000000001</v>
      </c>
      <c r="CI85" s="503">
        <v>34.667999999999999</v>
      </c>
      <c r="CJ85" s="503">
        <v>63.1</v>
      </c>
      <c r="CK85" s="503">
        <v>0.32250000000000001</v>
      </c>
      <c r="CL85" s="503">
        <v>34.667999999999999</v>
      </c>
      <c r="CM85" s="503">
        <v>64.599999999999994</v>
      </c>
      <c r="CN85" s="508">
        <v>0.32250000000000001</v>
      </c>
      <c r="CO85" s="503">
        <v>34.667999999999999</v>
      </c>
      <c r="CP85" s="503">
        <v>64.349999999999994</v>
      </c>
      <c r="CQ85" s="503">
        <v>0.3075</v>
      </c>
      <c r="CR85" s="504">
        <v>34.667999999999999</v>
      </c>
      <c r="CS85" s="504">
        <v>65</v>
      </c>
      <c r="CT85" s="504">
        <v>0.3075</v>
      </c>
      <c r="CU85" s="503">
        <v>34.667999999999999</v>
      </c>
      <c r="CV85" s="503">
        <v>65.3</v>
      </c>
      <c r="CW85" s="503">
        <v>0.3075</v>
      </c>
      <c r="CX85" s="339">
        <v>34.667999999999999</v>
      </c>
      <c r="CY85" s="339">
        <v>56.51</v>
      </c>
      <c r="CZ85" s="511">
        <v>0.3075</v>
      </c>
      <c r="DA85" s="339">
        <v>34.667999999999999</v>
      </c>
      <c r="DB85" s="339">
        <v>56.52</v>
      </c>
      <c r="DC85" s="339">
        <v>0.29499999999999998</v>
      </c>
      <c r="DD85" s="339">
        <v>34.667999999999999</v>
      </c>
      <c r="DE85" s="339">
        <v>52.25</v>
      </c>
      <c r="DF85" s="339">
        <v>0.29499999999999998</v>
      </c>
      <c r="DG85" s="339">
        <v>34.667999999999999</v>
      </c>
      <c r="DH85" s="339">
        <v>46.4</v>
      </c>
      <c r="DI85" s="339">
        <v>0.29499999999999998</v>
      </c>
      <c r="DJ85" s="339">
        <v>34.667999999999999</v>
      </c>
      <c r="DK85" s="339">
        <v>41.19</v>
      </c>
      <c r="DL85" s="510">
        <v>0.29499999999999998</v>
      </c>
      <c r="DM85" s="339">
        <v>34.667999999999999</v>
      </c>
      <c r="DN85" s="339">
        <v>38.729999999999997</v>
      </c>
      <c r="DO85" s="339">
        <v>0.28249999999999997</v>
      </c>
      <c r="DP85" s="340">
        <v>34.667999999999999</v>
      </c>
      <c r="DQ85" s="340">
        <v>44.32</v>
      </c>
      <c r="DR85" s="340">
        <v>0.28249999999999997</v>
      </c>
      <c r="DS85" s="339">
        <v>34.667999999999999</v>
      </c>
      <c r="DT85" s="339">
        <v>45.61</v>
      </c>
      <c r="DU85" s="339">
        <v>0.28249999999999997</v>
      </c>
      <c r="DV85" s="339">
        <v>34.667999999999999</v>
      </c>
      <c r="DW85" s="339">
        <v>37.26</v>
      </c>
      <c r="DX85" s="339">
        <v>0.28249999999999997</v>
      </c>
      <c r="DY85" s="339">
        <v>34.667999999999999</v>
      </c>
      <c r="DZ85" s="339">
        <v>39.51</v>
      </c>
      <c r="EA85" s="339">
        <v>0.2717</v>
      </c>
      <c r="EB85" s="531">
        <v>34.667999999999999</v>
      </c>
      <c r="EC85" s="531">
        <v>39.229999999999997</v>
      </c>
      <c r="ED85" s="531">
        <v>0.2717</v>
      </c>
      <c r="EE85" s="339">
        <f>23.114*1.5</f>
        <v>34.670999999999999</v>
      </c>
      <c r="EF85" s="339">
        <f>57.71/1.5</f>
        <v>38.473333333333336</v>
      </c>
      <c r="EG85" s="339">
        <f>0.4076/1.5</f>
        <v>0.27173333333333333</v>
      </c>
      <c r="EH85" s="339">
        <f>23.114*1.5</f>
        <v>34.670999999999999</v>
      </c>
      <c r="EI85" s="339">
        <f>54.55/1.5</f>
        <v>36.366666666666667</v>
      </c>
      <c r="EJ85" s="510">
        <f>0.4076/1.5</f>
        <v>0.27173333333333333</v>
      </c>
      <c r="EK85" s="339">
        <f>23.114*1.5</f>
        <v>34.670999999999999</v>
      </c>
      <c r="EL85" s="339">
        <f>54.76/1.5</f>
        <v>36.506666666666668</v>
      </c>
      <c r="EM85" s="339">
        <f>0.3951/1.5</f>
        <v>0.26340000000000002</v>
      </c>
      <c r="EN85" s="340">
        <f>23.114*1.5</f>
        <v>34.670999999999999</v>
      </c>
      <c r="EO85" s="340">
        <f>55.44/1.5</f>
        <v>36.96</v>
      </c>
      <c r="EP85" s="340">
        <f>0.3951/1.5</f>
        <v>0.26340000000000002</v>
      </c>
      <c r="EQ85" s="339">
        <f>23.114*1.5</f>
        <v>34.670999999999999</v>
      </c>
      <c r="ER85" s="339">
        <f>50.95/1.5</f>
        <v>33.966666666666669</v>
      </c>
      <c r="ES85" s="339">
        <f>0.3951/1.5</f>
        <v>0.26340000000000002</v>
      </c>
      <c r="ET85" s="339">
        <f>23.114*1.5</f>
        <v>34.670999999999999</v>
      </c>
      <c r="EU85" s="339">
        <f>52.99/1.5</f>
        <v>35.326666666666668</v>
      </c>
      <c r="EV85" s="510">
        <f>0.3951/1.5</f>
        <v>0.26340000000000002</v>
      </c>
      <c r="EW85" s="339">
        <f>23.114*1.5</f>
        <v>34.670999999999999</v>
      </c>
      <c r="EX85" s="339">
        <f>47.3/1.5</f>
        <v>31.533333333333331</v>
      </c>
      <c r="EY85" s="339">
        <f>0.3826/1.5</f>
        <v>0.25506666666666666</v>
      </c>
      <c r="EZ85" s="340">
        <f>23.114*1.5</f>
        <v>34.670999999999999</v>
      </c>
      <c r="FA85" s="340">
        <f>44.37/1.5</f>
        <v>29.58</v>
      </c>
      <c r="FB85" s="340">
        <f>0.3826/1.5</f>
        <v>0.25506666666666666</v>
      </c>
      <c r="FC85" s="339">
        <f>23.114*1.5</f>
        <v>34.670999999999999</v>
      </c>
      <c r="FD85" s="339">
        <f>46.77/1.5</f>
        <v>31.180000000000003</v>
      </c>
      <c r="FE85" s="339">
        <f>0.3826/1.5</f>
        <v>0.25506666666666666</v>
      </c>
      <c r="FF85" s="339">
        <f>23.114*1.5</f>
        <v>34.670999999999999</v>
      </c>
      <c r="FG85" s="339">
        <f>40.67/1.5</f>
        <v>27.113333333333333</v>
      </c>
      <c r="FH85" s="511">
        <f>0.3826/1.5</f>
        <v>0.25506666666666666</v>
      </c>
      <c r="FI85" s="339">
        <f>23.114*1.5</f>
        <v>34.670999999999999</v>
      </c>
      <c r="FJ85" s="339">
        <f>40.5/1.5</f>
        <v>27</v>
      </c>
      <c r="FK85" s="339">
        <f>0.3751/1.5</f>
        <v>0.25006666666666666</v>
      </c>
      <c r="FL85" s="339">
        <f>23.114*1.5</f>
        <v>34.670999999999999</v>
      </c>
      <c r="FM85" s="339">
        <f>40.49/1.5</f>
        <v>26.993333333333336</v>
      </c>
      <c r="FN85" s="339">
        <f>0.3751/1.5</f>
        <v>0.25006666666666666</v>
      </c>
      <c r="FO85" s="339">
        <f>23.114*1.5</f>
        <v>34.670999999999999</v>
      </c>
      <c r="FP85" s="339">
        <f>42.76/1.5</f>
        <v>28.506666666666664</v>
      </c>
      <c r="FQ85" s="339">
        <f>0.3751/1.5</f>
        <v>0.25006666666666666</v>
      </c>
      <c r="FR85" s="339">
        <f>23.114*1.5</f>
        <v>34.670999999999999</v>
      </c>
      <c r="FS85" s="339">
        <f>39.59/1.5</f>
        <v>26.393333333333334</v>
      </c>
      <c r="FT85" s="339">
        <f>0.3751/1.5</f>
        <v>0.25006666666666666</v>
      </c>
      <c r="FU85" s="339">
        <f>23.114*1.5</f>
        <v>34.670999999999999</v>
      </c>
      <c r="FV85" s="339">
        <f>36.04/1.5</f>
        <v>24.026666666666667</v>
      </c>
      <c r="FW85" s="339">
        <f>0.3684/1.5</f>
        <v>0.24560000000000001</v>
      </c>
      <c r="FX85" s="339">
        <f>23.114*1.5</f>
        <v>34.670999999999999</v>
      </c>
      <c r="FY85" s="339">
        <f>35.36/1.5</f>
        <v>23.573333333333334</v>
      </c>
      <c r="FZ85" s="339">
        <f>0.3684/1.5</f>
        <v>0.24560000000000001</v>
      </c>
      <c r="GA85" s="339">
        <f>23.114*1.5</f>
        <v>34.670999999999999</v>
      </c>
      <c r="GB85" s="339">
        <f>35.74/1.5</f>
        <v>23.826666666666668</v>
      </c>
      <c r="GC85" s="339">
        <f>0.3684/1.5</f>
        <v>0.24560000000000001</v>
      </c>
      <c r="GD85" s="339">
        <f>23.095*1.5</f>
        <v>34.642499999999998</v>
      </c>
      <c r="GE85" s="339">
        <f>36.48/1.5</f>
        <v>24.319999999999997</v>
      </c>
      <c r="GF85" s="339">
        <f>0.3684/1.5</f>
        <v>0.24560000000000001</v>
      </c>
      <c r="GG85" s="339">
        <f>22.956*1.5</f>
        <v>34.433999999999997</v>
      </c>
      <c r="GH85" s="339">
        <f>33.55/1.5</f>
        <v>22.366666666666664</v>
      </c>
      <c r="GI85" s="339">
        <f>0.3617/1.5</f>
        <v>0.24113333333333334</v>
      </c>
      <c r="GJ85" s="339">
        <f>22.46*1.5</f>
        <v>33.69</v>
      </c>
      <c r="GK85" s="339">
        <f>31.37/1.5</f>
        <v>20.913333333333334</v>
      </c>
      <c r="GL85" s="339">
        <f>0.3617/1.5</f>
        <v>0.24113333333333334</v>
      </c>
      <c r="GM85" s="339">
        <f>22.23*1.5</f>
        <v>33.344999999999999</v>
      </c>
      <c r="GN85" s="339">
        <f>33/1.5</f>
        <v>22</v>
      </c>
      <c r="GO85" s="339">
        <f>0.3617/1.5</f>
        <v>0.24113333333333334</v>
      </c>
      <c r="GP85" s="339">
        <v>22.105</v>
      </c>
      <c r="GQ85" s="339">
        <v>35.549999999999997</v>
      </c>
      <c r="GR85" s="339">
        <v>0.36170000000000002</v>
      </c>
      <c r="GS85" s="339">
        <v>21.989000000000001</v>
      </c>
      <c r="GT85" s="339">
        <v>32.619999999999997</v>
      </c>
      <c r="GU85" s="339">
        <v>0.35499999999999998</v>
      </c>
      <c r="GV85" s="339">
        <v>21.52</v>
      </c>
      <c r="GW85" s="339">
        <v>34.06</v>
      </c>
      <c r="GX85" s="339">
        <v>0.35499999999999998</v>
      </c>
      <c r="GY85" s="339">
        <v>21.78</v>
      </c>
      <c r="GZ85" s="339">
        <v>35.47</v>
      </c>
      <c r="HA85" s="339">
        <v>0.35499999999999998</v>
      </c>
      <c r="HB85" s="339">
        <v>21.375</v>
      </c>
      <c r="HC85" s="339">
        <v>33.44</v>
      </c>
      <c r="HD85" s="339">
        <v>0.35499999999999998</v>
      </c>
      <c r="HE85" s="339">
        <v>21.026</v>
      </c>
      <c r="HF85" s="339">
        <v>32.67</v>
      </c>
      <c r="HG85" s="339">
        <v>0.3483</v>
      </c>
      <c r="HH85" s="339">
        <v>20.564</v>
      </c>
      <c r="HI85" s="505">
        <v>35.46</v>
      </c>
      <c r="HJ85" s="339">
        <v>0.3483</v>
      </c>
      <c r="HK85" s="532">
        <v>20.468</v>
      </c>
      <c r="HL85" s="339">
        <v>36.58</v>
      </c>
      <c r="HM85" s="339">
        <v>0.3483</v>
      </c>
      <c r="HN85" s="339">
        <v>20.468</v>
      </c>
      <c r="HO85" s="339">
        <v>32.380000000000003</v>
      </c>
      <c r="HP85" s="533">
        <v>0.3483</v>
      </c>
      <c r="HQ85" s="339">
        <v>20.454000000000001</v>
      </c>
      <c r="HR85" s="339">
        <v>31.15</v>
      </c>
      <c r="HS85" s="339">
        <v>0.34499999999999997</v>
      </c>
      <c r="HT85" s="339">
        <v>20.446000000000002</v>
      </c>
      <c r="HU85" s="339">
        <v>33.18</v>
      </c>
      <c r="HV85" s="339">
        <v>0.34499999999999997</v>
      </c>
      <c r="HW85" s="339">
        <v>20.437999999999999</v>
      </c>
      <c r="HX85" s="506">
        <v>33.909999999999997</v>
      </c>
      <c r="HY85" s="513">
        <f>1.38/4</f>
        <v>0.34499999999999997</v>
      </c>
      <c r="HZ85" s="339">
        <v>20.440999999999999</v>
      </c>
      <c r="IA85" s="339">
        <v>36.51</v>
      </c>
      <c r="IB85" s="339">
        <v>0.34499999999999997</v>
      </c>
      <c r="IC85" s="339">
        <v>20.420999999999999</v>
      </c>
      <c r="ID85" s="339">
        <v>36.380000000000003</v>
      </c>
      <c r="IE85" s="339">
        <v>0.34250000000000003</v>
      </c>
      <c r="IF85" s="339">
        <v>19.079999999999998</v>
      </c>
      <c r="IG85" s="339">
        <v>33.15</v>
      </c>
      <c r="IH85" s="339">
        <v>0.34250000000000003</v>
      </c>
      <c r="II85" s="339">
        <v>19.079999999999998</v>
      </c>
      <c r="IJ85" s="505">
        <v>36.03</v>
      </c>
      <c r="IK85" s="339">
        <v>0.34250000000000003</v>
      </c>
      <c r="IL85" s="339">
        <v>18.657</v>
      </c>
      <c r="IM85" s="339">
        <v>31.82</v>
      </c>
      <c r="IN85" s="339">
        <v>0.34250000000000003</v>
      </c>
      <c r="IO85" s="339">
        <v>18.425999999999998</v>
      </c>
      <c r="IP85" s="339">
        <v>32.630000000000003</v>
      </c>
      <c r="IQ85" s="339">
        <v>0.33750000000000002</v>
      </c>
      <c r="IR85" s="339">
        <v>18.193999999999999</v>
      </c>
      <c r="IS85" s="339">
        <v>30.85</v>
      </c>
      <c r="IT85" s="339">
        <v>0.33750000000000002</v>
      </c>
      <c r="IU85" s="339">
        <v>17.957000000000001</v>
      </c>
      <c r="IV85" s="339">
        <v>31.45</v>
      </c>
      <c r="IW85" s="339">
        <v>0.33750000000000002</v>
      </c>
      <c r="IX85" s="339">
        <v>17.786999999999999</v>
      </c>
      <c r="IY85" s="339">
        <v>30.25</v>
      </c>
      <c r="IZ85" s="339">
        <v>0.33750000000000002</v>
      </c>
      <c r="JA85" s="339">
        <v>17.632999999999999</v>
      </c>
      <c r="JB85" s="339">
        <v>31.37</v>
      </c>
      <c r="JC85" s="339">
        <v>0.33500000000000002</v>
      </c>
      <c r="JD85" s="339">
        <v>17.311</v>
      </c>
      <c r="JE85" s="339">
        <v>26.48</v>
      </c>
      <c r="JF85" s="339">
        <v>0.33500000000000002</v>
      </c>
      <c r="JG85" s="339">
        <v>17.373301999999999</v>
      </c>
      <c r="JH85" s="339">
        <v>26.77</v>
      </c>
      <c r="JI85" s="339">
        <v>0.33500000000000002</v>
      </c>
      <c r="JJ85" s="339">
        <v>17.244589000000001</v>
      </c>
      <c r="JK85" s="339">
        <v>25.66</v>
      </c>
      <c r="JL85" s="339">
        <v>0.33500000000000002</v>
      </c>
      <c r="JM85" s="339">
        <v>17.12</v>
      </c>
      <c r="JN85" s="339">
        <v>27.85</v>
      </c>
      <c r="JO85" s="339">
        <v>0.33300000000000002</v>
      </c>
      <c r="JP85" s="339">
        <v>16.818999999999999</v>
      </c>
      <c r="JQ85" s="339">
        <v>28.42</v>
      </c>
      <c r="JR85" s="339">
        <v>0.33250000000000002</v>
      </c>
      <c r="JS85" s="339">
        <v>16.863</v>
      </c>
      <c r="JT85" s="339">
        <v>26.45</v>
      </c>
      <c r="JU85" s="339">
        <v>0.33250000000000002</v>
      </c>
      <c r="JV85" s="339">
        <v>16.762</v>
      </c>
      <c r="JW85" s="339">
        <v>25.15</v>
      </c>
      <c r="JX85" s="339">
        <v>0.33250000000000002</v>
      </c>
      <c r="JY85" s="339">
        <v>16.655999999999999</v>
      </c>
      <c r="JZ85" s="339">
        <v>27.8</v>
      </c>
      <c r="KA85" s="339">
        <v>0.33</v>
      </c>
      <c r="KB85" s="339">
        <v>16.547999999999998</v>
      </c>
      <c r="KC85" s="339">
        <v>23.38</v>
      </c>
      <c r="KD85" s="339">
        <v>0.33</v>
      </c>
      <c r="KE85" s="339">
        <v>16.443999999999999</v>
      </c>
      <c r="KF85" s="339">
        <v>22.625</v>
      </c>
      <c r="KG85" s="339">
        <v>0.33</v>
      </c>
      <c r="KH85" s="339">
        <v>16.332000000000001</v>
      </c>
      <c r="KI85" s="339">
        <v>22.75</v>
      </c>
      <c r="KJ85" s="339">
        <v>0.33</v>
      </c>
      <c r="KK85" s="339">
        <v>16.2</v>
      </c>
      <c r="KL85" s="339">
        <v>19.75</v>
      </c>
      <c r="KM85" s="339">
        <v>0.32750000000000001</v>
      </c>
      <c r="KN85" s="339">
        <v>16.084</v>
      </c>
      <c r="KO85" s="339">
        <v>17.875</v>
      </c>
      <c r="KP85" s="339">
        <v>0.32750000000000001</v>
      </c>
      <c r="KQ85" s="339">
        <v>16.079999999999998</v>
      </c>
      <c r="KR85" s="339">
        <v>20.125</v>
      </c>
      <c r="KS85" s="339">
        <v>0.32750000000000001</v>
      </c>
      <c r="KT85" s="339">
        <v>16.079999999999998</v>
      </c>
      <c r="KU85" s="339">
        <v>19.875</v>
      </c>
      <c r="KV85" s="339">
        <v>0.32750000000000001</v>
      </c>
      <c r="KW85" s="334">
        <v>16.079999999999998</v>
      </c>
      <c r="KX85" s="334">
        <v>20.5</v>
      </c>
      <c r="KY85" s="334">
        <v>0.32500000000000001</v>
      </c>
      <c r="KZ85" s="334">
        <v>16.079999999999998</v>
      </c>
      <c r="LA85" s="334">
        <v>19.5</v>
      </c>
      <c r="LB85" s="334">
        <v>0.32500000000000001</v>
      </c>
      <c r="LC85" s="334">
        <v>16.079999999999998</v>
      </c>
      <c r="LD85" s="334">
        <v>22.75</v>
      </c>
      <c r="LE85" s="334">
        <v>0.32500000000000001</v>
      </c>
      <c r="LF85" s="334">
        <v>16.079999999999998</v>
      </c>
      <c r="LG85" s="334">
        <v>23</v>
      </c>
      <c r="LH85" s="334">
        <v>0.32500000000000001</v>
      </c>
      <c r="LI85" s="334">
        <v>16.079999999999998</v>
      </c>
      <c r="LJ85" s="334">
        <v>22.875</v>
      </c>
      <c r="LK85" s="334">
        <v>0.32300000000000001</v>
      </c>
      <c r="LL85" s="334">
        <v>16.079999999999998</v>
      </c>
      <c r="LM85" s="334">
        <v>21.75</v>
      </c>
      <c r="LN85" s="334">
        <v>0.32</v>
      </c>
      <c r="LO85" s="334">
        <v>16.079999999999998</v>
      </c>
      <c r="LP85" s="334">
        <v>23</v>
      </c>
      <c r="LQ85" s="334">
        <v>0.32</v>
      </c>
      <c r="LR85" s="334">
        <v>16.079999999999998</v>
      </c>
      <c r="LS85" s="334">
        <v>20.4375</v>
      </c>
      <c r="LT85" s="334">
        <v>0.32</v>
      </c>
      <c r="LU85" s="334">
        <v>16.079999999999998</v>
      </c>
      <c r="LV85" s="334">
        <v>20.5</v>
      </c>
      <c r="LW85" s="334">
        <v>0.32</v>
      </c>
      <c r="LX85" s="334">
        <v>16.079999999999998</v>
      </c>
      <c r="LY85" s="334">
        <v>20.25</v>
      </c>
      <c r="LZ85" s="334">
        <v>0.32</v>
      </c>
      <c r="MA85" s="334">
        <v>16.078499999999998</v>
      </c>
      <c r="MB85" s="334">
        <v>20.25</v>
      </c>
      <c r="MC85" s="334">
        <v>0.32</v>
      </c>
      <c r="MD85" s="334">
        <v>16.078499999999998</v>
      </c>
      <c r="ME85" s="334">
        <v>22.375</v>
      </c>
      <c r="MF85" s="334">
        <v>0.3175</v>
      </c>
      <c r="MG85" s="334">
        <v>16.078499999999998</v>
      </c>
      <c r="MH85" s="334">
        <v>21.5</v>
      </c>
      <c r="MI85" s="334">
        <v>0.3175</v>
      </c>
      <c r="MJ85" s="334">
        <v>16.078499999999998</v>
      </c>
      <c r="MK85" s="334">
        <v>25</v>
      </c>
      <c r="ML85" s="334">
        <v>0.3175</v>
      </c>
      <c r="MM85" s="334">
        <v>16.078499999999998</v>
      </c>
      <c r="MN85" s="334">
        <v>23.332999999999998</v>
      </c>
      <c r="MO85" s="334">
        <v>0.31666666666666599</v>
      </c>
      <c r="MP85" s="334">
        <v>16.078499999999998</v>
      </c>
      <c r="MQ85" s="334">
        <v>22.167000000000002</v>
      </c>
      <c r="MR85" s="334">
        <v>0.31333333333333302</v>
      </c>
      <c r="MS85" s="334">
        <v>16.078499999999998</v>
      </c>
      <c r="MT85" s="334">
        <v>20.167000000000002</v>
      </c>
      <c r="MU85" s="334">
        <v>0.31333333333333302</v>
      </c>
      <c r="MV85" s="334">
        <v>16.078499999999998</v>
      </c>
      <c r="MW85" s="334">
        <v>22</v>
      </c>
      <c r="MX85" s="334">
        <v>0.31333333333333302</v>
      </c>
      <c r="MY85" s="334">
        <v>16.078499999999998</v>
      </c>
      <c r="MZ85" s="334">
        <v>21.6666666666666</v>
      </c>
      <c r="NA85" s="334">
        <v>0.31333333333333302</v>
      </c>
      <c r="NB85" s="334">
        <v>16.078499999999998</v>
      </c>
      <c r="NC85" s="334">
        <v>22.1666666666666</v>
      </c>
      <c r="ND85" s="334">
        <v>0.31</v>
      </c>
      <c r="NE85" s="334">
        <v>16.078499999999998</v>
      </c>
      <c r="NF85" s="334">
        <v>22.3333333333333</v>
      </c>
      <c r="NG85" s="334">
        <v>0.31</v>
      </c>
      <c r="NH85" s="334">
        <v>16.054500000000001</v>
      </c>
      <c r="NI85" s="334">
        <v>21.6666666666666</v>
      </c>
      <c r="NJ85" s="334">
        <v>0.31</v>
      </c>
      <c r="NK85" s="334">
        <v>16.054500000000001</v>
      </c>
      <c r="NL85" s="334">
        <v>22.5</v>
      </c>
      <c r="NM85" s="334">
        <v>0.31</v>
      </c>
      <c r="NN85" s="334">
        <v>16.054500000000001</v>
      </c>
      <c r="NO85" s="334">
        <v>24</v>
      </c>
      <c r="NP85" s="334">
        <v>0.31</v>
      </c>
      <c r="NQ85" s="334">
        <v>16.045500000000001</v>
      </c>
      <c r="NR85" s="334">
        <v>22.3333333333333</v>
      </c>
      <c r="NS85" s="334">
        <v>0.30333333333333301</v>
      </c>
      <c r="NT85" s="334">
        <v>16.045500000000001</v>
      </c>
      <c r="NU85" s="334">
        <v>22.8333333333333</v>
      </c>
      <c r="NV85" s="334">
        <v>0.30333333333333301</v>
      </c>
      <c r="NW85" s="334">
        <v>16.045999999999999</v>
      </c>
      <c r="NX85" s="334">
        <v>21.67</v>
      </c>
      <c r="NY85" s="334">
        <v>0.3</v>
      </c>
      <c r="NZ85" s="334">
        <v>16.045999999999999</v>
      </c>
      <c r="OA85" s="334">
        <v>21.67</v>
      </c>
      <c r="OB85" s="334">
        <v>0.3</v>
      </c>
      <c r="OC85" s="334">
        <v>16.045999999999999</v>
      </c>
      <c r="OD85" s="334">
        <v>19.670000000000002</v>
      </c>
      <c r="OE85" s="334">
        <v>0.28999999999999998</v>
      </c>
      <c r="OF85" s="334">
        <v>16.045999999999999</v>
      </c>
      <c r="OG85" s="334">
        <v>20.170000000000002</v>
      </c>
      <c r="OH85" s="334">
        <v>0.28999999999999998</v>
      </c>
      <c r="OI85" s="334">
        <v>16.038</v>
      </c>
      <c r="OJ85" s="334">
        <v>20.440000000000001</v>
      </c>
      <c r="OK85" s="334">
        <v>0.28999999999999998</v>
      </c>
      <c r="OL85" s="334">
        <v>16.045000000000002</v>
      </c>
      <c r="OM85" s="334">
        <v>17.440000000000001</v>
      </c>
      <c r="ON85" s="334">
        <v>0.28999999999999998</v>
      </c>
      <c r="OO85" s="334">
        <v>16.042999999999999</v>
      </c>
      <c r="OP85" s="334">
        <v>16.670000000000002</v>
      </c>
      <c r="OQ85" s="334">
        <v>0.28999999999999998</v>
      </c>
      <c r="OR85" s="334">
        <v>16.038</v>
      </c>
      <c r="OS85" s="334">
        <v>16.11</v>
      </c>
      <c r="OT85" s="334">
        <v>0.28999999999999998</v>
      </c>
      <c r="OU85" s="334">
        <v>15.795</v>
      </c>
      <c r="OV85" s="334">
        <v>14.89</v>
      </c>
    </row>
    <row r="86" spans="1:412">
      <c r="B86" s="333" t="s">
        <v>263</v>
      </c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39"/>
      <c r="AF86" s="339"/>
      <c r="AG86" s="339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  <c r="AU86" s="339"/>
      <c r="AV86" s="339"/>
      <c r="AW86" s="339"/>
      <c r="AX86" s="339"/>
      <c r="AY86" s="504"/>
      <c r="AZ86" s="504"/>
      <c r="BA86" s="504"/>
      <c r="BB86" s="503"/>
      <c r="BC86" s="503"/>
      <c r="BD86" s="503"/>
      <c r="BE86" s="503"/>
      <c r="BF86" s="503"/>
      <c r="BG86" s="503"/>
      <c r="BH86" s="503"/>
      <c r="BI86" s="503"/>
      <c r="BJ86" s="503"/>
      <c r="BK86" s="503"/>
      <c r="BL86" s="503"/>
      <c r="BM86" s="503"/>
      <c r="BN86" s="503"/>
      <c r="BO86" s="503"/>
      <c r="BP86" s="503"/>
      <c r="BQ86" s="504"/>
      <c r="BR86" s="504"/>
      <c r="BS86" s="504"/>
      <c r="BT86" s="504"/>
      <c r="BU86" s="504"/>
      <c r="BV86" s="504"/>
      <c r="BW86" s="504"/>
      <c r="BX86" s="504"/>
      <c r="BY86" s="504"/>
      <c r="BZ86" s="503"/>
      <c r="CA86" s="503"/>
      <c r="CB86" s="503"/>
      <c r="CC86" s="503"/>
      <c r="CD86" s="503"/>
      <c r="CE86" s="503"/>
      <c r="CF86" s="503"/>
      <c r="CG86" s="503"/>
      <c r="CH86" s="503"/>
      <c r="CI86" s="503"/>
      <c r="CJ86" s="503"/>
      <c r="CK86" s="503"/>
      <c r="CL86" s="503"/>
      <c r="CM86" s="503"/>
      <c r="CN86" s="503"/>
      <c r="CO86" s="503"/>
      <c r="CP86" s="503"/>
      <c r="CQ86" s="503"/>
      <c r="CR86" s="504"/>
      <c r="CS86" s="504"/>
      <c r="CT86" s="504"/>
      <c r="CU86" s="503"/>
      <c r="CV86" s="503"/>
      <c r="CW86" s="503"/>
      <c r="CX86" s="339"/>
      <c r="CY86" s="339"/>
      <c r="CZ86" s="339"/>
      <c r="DA86" s="339"/>
      <c r="DB86" s="339"/>
      <c r="DC86" s="339"/>
      <c r="DD86" s="339"/>
      <c r="DE86" s="339"/>
      <c r="DF86" s="339"/>
      <c r="DG86" s="339"/>
      <c r="DH86" s="339"/>
      <c r="DI86" s="339"/>
      <c r="DJ86" s="339"/>
      <c r="DK86" s="339"/>
      <c r="DL86" s="339"/>
      <c r="DM86" s="339"/>
      <c r="DN86" s="339"/>
      <c r="DO86" s="339"/>
      <c r="DP86" s="339"/>
      <c r="DQ86" s="339"/>
      <c r="DR86" s="339"/>
      <c r="DS86" s="339"/>
      <c r="DT86" s="339"/>
      <c r="DU86" s="339"/>
      <c r="DV86" s="339"/>
      <c r="DW86" s="339"/>
      <c r="DX86" s="339"/>
      <c r="DY86" s="339"/>
      <c r="DZ86" s="339"/>
      <c r="EA86" s="339"/>
      <c r="EB86" s="340"/>
      <c r="EC86" s="340"/>
      <c r="ED86" s="340"/>
      <c r="EE86" s="339"/>
      <c r="EF86" s="339"/>
      <c r="EG86" s="339"/>
      <c r="EH86" s="339"/>
      <c r="EI86" s="339"/>
      <c r="EJ86" s="339"/>
      <c r="EK86" s="339"/>
      <c r="EL86" s="339"/>
      <c r="EM86" s="339"/>
      <c r="EN86" s="339"/>
      <c r="EO86" s="339"/>
      <c r="EP86" s="339"/>
      <c r="EQ86" s="339"/>
      <c r="ER86" s="339"/>
      <c r="ES86" s="339"/>
      <c r="ET86" s="339"/>
      <c r="EU86" s="339"/>
      <c r="EV86" s="339"/>
      <c r="EW86" s="339"/>
      <c r="EX86" s="339"/>
      <c r="EY86" s="339"/>
      <c r="EZ86" s="339"/>
      <c r="FA86" s="339"/>
      <c r="FB86" s="339"/>
      <c r="FC86" s="339"/>
      <c r="FD86" s="339"/>
      <c r="FE86" s="339"/>
      <c r="FF86" s="339"/>
      <c r="FG86" s="339"/>
      <c r="FH86" s="342"/>
      <c r="FI86" s="339"/>
      <c r="FJ86" s="339"/>
      <c r="FK86" s="339"/>
      <c r="FL86" s="339"/>
      <c r="FM86" s="339"/>
      <c r="FN86" s="339"/>
      <c r="FO86" s="339"/>
      <c r="FP86" s="339"/>
      <c r="FQ86" s="339"/>
      <c r="FR86" s="339"/>
      <c r="FS86" s="339"/>
      <c r="FT86" s="339"/>
      <c r="FU86" s="339"/>
      <c r="FV86" s="339"/>
      <c r="FW86" s="339"/>
      <c r="FX86" s="339"/>
      <c r="FY86" s="339"/>
      <c r="FZ86" s="339"/>
      <c r="GA86" s="339"/>
      <c r="GB86" s="339"/>
      <c r="GC86" s="339"/>
      <c r="GD86" s="339"/>
      <c r="GE86" s="339"/>
      <c r="GF86" s="339"/>
      <c r="GG86" s="339"/>
      <c r="GH86" s="339"/>
      <c r="GI86" s="339"/>
      <c r="GJ86" s="339"/>
      <c r="GK86" s="339"/>
      <c r="GL86" s="339"/>
      <c r="GM86" s="339"/>
      <c r="GN86" s="339"/>
      <c r="GO86" s="339"/>
      <c r="GP86" s="339"/>
      <c r="GQ86" s="339"/>
      <c r="GR86" s="339"/>
      <c r="GS86" s="339"/>
      <c r="GT86" s="339"/>
      <c r="GU86" s="339"/>
      <c r="GV86" s="339"/>
      <c r="GW86" s="339"/>
      <c r="GX86" s="339"/>
      <c r="GY86" s="339"/>
      <c r="GZ86" s="339"/>
      <c r="HA86" s="339"/>
      <c r="HB86" s="339"/>
      <c r="HC86" s="339"/>
      <c r="HD86" s="339"/>
      <c r="HE86" s="339"/>
      <c r="HF86" s="339"/>
      <c r="HG86" s="339"/>
      <c r="HH86" s="339"/>
      <c r="HI86" s="505"/>
      <c r="HJ86" s="339"/>
      <c r="HK86" s="339"/>
      <c r="HL86" s="339"/>
      <c r="HM86" s="339"/>
      <c r="HN86" s="339"/>
      <c r="HO86" s="339"/>
      <c r="HP86" s="339"/>
      <c r="HQ86" s="339"/>
      <c r="HR86" s="339"/>
      <c r="HS86" s="339"/>
      <c r="HT86" s="339"/>
      <c r="HU86" s="339"/>
      <c r="HV86" s="339"/>
      <c r="HW86" s="339"/>
      <c r="HX86" s="506"/>
      <c r="HY86" s="513"/>
      <c r="HZ86" s="339"/>
      <c r="IA86" s="339"/>
      <c r="IB86" s="339"/>
      <c r="IC86" s="339"/>
      <c r="ID86" s="339"/>
      <c r="IE86" s="339"/>
      <c r="IF86" s="339"/>
      <c r="IG86" s="339"/>
      <c r="IH86" s="339"/>
      <c r="II86" s="339"/>
      <c r="IJ86" s="505"/>
      <c r="IK86" s="339"/>
      <c r="IL86" s="339"/>
      <c r="IM86" s="339"/>
      <c r="IN86" s="339"/>
      <c r="IO86" s="339"/>
      <c r="IP86" s="339"/>
      <c r="IQ86" s="339"/>
      <c r="IR86" s="339"/>
      <c r="IS86" s="339"/>
      <c r="IT86" s="339"/>
      <c r="IU86" s="339"/>
      <c r="IV86" s="339"/>
      <c r="IW86" s="339"/>
      <c r="IX86" s="339"/>
      <c r="IY86" s="339"/>
      <c r="IZ86" s="342"/>
      <c r="JA86" s="339"/>
      <c r="JB86" s="339"/>
      <c r="JC86" s="339"/>
      <c r="JD86" s="339"/>
      <c r="JE86" s="339"/>
      <c r="JF86" s="339"/>
      <c r="JG86" s="339"/>
      <c r="JH86" s="339"/>
      <c r="JI86" s="339"/>
      <c r="JJ86" s="339"/>
      <c r="JK86" s="339"/>
      <c r="JL86" s="339"/>
      <c r="JM86" s="339"/>
      <c r="JN86" s="339"/>
      <c r="JO86" s="339"/>
      <c r="JP86" s="339"/>
      <c r="JQ86" s="339"/>
      <c r="JR86" s="339"/>
      <c r="JS86" s="339"/>
      <c r="JT86" s="342"/>
      <c r="JU86" s="342"/>
      <c r="JV86" s="339"/>
      <c r="JW86" s="339"/>
      <c r="JX86" s="339"/>
      <c r="JY86" s="339"/>
      <c r="JZ86" s="339"/>
      <c r="KA86" s="339"/>
      <c r="KB86" s="339"/>
      <c r="KC86" s="339"/>
      <c r="KD86" s="339"/>
      <c r="KE86" s="339"/>
      <c r="KF86" s="339"/>
      <c r="KG86" s="339"/>
      <c r="KH86" s="339"/>
      <c r="KI86" s="339"/>
      <c r="KJ86" s="339"/>
      <c r="KK86" s="339"/>
      <c r="KL86" s="339"/>
      <c r="KM86" s="339"/>
      <c r="KN86" s="339"/>
      <c r="KO86" s="339"/>
      <c r="KP86" s="339"/>
      <c r="KQ86" s="339"/>
      <c r="KR86" s="339"/>
      <c r="KS86" s="339"/>
      <c r="KT86" s="339"/>
      <c r="KU86" s="339" t="s">
        <v>96</v>
      </c>
      <c r="KV86" s="339"/>
      <c r="KW86" s="334"/>
      <c r="KX86" s="334"/>
      <c r="KY86" s="334"/>
      <c r="KZ86" s="334">
        <v>94.1</v>
      </c>
      <c r="LA86" s="334">
        <v>28</v>
      </c>
      <c r="LB86" s="334">
        <v>0.3</v>
      </c>
      <c r="LC86" s="334">
        <v>94.1</v>
      </c>
      <c r="LD86" s="334">
        <v>26.875</v>
      </c>
      <c r="LE86" s="334">
        <v>0.3</v>
      </c>
      <c r="LF86" s="334">
        <v>94.86</v>
      </c>
      <c r="LG86" s="334">
        <v>26.437999999999999</v>
      </c>
      <c r="LH86" s="334">
        <v>0.3</v>
      </c>
      <c r="LI86" s="334">
        <v>94.86</v>
      </c>
      <c r="LJ86" s="334">
        <v>21.625</v>
      </c>
      <c r="LK86" s="334">
        <v>0.3</v>
      </c>
      <c r="LL86" s="334">
        <v>97.1</v>
      </c>
      <c r="LM86" s="334">
        <v>22.6875</v>
      </c>
      <c r="LN86" s="334">
        <v>0.3</v>
      </c>
      <c r="LO86" s="334">
        <v>97.096999999999994</v>
      </c>
      <c r="LP86" s="334">
        <v>22</v>
      </c>
      <c r="LQ86" s="334">
        <v>0.3</v>
      </c>
      <c r="LR86" s="334">
        <v>100.458</v>
      </c>
      <c r="LS86" s="334">
        <v>17.25</v>
      </c>
      <c r="LT86" s="334">
        <v>0.3</v>
      </c>
      <c r="LU86" s="334">
        <v>100.458</v>
      </c>
      <c r="LV86" s="334">
        <v>17.312999999999999</v>
      </c>
      <c r="LW86" s="334">
        <v>0.3</v>
      </c>
      <c r="LX86" s="334">
        <v>100.752</v>
      </c>
      <c r="LY86" s="334">
        <v>17.125</v>
      </c>
      <c r="LZ86" s="334">
        <v>0.3</v>
      </c>
      <c r="MA86" s="334">
        <v>100.752</v>
      </c>
      <c r="MB86" s="334">
        <v>15.875</v>
      </c>
      <c r="MC86" s="334">
        <v>0.3</v>
      </c>
      <c r="MD86" s="334">
        <v>100.752</v>
      </c>
      <c r="ME86" s="334">
        <v>15.875</v>
      </c>
      <c r="MF86" s="334">
        <v>0.3</v>
      </c>
      <c r="MG86" s="334">
        <v>100.752</v>
      </c>
      <c r="MH86" s="334">
        <v>17.25</v>
      </c>
      <c r="MI86" s="334">
        <v>0.3</v>
      </c>
      <c r="MJ86" s="334">
        <v>100.752</v>
      </c>
      <c r="MK86" s="334">
        <v>17.875</v>
      </c>
      <c r="ML86" s="334">
        <v>0.3</v>
      </c>
      <c r="MM86" s="334">
        <v>100.752</v>
      </c>
      <c r="MN86" s="334">
        <v>16.75</v>
      </c>
      <c r="MO86" s="334">
        <v>0.3</v>
      </c>
      <c r="MP86" s="334">
        <v>56.021999999999998</v>
      </c>
      <c r="MQ86" s="334">
        <v>15.375</v>
      </c>
      <c r="MR86" s="334">
        <v>0.3</v>
      </c>
      <c r="MS86" s="334">
        <v>56.021999999999998</v>
      </c>
      <c r="MT86" s="334">
        <v>14.875</v>
      </c>
      <c r="MU86" s="334">
        <v>0.28999999999999998</v>
      </c>
      <c r="MV86" s="334">
        <v>56.021999999999998</v>
      </c>
      <c r="MW86" s="334">
        <v>14.125</v>
      </c>
      <c r="MX86" s="334">
        <v>0.28999999999999998</v>
      </c>
      <c r="MY86" s="334">
        <v>54.634999999999998</v>
      </c>
      <c r="MZ86" s="334">
        <v>13.75</v>
      </c>
      <c r="NA86" s="334">
        <v>0.28999999999999998</v>
      </c>
      <c r="NB86" s="334">
        <v>54.634999999999998</v>
      </c>
      <c r="NC86" s="334">
        <v>14.125</v>
      </c>
      <c r="ND86" s="334">
        <v>0.28999999999999998</v>
      </c>
      <c r="NE86" s="334">
        <v>54.634999999999998</v>
      </c>
      <c r="NF86" s="334">
        <v>14.5</v>
      </c>
      <c r="NG86" s="334">
        <v>0.28999999999999998</v>
      </c>
      <c r="NH86" s="334">
        <v>54.634999999999998</v>
      </c>
      <c r="NI86" s="334">
        <v>16</v>
      </c>
      <c r="NJ86" s="334">
        <v>0.28999999999999998</v>
      </c>
      <c r="NK86" s="334">
        <v>54.634999999999998</v>
      </c>
      <c r="NL86" s="334">
        <v>18</v>
      </c>
      <c r="NM86" s="334">
        <v>0.28999999999999998</v>
      </c>
      <c r="NN86" s="334">
        <v>54.634999999999998</v>
      </c>
      <c r="NO86" s="334">
        <v>19.5</v>
      </c>
      <c r="NP86" s="334">
        <v>0.28999999999999998</v>
      </c>
      <c r="NQ86" s="334">
        <v>54.634999999999998</v>
      </c>
      <c r="NR86" s="334">
        <v>18.5</v>
      </c>
      <c r="NS86" s="334">
        <v>0.28999999999999998</v>
      </c>
      <c r="NT86" s="334">
        <v>54.634999999999998</v>
      </c>
      <c r="NU86" s="334">
        <v>17.625</v>
      </c>
      <c r="NV86" s="334">
        <v>0.28999999999999998</v>
      </c>
      <c r="NW86" s="334">
        <v>54.267000000000003</v>
      </c>
      <c r="NX86" s="334">
        <v>16</v>
      </c>
      <c r="NY86" s="334">
        <v>0.28999999999999998</v>
      </c>
      <c r="NZ86" s="334">
        <v>54.267000000000003</v>
      </c>
      <c r="OA86" s="334">
        <v>17.25</v>
      </c>
      <c r="OB86" s="334">
        <v>0.28999999999999998</v>
      </c>
      <c r="OC86" s="334">
        <v>54.109000000000002</v>
      </c>
      <c r="OD86" s="334">
        <v>20.25</v>
      </c>
      <c r="OE86" s="334">
        <v>0.39</v>
      </c>
      <c r="OF86" s="334">
        <v>53.88</v>
      </c>
      <c r="OG86" s="334">
        <v>19.75</v>
      </c>
      <c r="OH86" s="334">
        <v>0.39</v>
      </c>
      <c r="OI86" s="334">
        <v>50.393000000000001</v>
      </c>
      <c r="OJ86" s="334">
        <v>20</v>
      </c>
      <c r="OK86" s="334">
        <v>0.39</v>
      </c>
      <c r="OL86" s="334">
        <v>50.057000000000002</v>
      </c>
      <c r="OM86" s="334">
        <v>20.5</v>
      </c>
      <c r="ON86" s="334">
        <v>0.39</v>
      </c>
      <c r="OO86" s="334">
        <v>50.012</v>
      </c>
      <c r="OP86" s="334">
        <v>19.63</v>
      </c>
      <c r="OQ86" s="334">
        <v>0.39</v>
      </c>
      <c r="OR86" s="334">
        <v>50.011000000000003</v>
      </c>
      <c r="OS86" s="334">
        <v>19.5</v>
      </c>
      <c r="OT86" s="334">
        <v>0.39</v>
      </c>
      <c r="OU86" s="334">
        <v>50.018999999999998</v>
      </c>
      <c r="OV86" s="334">
        <v>18.38</v>
      </c>
    </row>
    <row r="87" spans="1:412">
      <c r="A87" s="294" t="s">
        <v>40</v>
      </c>
      <c r="B87" s="335" t="s">
        <v>146</v>
      </c>
      <c r="C87" s="335">
        <v>57.8</v>
      </c>
      <c r="D87" s="335">
        <v>64.8</v>
      </c>
      <c r="E87" s="335">
        <v>0.70499999999999996</v>
      </c>
      <c r="F87" s="335">
        <v>57.7</v>
      </c>
      <c r="G87" s="335">
        <v>64.19</v>
      </c>
      <c r="H87" s="335">
        <v>0.70499999999999996</v>
      </c>
      <c r="I87" s="335">
        <v>57.6</v>
      </c>
      <c r="J87" s="335">
        <v>62.35</v>
      </c>
      <c r="K87" s="335">
        <v>0.70499999999999996</v>
      </c>
      <c r="L87" s="335">
        <v>57.5</v>
      </c>
      <c r="M87" s="335">
        <v>59.64</v>
      </c>
      <c r="N87" s="335">
        <v>0.70499999999999996</v>
      </c>
      <c r="O87" s="335">
        <v>57.4</v>
      </c>
      <c r="P87" s="335">
        <v>61.16</v>
      </c>
      <c r="Q87" s="335">
        <v>0.67749999999999999</v>
      </c>
      <c r="R87" s="340">
        <v>57.3</v>
      </c>
      <c r="S87" s="340">
        <v>52.8</v>
      </c>
      <c r="T87" s="340">
        <v>0.67749999999999999</v>
      </c>
      <c r="U87" s="340">
        <v>57.3</v>
      </c>
      <c r="V87" s="340">
        <v>57.97</v>
      </c>
      <c r="W87" s="340">
        <v>0.67749999999999999</v>
      </c>
      <c r="X87" s="340">
        <v>55.9</v>
      </c>
      <c r="Y87" s="340">
        <v>64.37</v>
      </c>
      <c r="Z87" s="340">
        <v>0.67749999999999999</v>
      </c>
      <c r="AA87" s="340">
        <v>57.1</v>
      </c>
      <c r="AB87" s="340">
        <v>64.510000000000005</v>
      </c>
      <c r="AC87" s="340">
        <v>0.65</v>
      </c>
      <c r="AD87" s="340">
        <v>56.1</v>
      </c>
      <c r="AE87" s="340">
        <v>50.05</v>
      </c>
      <c r="AF87" s="340">
        <v>0.65</v>
      </c>
      <c r="AG87" s="340">
        <v>53.3</v>
      </c>
      <c r="AH87" s="340">
        <v>58.78</v>
      </c>
      <c r="AI87" s="340">
        <v>0.65</v>
      </c>
      <c r="AJ87" s="340">
        <v>52.4</v>
      </c>
      <c r="AK87" s="340">
        <v>66.98</v>
      </c>
      <c r="AL87" s="340">
        <v>0.65</v>
      </c>
      <c r="AM87" s="340">
        <v>52.4</v>
      </c>
      <c r="AN87" s="340">
        <v>66.349999999999994</v>
      </c>
      <c r="AO87" s="340">
        <v>0.63</v>
      </c>
      <c r="AP87" s="340">
        <v>52.2</v>
      </c>
      <c r="AQ87" s="340">
        <v>59.52</v>
      </c>
      <c r="AR87" s="340">
        <v>0.63</v>
      </c>
      <c r="AS87" s="340">
        <v>52.1</v>
      </c>
      <c r="AT87" s="340">
        <v>69.98</v>
      </c>
      <c r="AU87" s="340">
        <v>0.63</v>
      </c>
      <c r="AV87" s="340">
        <v>51.9</v>
      </c>
      <c r="AW87" s="340">
        <v>67.19</v>
      </c>
      <c r="AX87" s="340">
        <v>0.63</v>
      </c>
      <c r="AY87" s="503">
        <v>51.9</v>
      </c>
      <c r="AZ87" s="503">
        <v>61.94</v>
      </c>
      <c r="BA87" s="503">
        <v>0.61750000000000005</v>
      </c>
      <c r="BB87" s="504">
        <v>51.8</v>
      </c>
      <c r="BC87" s="504">
        <v>51.74</v>
      </c>
      <c r="BD87" s="504">
        <v>0.61750000000000005</v>
      </c>
      <c r="BE87" s="504">
        <v>51.7</v>
      </c>
      <c r="BF87" s="504">
        <v>54.61</v>
      </c>
      <c r="BG87" s="504">
        <v>0.61750000000000005</v>
      </c>
      <c r="BH87" s="504">
        <v>51.6</v>
      </c>
      <c r="BI87" s="504">
        <v>60.68</v>
      </c>
      <c r="BJ87" s="518">
        <v>0.61750000000000005</v>
      </c>
      <c r="BK87" s="504">
        <v>51.7</v>
      </c>
      <c r="BL87" s="504">
        <v>81.17</v>
      </c>
      <c r="BM87" s="504">
        <v>0.58750000000000002</v>
      </c>
      <c r="BN87" s="504">
        <v>51.6</v>
      </c>
      <c r="BO87" s="504">
        <v>87.41</v>
      </c>
      <c r="BP87" s="504">
        <v>0.58750000000000002</v>
      </c>
      <c r="BQ87" s="504">
        <v>51.6</v>
      </c>
      <c r="BR87" s="504">
        <v>83.21</v>
      </c>
      <c r="BS87" s="504">
        <v>0.58750000000000002</v>
      </c>
      <c r="BT87" s="504">
        <v>51.3</v>
      </c>
      <c r="BU87" s="504">
        <v>82.23</v>
      </c>
      <c r="BV87" s="507">
        <v>0.58750000000000002</v>
      </c>
      <c r="BW87" s="504">
        <v>51.4</v>
      </c>
      <c r="BX87" s="504">
        <v>76.22</v>
      </c>
      <c r="BY87" s="504">
        <v>0.56000000000000005</v>
      </c>
      <c r="BZ87" s="504">
        <v>51.3</v>
      </c>
      <c r="CA87" s="504">
        <v>75.010000000000005</v>
      </c>
      <c r="CB87" s="504">
        <v>0.56000000000000005</v>
      </c>
      <c r="CC87" s="503">
        <v>51.2</v>
      </c>
      <c r="CD87" s="503">
        <v>77.41</v>
      </c>
      <c r="CE87" s="503">
        <v>0.56000000000000005</v>
      </c>
      <c r="CF87" s="503">
        <v>51.1</v>
      </c>
      <c r="CG87" s="503">
        <v>72.25</v>
      </c>
      <c r="CH87" s="508">
        <v>0.56000000000000005</v>
      </c>
      <c r="CI87" s="503">
        <v>51</v>
      </c>
      <c r="CJ87" s="503">
        <v>74.36</v>
      </c>
      <c r="CK87" s="503">
        <v>0.53500000000000003</v>
      </c>
      <c r="CL87" s="503">
        <v>50.9</v>
      </c>
      <c r="CM87" s="503">
        <v>77.290000000000006</v>
      </c>
      <c r="CN87" s="503">
        <v>0.53500000000000003</v>
      </c>
      <c r="CO87" s="503">
        <v>50.2</v>
      </c>
      <c r="CP87" s="503">
        <v>71.680000000000007</v>
      </c>
      <c r="CQ87" s="503">
        <v>0.53500000000000003</v>
      </c>
      <c r="CR87" s="504">
        <v>49.3</v>
      </c>
      <c r="CS87" s="504">
        <v>67.709999999999994</v>
      </c>
      <c r="CT87" s="514">
        <v>0.53500000000000003</v>
      </c>
      <c r="CU87" s="503">
        <v>49.4</v>
      </c>
      <c r="CV87" s="503">
        <v>64.19</v>
      </c>
      <c r="CW87" s="503">
        <v>0.52</v>
      </c>
      <c r="CX87" s="339">
        <v>49.3</v>
      </c>
      <c r="CY87" s="339">
        <v>59.62</v>
      </c>
      <c r="CZ87" s="339">
        <v>0.52</v>
      </c>
      <c r="DA87" s="339">
        <v>49.2</v>
      </c>
      <c r="DB87" s="339">
        <v>64.63</v>
      </c>
      <c r="DC87" s="339">
        <v>0.52</v>
      </c>
      <c r="DD87" s="339">
        <v>48.3</v>
      </c>
      <c r="DE87" s="339">
        <v>56.07</v>
      </c>
      <c r="DF87" s="511">
        <v>0.52</v>
      </c>
      <c r="DG87" s="339">
        <v>48.8</v>
      </c>
      <c r="DH87" s="339">
        <v>50.83</v>
      </c>
      <c r="DI87" s="339">
        <v>0.505</v>
      </c>
      <c r="DJ87" s="339">
        <v>48.6</v>
      </c>
      <c r="DK87" s="339">
        <v>50.49</v>
      </c>
      <c r="DL87" s="339">
        <v>0.505</v>
      </c>
      <c r="DM87" s="339">
        <v>46.9</v>
      </c>
      <c r="DN87" s="339">
        <v>46.39</v>
      </c>
      <c r="DO87" s="339">
        <v>0.505</v>
      </c>
      <c r="DP87" s="340">
        <v>45.2</v>
      </c>
      <c r="DQ87" s="340">
        <v>52.76</v>
      </c>
      <c r="DR87" s="515">
        <v>0.505</v>
      </c>
      <c r="DS87" s="339">
        <v>42.9</v>
      </c>
      <c r="DT87" s="339">
        <v>55.14</v>
      </c>
      <c r="DU87" s="339">
        <v>0.49</v>
      </c>
      <c r="DV87" s="339">
        <v>42.1</v>
      </c>
      <c r="DW87" s="339">
        <v>44.39</v>
      </c>
      <c r="DX87" s="339">
        <v>0.49</v>
      </c>
      <c r="DY87" s="339">
        <v>41.4</v>
      </c>
      <c r="DZ87" s="339">
        <v>51.35</v>
      </c>
      <c r="EA87" s="339">
        <v>0.49</v>
      </c>
      <c r="EB87" s="340">
        <v>39.700000000000003</v>
      </c>
      <c r="EC87" s="340">
        <v>52.42</v>
      </c>
      <c r="ED87" s="515">
        <v>0.49</v>
      </c>
      <c r="EE87" s="339">
        <v>39.799999999999997</v>
      </c>
      <c r="EF87" s="339">
        <v>49.88</v>
      </c>
      <c r="EG87" s="339">
        <v>0.47499999999999998</v>
      </c>
      <c r="EH87" s="339">
        <v>39.4</v>
      </c>
      <c r="EI87" s="339">
        <v>48.3</v>
      </c>
      <c r="EJ87" s="339">
        <v>0.47499999999999998</v>
      </c>
      <c r="EK87" s="339">
        <v>38.9</v>
      </c>
      <c r="EL87" s="339">
        <v>49.85</v>
      </c>
      <c r="EM87" s="339">
        <v>0.47499999999999998</v>
      </c>
      <c r="EN87" s="340">
        <v>37.6</v>
      </c>
      <c r="EO87" s="340">
        <v>49.02</v>
      </c>
      <c r="EP87" s="515">
        <v>0.47499999999999998</v>
      </c>
      <c r="EQ87" s="339">
        <v>37.700000000000003</v>
      </c>
      <c r="ER87" s="339">
        <v>40.98</v>
      </c>
      <c r="ES87" s="339">
        <v>0.46</v>
      </c>
      <c r="ET87" s="339">
        <v>37.299999999999997</v>
      </c>
      <c r="EU87" s="339">
        <v>41.74</v>
      </c>
      <c r="EV87" s="339">
        <v>0.46</v>
      </c>
      <c r="EW87" s="339">
        <v>36.799999999999997</v>
      </c>
      <c r="EX87" s="339">
        <v>41.79</v>
      </c>
      <c r="EY87" s="339">
        <v>0.46</v>
      </c>
      <c r="EZ87" s="340">
        <v>35.299999999999997</v>
      </c>
      <c r="FA87" s="340">
        <v>41.49</v>
      </c>
      <c r="FB87" s="515">
        <v>0.46</v>
      </c>
      <c r="FC87" s="339">
        <v>35.6</v>
      </c>
      <c r="FD87" s="339">
        <v>41.98</v>
      </c>
      <c r="FE87" s="339">
        <v>0.44500000000000001</v>
      </c>
      <c r="FF87" s="339">
        <v>35</v>
      </c>
      <c r="FG87" s="339">
        <v>36.6</v>
      </c>
      <c r="FH87" s="339">
        <v>0.44500000000000001</v>
      </c>
      <c r="FI87" s="339">
        <v>34.6</v>
      </c>
      <c r="FJ87" s="339">
        <v>41.04</v>
      </c>
      <c r="FK87" s="339">
        <v>0.44500000000000001</v>
      </c>
      <c r="FL87" s="339">
        <v>34.5</v>
      </c>
      <c r="FM87" s="339">
        <v>38.97</v>
      </c>
      <c r="FN87" s="511">
        <v>0.44500000000000001</v>
      </c>
      <c r="FO87" s="339">
        <v>34.4</v>
      </c>
      <c r="FP87" s="339">
        <v>37.26</v>
      </c>
      <c r="FQ87" s="339">
        <v>0.44</v>
      </c>
      <c r="FR87" s="339">
        <v>34.1</v>
      </c>
      <c r="FS87" s="339">
        <v>36.43</v>
      </c>
      <c r="FT87" s="339">
        <v>0.44</v>
      </c>
      <c r="FU87" s="339">
        <v>33.799999999999997</v>
      </c>
      <c r="FV87" s="339">
        <v>34.24</v>
      </c>
      <c r="FW87" s="339">
        <v>0.44</v>
      </c>
      <c r="FX87" s="339">
        <v>33.4</v>
      </c>
      <c r="FY87" s="339">
        <v>33.479999999999997</v>
      </c>
      <c r="FZ87" s="339">
        <v>0.44</v>
      </c>
      <c r="GA87" s="339">
        <v>32.799999999999997</v>
      </c>
      <c r="GB87" s="339">
        <v>32.68</v>
      </c>
      <c r="GC87" s="339">
        <v>0.44</v>
      </c>
      <c r="GD87" s="339">
        <v>31.8</v>
      </c>
      <c r="GE87" s="339">
        <v>33.57</v>
      </c>
      <c r="GF87" s="339">
        <v>0.44</v>
      </c>
      <c r="GG87" s="339">
        <v>30.9</v>
      </c>
      <c r="GH87" s="339">
        <v>28.75</v>
      </c>
      <c r="GI87" s="339">
        <v>0.44</v>
      </c>
      <c r="GJ87" s="339">
        <v>30.1</v>
      </c>
      <c r="GK87" s="339">
        <v>26.69</v>
      </c>
      <c r="GL87" s="339">
        <v>0.44</v>
      </c>
      <c r="GM87" s="339">
        <v>29.1</v>
      </c>
      <c r="GN87" s="339">
        <v>32.270000000000003</v>
      </c>
      <c r="GO87" s="339">
        <v>0.43</v>
      </c>
      <c r="GP87" s="339">
        <v>28.8</v>
      </c>
      <c r="GQ87" s="339">
        <v>44.5</v>
      </c>
      <c r="GR87" s="339">
        <v>0.43</v>
      </c>
      <c r="GS87" s="339">
        <v>28.7</v>
      </c>
      <c r="GT87" s="339">
        <v>42</v>
      </c>
      <c r="GU87" s="339">
        <v>0.43</v>
      </c>
      <c r="GV87" s="339">
        <v>28.3</v>
      </c>
      <c r="GW87" s="339">
        <v>38.619999999999997</v>
      </c>
      <c r="GX87" s="339">
        <v>0.43</v>
      </c>
      <c r="GY87" s="339">
        <v>28.5</v>
      </c>
      <c r="GZ87" s="339">
        <v>39.58</v>
      </c>
      <c r="HA87" s="339">
        <v>0.41</v>
      </c>
      <c r="HB87" s="339">
        <v>28.2</v>
      </c>
      <c r="HC87" s="339">
        <v>44.76</v>
      </c>
      <c r="HD87" s="339">
        <v>0.41</v>
      </c>
      <c r="HE87" s="339">
        <v>28.1</v>
      </c>
      <c r="HF87" s="339">
        <v>47.05</v>
      </c>
      <c r="HG87" s="339">
        <v>0.41</v>
      </c>
      <c r="HH87" s="339">
        <v>27.8</v>
      </c>
      <c r="HI87" s="505">
        <v>46.62</v>
      </c>
      <c r="HJ87" s="339">
        <v>0.41</v>
      </c>
      <c r="HK87" s="339">
        <v>27.8</v>
      </c>
      <c r="HL87" s="339">
        <v>46.54</v>
      </c>
      <c r="HM87" s="339">
        <v>0.36249999999999999</v>
      </c>
      <c r="HN87" s="339">
        <v>27.7</v>
      </c>
      <c r="HO87" s="339">
        <v>43.45</v>
      </c>
      <c r="HP87" s="339">
        <v>0.36249999999999999</v>
      </c>
      <c r="HQ87" s="339">
        <v>27.6</v>
      </c>
      <c r="HR87" s="339">
        <v>47.35</v>
      </c>
      <c r="HS87" s="339">
        <v>0.36249999999999999</v>
      </c>
      <c r="HT87" s="339">
        <v>27.5</v>
      </c>
      <c r="HU87" s="339">
        <v>46.6</v>
      </c>
      <c r="HV87" s="339">
        <v>0.36249999999999999</v>
      </c>
      <c r="HW87" s="339">
        <v>27.4</v>
      </c>
      <c r="HX87" s="506">
        <v>44</v>
      </c>
      <c r="HY87" s="513">
        <f>1.26/4</f>
        <v>0.315</v>
      </c>
      <c r="HZ87" s="339">
        <v>27.2</v>
      </c>
      <c r="IA87" s="339">
        <v>45.81</v>
      </c>
      <c r="IB87" s="339">
        <v>0.315</v>
      </c>
      <c r="IC87" s="339">
        <v>27.2</v>
      </c>
      <c r="ID87" s="339">
        <v>49.9</v>
      </c>
      <c r="IE87" s="339">
        <v>0.315</v>
      </c>
      <c r="IF87" s="339">
        <v>28.5</v>
      </c>
      <c r="IG87" s="339">
        <v>41.85</v>
      </c>
      <c r="IH87" s="339">
        <v>0.3</v>
      </c>
      <c r="II87" s="339">
        <v>28.5</v>
      </c>
      <c r="IJ87" s="505">
        <v>36.75</v>
      </c>
      <c r="IK87" s="339">
        <v>0.3</v>
      </c>
      <c r="IL87" s="339">
        <v>28.3383</v>
      </c>
      <c r="IM87" s="339">
        <v>32.5</v>
      </c>
      <c r="IN87" s="339">
        <v>0.3362</v>
      </c>
      <c r="IO87" s="339">
        <v>28.1</v>
      </c>
      <c r="IP87" s="339">
        <v>39.627000000000002</v>
      </c>
      <c r="IQ87" s="339">
        <v>0.3362</v>
      </c>
      <c r="IR87" s="339">
        <v>27.87</v>
      </c>
      <c r="IS87" s="339">
        <v>41.76</v>
      </c>
      <c r="IT87" s="339">
        <v>0.3362</v>
      </c>
      <c r="IU87" s="339">
        <v>27.67</v>
      </c>
      <c r="IV87" s="339">
        <v>36.414000000000001</v>
      </c>
      <c r="IW87" s="339">
        <v>0.3362</v>
      </c>
      <c r="IX87" s="339">
        <v>27.53</v>
      </c>
      <c r="IY87" s="339">
        <v>32.58</v>
      </c>
      <c r="IZ87" s="339">
        <v>0.3362</v>
      </c>
      <c r="JA87" s="339">
        <v>27.4</v>
      </c>
      <c r="JB87" s="339">
        <v>31.59</v>
      </c>
      <c r="JC87" s="339">
        <v>0.3362</v>
      </c>
      <c r="JD87" s="339">
        <v>27.27</v>
      </c>
      <c r="JE87" s="339">
        <v>24.704000000000001</v>
      </c>
      <c r="JF87" s="339">
        <v>0.3362</v>
      </c>
      <c r="JG87" s="339">
        <v>27.17</v>
      </c>
      <c r="JH87" s="339">
        <v>26.99</v>
      </c>
      <c r="JI87" s="339">
        <v>0.32729999999999998</v>
      </c>
      <c r="JJ87" s="339">
        <v>27</v>
      </c>
      <c r="JK87" s="339">
        <v>25.704000000000001</v>
      </c>
      <c r="JL87" s="339">
        <v>0.32729999999999998</v>
      </c>
      <c r="JM87" s="339">
        <v>26.8</v>
      </c>
      <c r="JN87" s="339">
        <v>32.25</v>
      </c>
      <c r="JO87" s="339">
        <v>0.32729999999999998</v>
      </c>
      <c r="JP87" s="339">
        <v>26.53</v>
      </c>
      <c r="JQ87" s="339">
        <v>34.619999999999997</v>
      </c>
      <c r="JR87" s="339">
        <v>0.32729999999999998</v>
      </c>
      <c r="JS87" s="339">
        <v>26.33</v>
      </c>
      <c r="JT87" s="339">
        <v>29.99</v>
      </c>
      <c r="JU87" s="339">
        <v>0.31830000000000003</v>
      </c>
      <c r="JV87" s="339">
        <v>24.47</v>
      </c>
      <c r="JW87" s="339">
        <v>30.51</v>
      </c>
      <c r="JX87" s="339">
        <v>0.31830000000000003</v>
      </c>
      <c r="JY87" s="339">
        <v>25.2</v>
      </c>
      <c r="JZ87" s="339">
        <v>26.78</v>
      </c>
      <c r="KA87" s="339">
        <v>0.31830000000000003</v>
      </c>
      <c r="KB87" s="339">
        <v>24.9</v>
      </c>
      <c r="KC87" s="339">
        <v>30.73</v>
      </c>
      <c r="KD87" s="339">
        <v>0.31830000000000003</v>
      </c>
      <c r="KE87" s="339">
        <v>23.33</v>
      </c>
      <c r="KF87" s="339">
        <v>29.53</v>
      </c>
      <c r="KG87" s="339">
        <v>0.31830000000000003</v>
      </c>
      <c r="KH87" s="339">
        <v>24.486999999999998</v>
      </c>
      <c r="KI87" s="339">
        <v>26.33</v>
      </c>
      <c r="KJ87" s="339">
        <v>0.31830000000000003</v>
      </c>
      <c r="KK87" s="339">
        <v>23.03</v>
      </c>
      <c r="KL87" s="339">
        <v>20.6</v>
      </c>
      <c r="KM87" s="339">
        <v>0.31830000000000003</v>
      </c>
      <c r="KN87" s="339">
        <v>24.5</v>
      </c>
      <c r="KO87" s="339">
        <v>19.78</v>
      </c>
      <c r="KP87" s="339">
        <v>0.31830000000000003</v>
      </c>
      <c r="KQ87" s="339">
        <v>22.87</v>
      </c>
      <c r="KR87" s="339">
        <v>20.16</v>
      </c>
      <c r="KS87" s="339">
        <v>0.31830000000000003</v>
      </c>
      <c r="KT87" s="339">
        <v>22.73</v>
      </c>
      <c r="KU87" s="339">
        <v>20.9</v>
      </c>
      <c r="KV87" s="339">
        <v>0.31830000000000003</v>
      </c>
      <c r="KW87" s="334">
        <v>22.6</v>
      </c>
      <c r="KX87" s="334">
        <v>23.65</v>
      </c>
      <c r="KY87" s="334">
        <v>0.31830000000000003</v>
      </c>
      <c r="KZ87" s="334">
        <v>21.33</v>
      </c>
      <c r="LA87" s="334">
        <v>23.5</v>
      </c>
      <c r="LB87" s="334">
        <v>0.31830000000000003</v>
      </c>
      <c r="LC87" s="334">
        <v>21.33</v>
      </c>
      <c r="LD87" s="334">
        <v>26.18</v>
      </c>
      <c r="LE87" s="334">
        <v>0.30349999999999999</v>
      </c>
      <c r="LF87" s="334">
        <v>62.2</v>
      </c>
      <c r="LG87" s="334">
        <f>44.063/2</f>
        <v>22.031500000000001</v>
      </c>
      <c r="LH87" s="334">
        <v>0.30349999999999999</v>
      </c>
      <c r="LI87" s="334">
        <v>62.2</v>
      </c>
      <c r="LJ87" s="334">
        <f>39.75/2</f>
        <v>19.875</v>
      </c>
      <c r="LK87" s="334">
        <v>0.30349999999999999</v>
      </c>
      <c r="LL87" s="334">
        <f>30.73*2</f>
        <v>61.46</v>
      </c>
      <c r="LM87" s="334">
        <f>42.5/2</f>
        <v>21.25</v>
      </c>
      <c r="LN87" s="334">
        <v>0.30349999999999999</v>
      </c>
      <c r="LO87" s="334">
        <f>30.725*2</f>
        <v>61.45</v>
      </c>
      <c r="LP87" s="334">
        <f>43.5625/2</f>
        <v>21.78125</v>
      </c>
      <c r="LQ87" s="334">
        <v>0.30349999999999999</v>
      </c>
      <c r="LR87" s="334">
        <f>30.223*2</f>
        <v>60.445999999999998</v>
      </c>
      <c r="LS87" s="334">
        <f>36.1875/2</f>
        <v>18.09375</v>
      </c>
      <c r="LT87" s="334">
        <v>0.30349999999999999</v>
      </c>
      <c r="LU87" s="334">
        <f>30.223*2</f>
        <v>60.445999999999998</v>
      </c>
      <c r="LV87" s="334">
        <f>30.375/2</f>
        <v>15.1875</v>
      </c>
      <c r="LW87" s="334">
        <v>0.30349999999999999</v>
      </c>
      <c r="LX87" s="334">
        <f>29.428*2</f>
        <v>58.856000000000002</v>
      </c>
      <c r="LY87" s="334">
        <f>27.875/2</f>
        <v>13.9375</v>
      </c>
      <c r="LZ87" s="334">
        <v>0.30349999999999999</v>
      </c>
      <c r="MA87" s="334">
        <f>29.428*2</f>
        <v>58.856000000000002</v>
      </c>
      <c r="MB87" s="334">
        <f>27.5/2</f>
        <v>13.75</v>
      </c>
      <c r="MC87" s="334">
        <f>0.51/2</f>
        <v>0.255</v>
      </c>
      <c r="MD87" s="334">
        <f>28.368*2</f>
        <v>56.735999999999997</v>
      </c>
      <c r="ME87" s="334">
        <f>26.625/2</f>
        <v>13.3125</v>
      </c>
      <c r="MF87" s="334">
        <f>0.51/2</f>
        <v>0.255</v>
      </c>
      <c r="MG87" s="334">
        <f>28.368*2</f>
        <v>56.735999999999997</v>
      </c>
      <c r="MH87" s="334">
        <f>29/2</f>
        <v>14.5</v>
      </c>
      <c r="MI87" s="334">
        <f>0.51/2</f>
        <v>0.255</v>
      </c>
      <c r="MJ87" s="334">
        <f>28.368*2</f>
        <v>56.735999999999997</v>
      </c>
      <c r="MK87" s="334">
        <f>27.875/2</f>
        <v>13.9375</v>
      </c>
      <c r="ML87" s="334">
        <f>0.51/2</f>
        <v>0.255</v>
      </c>
      <c r="MM87" s="334">
        <f>28.368*2</f>
        <v>56.735999999999997</v>
      </c>
      <c r="MN87" s="334">
        <f>28.375/2</f>
        <v>14.1875</v>
      </c>
      <c r="MO87" s="334">
        <f>0.51/2</f>
        <v>0.255</v>
      </c>
      <c r="MP87" s="334">
        <f>28.368*2</f>
        <v>56.735999999999997</v>
      </c>
      <c r="MQ87" s="334">
        <f>27.875/2</f>
        <v>13.9375</v>
      </c>
      <c r="MR87" s="334">
        <f>0.51/2</f>
        <v>0.255</v>
      </c>
      <c r="MS87" s="334">
        <f>28.368*2</f>
        <v>56.735999999999997</v>
      </c>
      <c r="MT87" s="334">
        <f>27.25/2</f>
        <v>13.625</v>
      </c>
      <c r="MU87" s="334">
        <f>0.51/2</f>
        <v>0.255</v>
      </c>
      <c r="MV87" s="334">
        <f>28.368*2</f>
        <v>56.735999999999997</v>
      </c>
      <c r="MW87" s="334">
        <f>25.25/2</f>
        <v>12.625</v>
      </c>
      <c r="MX87" s="334">
        <f>0.51/2</f>
        <v>0.255</v>
      </c>
      <c r="MY87" s="334">
        <f>28.195*2</f>
        <v>56.39</v>
      </c>
      <c r="MZ87" s="334">
        <f>25.25/2</f>
        <v>12.625</v>
      </c>
      <c r="NA87" s="334">
        <f>0.505/2</f>
        <v>0.2525</v>
      </c>
      <c r="NB87" s="334">
        <f>28.195*2</f>
        <v>56.39</v>
      </c>
      <c r="NC87" s="334">
        <f>26.125/2</f>
        <v>13.0625</v>
      </c>
      <c r="ND87" s="334">
        <f>0.505/2</f>
        <v>0.2525</v>
      </c>
      <c r="NE87" s="334">
        <f>28.195*2</f>
        <v>56.39</v>
      </c>
      <c r="NF87" s="334">
        <f>25.875/2</f>
        <v>12.9375</v>
      </c>
      <c r="NG87" s="334">
        <f>0.505/2</f>
        <v>0.2525</v>
      </c>
      <c r="NH87" s="334">
        <v>60.38</v>
      </c>
      <c r="NI87" s="334">
        <f>29.5/2</f>
        <v>14.75</v>
      </c>
      <c r="NJ87" s="334">
        <f>0.505/2</f>
        <v>0.2525</v>
      </c>
      <c r="NK87" s="334">
        <v>60.38</v>
      </c>
      <c r="NL87" s="334">
        <f>32.75/2</f>
        <v>16.375</v>
      </c>
      <c r="NM87" s="334">
        <f>0.495/2</f>
        <v>0.2475</v>
      </c>
      <c r="NN87" s="334">
        <v>60.38</v>
      </c>
      <c r="NO87" s="334">
        <f>35.5/2</f>
        <v>17.75</v>
      </c>
      <c r="NP87" s="334">
        <f>0.495/2</f>
        <v>0.2475</v>
      </c>
      <c r="NQ87" s="334">
        <f>29.675*2</f>
        <v>59.35</v>
      </c>
      <c r="NR87" s="334">
        <f>35.25/2</f>
        <v>17.625</v>
      </c>
      <c r="NS87" s="334">
        <f>0.495/2</f>
        <v>0.2475</v>
      </c>
      <c r="NT87" s="334">
        <f>29.489*2</f>
        <v>58.978000000000002</v>
      </c>
      <c r="NU87" s="334">
        <f>35.875/2</f>
        <v>17.9375</v>
      </c>
      <c r="NV87" s="334">
        <f>0.495/2</f>
        <v>0.2475</v>
      </c>
      <c r="NW87" s="334">
        <f>29.489*2</f>
        <v>58.978000000000002</v>
      </c>
      <c r="NX87" s="334">
        <f>34.25/2</f>
        <v>17.125</v>
      </c>
      <c r="NY87" s="334">
        <f>0.49/2</f>
        <v>0.245</v>
      </c>
      <c r="NZ87" s="334">
        <f>29.489*2</f>
        <v>58.978000000000002</v>
      </c>
      <c r="OA87" s="334">
        <f>33.75/2</f>
        <v>16.875</v>
      </c>
      <c r="OB87" s="334">
        <f>0.49/2</f>
        <v>0.245</v>
      </c>
      <c r="OC87" s="334">
        <f>29.489*2</f>
        <v>58.978000000000002</v>
      </c>
      <c r="OD87" s="334">
        <f>31.63/2</f>
        <v>15.815</v>
      </c>
      <c r="OE87" s="334">
        <f>0.49/2</f>
        <v>0.245</v>
      </c>
      <c r="OF87" s="334">
        <f>29.489*2</f>
        <v>58.978000000000002</v>
      </c>
      <c r="OG87" s="334">
        <f>30.63/2</f>
        <v>15.315</v>
      </c>
      <c r="OH87" s="334">
        <f>0.49/2</f>
        <v>0.245</v>
      </c>
      <c r="OI87" s="334">
        <f>30.362*2</f>
        <v>60.723999999999997</v>
      </c>
      <c r="OJ87" s="334">
        <f>32.5/2</f>
        <v>16.25</v>
      </c>
      <c r="OK87" s="334">
        <v>0.24</v>
      </c>
      <c r="OL87" s="334">
        <f>30.615*2</f>
        <v>61.23</v>
      </c>
      <c r="OM87" s="334">
        <f>29/2</f>
        <v>14.5</v>
      </c>
      <c r="ON87" s="334">
        <v>0.24</v>
      </c>
      <c r="OO87" s="334">
        <f>31.027*2</f>
        <v>62.054000000000002</v>
      </c>
      <c r="OP87" s="334">
        <f>26.63/2</f>
        <v>13.315</v>
      </c>
      <c r="OQ87" s="334">
        <v>0.24</v>
      </c>
      <c r="OR87" s="334">
        <f>31.538*2</f>
        <v>63.076000000000001</v>
      </c>
      <c r="OS87" s="334">
        <f>27.25/2</f>
        <v>13.625</v>
      </c>
      <c r="OT87" s="334">
        <v>0.24</v>
      </c>
      <c r="OU87" s="334">
        <v>59.2</v>
      </c>
      <c r="OV87" s="334">
        <f>26.25/2</f>
        <v>13.125</v>
      </c>
    </row>
    <row r="88" spans="1:412">
      <c r="B88" s="333" t="s">
        <v>264</v>
      </c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503"/>
      <c r="AZ88" s="503"/>
      <c r="BA88" s="503"/>
      <c r="BB88" s="503"/>
      <c r="BC88" s="503"/>
      <c r="BD88" s="503"/>
      <c r="BE88" s="503"/>
      <c r="BF88" s="503"/>
      <c r="BG88" s="503"/>
      <c r="BH88" s="503"/>
      <c r="BI88" s="503"/>
      <c r="BJ88" s="503"/>
      <c r="BK88" s="503"/>
      <c r="BL88" s="503"/>
      <c r="BM88" s="503"/>
      <c r="BN88" s="503"/>
      <c r="BO88" s="503"/>
      <c r="BP88" s="503"/>
      <c r="BQ88" s="504"/>
      <c r="BR88" s="504"/>
      <c r="BS88" s="504"/>
      <c r="BT88" s="504"/>
      <c r="BU88" s="504"/>
      <c r="BV88" s="504"/>
      <c r="BW88" s="504"/>
      <c r="BX88" s="504"/>
      <c r="BY88" s="504"/>
      <c r="BZ88" s="503"/>
      <c r="CA88" s="503"/>
      <c r="CB88" s="503"/>
      <c r="CC88" s="503"/>
      <c r="CD88" s="503"/>
      <c r="CE88" s="503"/>
      <c r="CF88" s="503"/>
      <c r="CG88" s="503"/>
      <c r="CH88" s="503"/>
      <c r="CI88" s="503"/>
      <c r="CJ88" s="503"/>
      <c r="CK88" s="503"/>
      <c r="CL88" s="503"/>
      <c r="CM88" s="503"/>
      <c r="CN88" s="503"/>
      <c r="CO88" s="503"/>
      <c r="CP88" s="503"/>
      <c r="CQ88" s="503"/>
      <c r="CR88" s="504"/>
      <c r="CS88" s="504"/>
      <c r="CT88" s="504"/>
      <c r="CU88" s="503"/>
      <c r="CV88" s="503"/>
      <c r="CW88" s="503"/>
      <c r="CX88" s="339"/>
      <c r="CY88" s="339"/>
      <c r="CZ88" s="339"/>
      <c r="DA88" s="339"/>
      <c r="DB88" s="339"/>
      <c r="DC88" s="339"/>
      <c r="DD88" s="339"/>
      <c r="DE88" s="339"/>
      <c r="DF88" s="339"/>
      <c r="DG88" s="339"/>
      <c r="DH88" s="339"/>
      <c r="DI88" s="339"/>
      <c r="DJ88" s="339"/>
      <c r="DK88" s="339"/>
      <c r="DL88" s="339"/>
      <c r="DM88" s="339"/>
      <c r="DN88" s="339"/>
      <c r="DO88" s="339"/>
      <c r="DP88" s="339"/>
      <c r="DQ88" s="339"/>
      <c r="DR88" s="339"/>
      <c r="DS88" s="339"/>
      <c r="DT88" s="339"/>
      <c r="DU88" s="339"/>
      <c r="DV88" s="339"/>
      <c r="DW88" s="339"/>
      <c r="DX88" s="339"/>
      <c r="DY88" s="339"/>
      <c r="DZ88" s="339"/>
      <c r="EA88" s="339"/>
      <c r="EB88" s="340"/>
      <c r="EC88" s="340"/>
      <c r="ED88" s="340"/>
      <c r="EE88" s="339"/>
      <c r="EF88" s="339"/>
      <c r="EG88" s="339"/>
      <c r="EH88" s="339"/>
      <c r="EI88" s="339"/>
      <c r="EJ88" s="339"/>
      <c r="EK88" s="339"/>
      <c r="EL88" s="339"/>
      <c r="EM88" s="339"/>
      <c r="EN88" s="339"/>
      <c r="EO88" s="339"/>
      <c r="EP88" s="339"/>
      <c r="EQ88" s="339"/>
      <c r="ER88" s="339"/>
      <c r="ES88" s="339"/>
      <c r="ET88" s="339"/>
      <c r="EU88" s="339"/>
      <c r="EV88" s="339"/>
      <c r="EW88" s="339"/>
      <c r="EX88" s="339"/>
      <c r="EY88" s="339"/>
      <c r="EZ88" s="339"/>
      <c r="FA88" s="339"/>
      <c r="FB88" s="339"/>
      <c r="FC88" s="339"/>
      <c r="FD88" s="339"/>
      <c r="FE88" s="339"/>
      <c r="FF88" s="339"/>
      <c r="FG88" s="339"/>
      <c r="FH88" s="342"/>
      <c r="FI88" s="339"/>
      <c r="FJ88" s="339"/>
      <c r="FK88" s="339"/>
      <c r="FL88" s="339"/>
      <c r="FM88" s="339"/>
      <c r="FN88" s="339"/>
      <c r="FO88" s="339"/>
      <c r="FP88" s="339"/>
      <c r="FQ88" s="339"/>
      <c r="FR88" s="339"/>
      <c r="FS88" s="339"/>
      <c r="FT88" s="339"/>
      <c r="FU88" s="339"/>
      <c r="FV88" s="339"/>
      <c r="FW88" s="339"/>
      <c r="FX88" s="339"/>
      <c r="FY88" s="339"/>
      <c r="FZ88" s="339"/>
      <c r="GA88" s="339"/>
      <c r="GB88" s="339"/>
      <c r="GC88" s="339"/>
      <c r="GD88" s="339"/>
      <c r="GE88" s="339"/>
      <c r="GF88" s="339"/>
      <c r="GG88" s="339"/>
      <c r="GH88" s="339"/>
      <c r="GI88" s="339"/>
      <c r="GJ88" s="339"/>
      <c r="GK88" s="339"/>
      <c r="GL88" s="339"/>
      <c r="GM88" s="339"/>
      <c r="GN88" s="339"/>
      <c r="GO88" s="339"/>
      <c r="GP88" s="339"/>
      <c r="GQ88" s="339"/>
      <c r="GR88" s="339"/>
      <c r="GS88" s="339"/>
      <c r="GT88" s="339"/>
      <c r="GU88" s="339"/>
      <c r="GV88" s="339"/>
      <c r="GW88" s="339"/>
      <c r="GX88" s="339"/>
      <c r="GY88" s="339"/>
      <c r="GZ88" s="339"/>
      <c r="HA88" s="339"/>
      <c r="HB88" s="339"/>
      <c r="HC88" s="339"/>
      <c r="HD88" s="339"/>
      <c r="HE88" s="339"/>
      <c r="HF88" s="339"/>
      <c r="HG88" s="339"/>
      <c r="HH88" s="339"/>
      <c r="HI88" s="505"/>
      <c r="HJ88" s="339"/>
      <c r="HK88" s="339"/>
      <c r="HL88" s="339"/>
      <c r="HM88" s="339"/>
      <c r="HN88" s="339"/>
      <c r="HO88" s="339"/>
      <c r="HP88" s="339"/>
      <c r="HQ88" s="339"/>
      <c r="HR88" s="339"/>
      <c r="HS88" s="339"/>
      <c r="HT88" s="339"/>
      <c r="HU88" s="339"/>
      <c r="HV88" s="339"/>
      <c r="HW88" s="339"/>
      <c r="HX88" s="506"/>
      <c r="HY88" s="513"/>
      <c r="HZ88" s="339"/>
      <c r="IA88" s="339"/>
      <c r="IB88" s="339"/>
      <c r="IC88" s="339"/>
      <c r="ID88" s="339"/>
      <c r="IE88" s="339"/>
      <c r="IF88" s="339"/>
      <c r="IG88" s="339"/>
      <c r="IH88" s="339"/>
      <c r="II88" s="339"/>
      <c r="IJ88" s="505"/>
      <c r="IK88" s="339"/>
      <c r="IL88" s="339"/>
      <c r="IM88" s="339"/>
      <c r="IN88" s="339"/>
      <c r="IO88" s="339"/>
      <c r="IP88" s="339"/>
      <c r="IQ88" s="339"/>
      <c r="IR88" s="339"/>
      <c r="IS88" s="339"/>
      <c r="IT88" s="339"/>
      <c r="IU88" s="339"/>
      <c r="IV88" s="339"/>
      <c r="IW88" s="339"/>
      <c r="IX88" s="339"/>
      <c r="IY88" s="339"/>
      <c r="IZ88" s="342"/>
      <c r="JA88" s="339"/>
      <c r="JB88" s="339"/>
      <c r="JC88" s="339"/>
      <c r="JD88" s="339"/>
      <c r="JE88" s="339"/>
      <c r="JF88" s="339"/>
      <c r="JG88" s="339"/>
      <c r="JH88" s="339"/>
      <c r="JI88" s="339"/>
      <c r="JJ88" s="339"/>
      <c r="JK88" s="339"/>
      <c r="JL88" s="339"/>
      <c r="JM88" s="339"/>
      <c r="JN88" s="339"/>
      <c r="JO88" s="339"/>
      <c r="JP88" s="339"/>
      <c r="JQ88" s="339"/>
      <c r="JR88" s="339"/>
      <c r="JS88" s="339">
        <v>103.77500000000001</v>
      </c>
      <c r="JT88" s="339">
        <v>5.75</v>
      </c>
      <c r="JU88" s="339">
        <v>0</v>
      </c>
      <c r="JV88" s="339">
        <v>103.76900000000001</v>
      </c>
      <c r="JW88" s="339">
        <v>5.25</v>
      </c>
      <c r="JX88" s="339">
        <v>0.15</v>
      </c>
      <c r="JY88" s="339">
        <v>103.753</v>
      </c>
      <c r="JZ88" s="339">
        <v>11.6</v>
      </c>
      <c r="KA88" s="339">
        <v>0.15</v>
      </c>
      <c r="KB88" s="339">
        <v>105.027</v>
      </c>
      <c r="KC88" s="339">
        <v>14.1</v>
      </c>
      <c r="KD88" s="339">
        <v>0.15</v>
      </c>
      <c r="KE88" s="339">
        <v>105.628</v>
      </c>
      <c r="KF88" s="339">
        <v>20.75</v>
      </c>
      <c r="KG88" s="339">
        <v>0.2</v>
      </c>
      <c r="KH88" s="339">
        <v>105.598</v>
      </c>
      <c r="KI88" s="339">
        <v>33.375</v>
      </c>
      <c r="KJ88" s="339">
        <v>0.2</v>
      </c>
      <c r="KK88" s="339">
        <v>105.55200000000001</v>
      </c>
      <c r="KL88" s="339">
        <v>35.5</v>
      </c>
      <c r="KM88" s="339">
        <v>0.2</v>
      </c>
      <c r="KN88" s="339">
        <v>108.64700000000001</v>
      </c>
      <c r="KO88" s="339">
        <v>64</v>
      </c>
      <c r="KP88" s="339">
        <v>0.2</v>
      </c>
      <c r="KQ88" s="339">
        <v>110.15900000000001</v>
      </c>
      <c r="KR88" s="339">
        <v>36.0625</v>
      </c>
      <c r="KS88" s="339">
        <v>0.2</v>
      </c>
      <c r="KT88" s="339">
        <f>55.058*2</f>
        <v>110.116</v>
      </c>
      <c r="KU88" s="339">
        <v>30.4375</v>
      </c>
      <c r="KV88" s="339">
        <v>0.2</v>
      </c>
      <c r="KW88" s="334">
        <f>55.1*2</f>
        <v>110.2</v>
      </c>
      <c r="KX88" s="334">
        <f>0.5*70.5</f>
        <v>35.25</v>
      </c>
      <c r="KY88" s="334">
        <f>0.4/2</f>
        <v>0.2</v>
      </c>
      <c r="KZ88" s="334">
        <f>55*2</f>
        <v>110</v>
      </c>
      <c r="LA88" s="334">
        <f>0.5*73.5625</f>
        <v>36.78125</v>
      </c>
      <c r="LB88" s="334">
        <f>0.4/2</f>
        <v>0.2</v>
      </c>
      <c r="LC88" s="334">
        <f>55*2</f>
        <v>110</v>
      </c>
      <c r="LD88" s="334">
        <f>0.5*56.563</f>
        <v>28.281500000000001</v>
      </c>
      <c r="LE88" s="334">
        <f>0.4/2</f>
        <v>0.2</v>
      </c>
      <c r="LF88" s="334">
        <f>54.88*2</f>
        <v>109.76</v>
      </c>
      <c r="LG88" s="334">
        <f>0.5*44.563</f>
        <v>22.281500000000001</v>
      </c>
      <c r="LH88" s="334">
        <f>0.4/2</f>
        <v>0.2</v>
      </c>
      <c r="LI88" s="334">
        <f>54.88*2</f>
        <v>109.76</v>
      </c>
      <c r="LJ88" s="334">
        <f>0.5*34.75</f>
        <v>17.375</v>
      </c>
      <c r="LK88" s="334">
        <f>0.4/2</f>
        <v>0.2</v>
      </c>
      <c r="LL88" s="334">
        <f>54.65*2</f>
        <v>109.3</v>
      </c>
      <c r="LM88" s="334">
        <f>0.5*36.0625</f>
        <v>18.03125</v>
      </c>
      <c r="LN88" s="334">
        <f>0.4/2</f>
        <v>0.2</v>
      </c>
      <c r="LO88" s="334">
        <f>54.645*2</f>
        <v>109.29</v>
      </c>
      <c r="LP88" s="334">
        <f>0.5*31.75</f>
        <v>15.875</v>
      </c>
      <c r="LQ88" s="334">
        <f>0.4/2</f>
        <v>0.2</v>
      </c>
      <c r="LR88" s="334">
        <f>2*54.632</f>
        <v>109.264</v>
      </c>
      <c r="LS88" s="334">
        <f>0.5*26.625</f>
        <v>13.3125</v>
      </c>
      <c r="LT88" s="334">
        <f>0.4/2</f>
        <v>0.2</v>
      </c>
      <c r="LU88" s="334">
        <f>2*54.632</f>
        <v>109.264</v>
      </c>
      <c r="LV88" s="334">
        <f>0.5*23.188</f>
        <v>11.593999999999999</v>
      </c>
      <c r="LW88" s="334">
        <f>0.4/2</f>
        <v>0.2</v>
      </c>
      <c r="LX88" s="334">
        <f>2*54.632</f>
        <v>109.264</v>
      </c>
      <c r="LY88" s="334">
        <f>0.5*21.5</f>
        <v>10.75</v>
      </c>
      <c r="LZ88" s="334">
        <f>0.4/2</f>
        <v>0.2</v>
      </c>
      <c r="MA88" s="334">
        <f>2*54.632</f>
        <v>109.264</v>
      </c>
      <c r="MB88" s="334">
        <f>0.5*21.375</f>
        <v>10.6875</v>
      </c>
      <c r="MC88" s="334">
        <f>0.4/2</f>
        <v>0.2</v>
      </c>
      <c r="MD88" s="334">
        <f>2*53.738</f>
        <v>107.476</v>
      </c>
      <c r="ME88" s="334">
        <f>0.5*21.375</f>
        <v>10.6875</v>
      </c>
      <c r="MF88" s="334">
        <f>0.4/2</f>
        <v>0.2</v>
      </c>
      <c r="MG88" s="334">
        <f>2*53.738</f>
        <v>107.476</v>
      </c>
      <c r="MH88" s="334">
        <f>0.5*22.25</f>
        <v>11.125</v>
      </c>
      <c r="MI88" s="334">
        <f>0.4/2</f>
        <v>0.2</v>
      </c>
      <c r="MJ88" s="334">
        <f>2*53.738</f>
        <v>107.476</v>
      </c>
      <c r="MK88" s="334">
        <f>0.5*21.625</f>
        <v>10.8125</v>
      </c>
      <c r="ML88" s="334">
        <f>0.4/2</f>
        <v>0.2</v>
      </c>
      <c r="MM88" s="334">
        <f>2*53.738</f>
        <v>107.476</v>
      </c>
      <c r="MN88" s="334">
        <f>0.5*22.625</f>
        <v>11.3125</v>
      </c>
      <c r="MO88" s="334">
        <f>0.4/2</f>
        <v>0.2</v>
      </c>
      <c r="MP88" s="334">
        <f>2*53.738</f>
        <v>107.476</v>
      </c>
      <c r="MQ88" s="334">
        <f>0.5*23.25</f>
        <v>11.625</v>
      </c>
      <c r="MR88" s="334">
        <f>0.4/2</f>
        <v>0.2</v>
      </c>
      <c r="MS88" s="334">
        <f>2*53.738</f>
        <v>107.476</v>
      </c>
      <c r="MT88" s="334">
        <f>0.5*23</f>
        <v>11.5</v>
      </c>
      <c r="MU88" s="334">
        <f>0.4/2</f>
        <v>0.2</v>
      </c>
      <c r="MV88" s="334">
        <f>2*53.738</f>
        <v>107.476</v>
      </c>
      <c r="MW88" s="334">
        <f>0.5*22.75</f>
        <v>11.375</v>
      </c>
      <c r="MX88" s="334">
        <f>0.4/2</f>
        <v>0.2</v>
      </c>
      <c r="MY88" s="334">
        <f>2*52.876</f>
        <v>105.752</v>
      </c>
      <c r="MZ88" s="334">
        <f>0.5*23</f>
        <v>11.5</v>
      </c>
      <c r="NA88" s="334">
        <f>0.4/2</f>
        <v>0.2</v>
      </c>
      <c r="NB88" s="334">
        <f>2*52.876</f>
        <v>105.752</v>
      </c>
      <c r="NC88" s="334">
        <f>0.5*23.25</f>
        <v>11.625</v>
      </c>
      <c r="ND88" s="334">
        <f>0.4/2</f>
        <v>0.2</v>
      </c>
      <c r="NE88" s="334">
        <f>2*52.876</f>
        <v>105.752</v>
      </c>
      <c r="NF88" s="334">
        <f>0.5*22.375</f>
        <v>11.1875</v>
      </c>
      <c r="NG88" s="334">
        <f>0.4/2</f>
        <v>0.2</v>
      </c>
      <c r="NH88" s="334">
        <f>2*52.162</f>
        <v>104.324</v>
      </c>
      <c r="NI88" s="334">
        <f>0.5*24.625</f>
        <v>12.3125</v>
      </c>
      <c r="NJ88" s="334">
        <f>0.4/2</f>
        <v>0.2</v>
      </c>
      <c r="NK88" s="334">
        <f>2*52.162</f>
        <v>104.324</v>
      </c>
      <c r="NL88" s="334">
        <f>0.5*25.75</f>
        <v>12.875</v>
      </c>
      <c r="NM88" s="334">
        <f>0.4/2</f>
        <v>0.2</v>
      </c>
      <c r="NN88" s="334">
        <f>2*52.162</f>
        <v>104.324</v>
      </c>
      <c r="NO88" s="334">
        <f>0.5*27.375</f>
        <v>13.6875</v>
      </c>
      <c r="NP88" s="334">
        <f>0.5*0.395</f>
        <v>0.19750000000000001</v>
      </c>
      <c r="NQ88" s="334">
        <f>2*51.903</f>
        <v>103.806</v>
      </c>
      <c r="NR88" s="334">
        <f>0.5*26.75</f>
        <v>13.375</v>
      </c>
      <c r="NS88" s="334">
        <f>0.5*0.395</f>
        <v>0.19750000000000001</v>
      </c>
      <c r="NT88" s="334">
        <f>2*51.689</f>
        <v>103.378</v>
      </c>
      <c r="NU88" s="334">
        <f>0.5*27.625</f>
        <v>13.8125</v>
      </c>
      <c r="NV88" s="334">
        <f>0.5*0.395</f>
        <v>0.19750000000000001</v>
      </c>
      <c r="NW88" s="334">
        <f>2*51.015</f>
        <v>102.03</v>
      </c>
      <c r="NX88" s="334">
        <f>0.5*26.38</f>
        <v>13.19</v>
      </c>
      <c r="NY88" s="334">
        <f>0.5*0.39</f>
        <v>0.19500000000000001</v>
      </c>
      <c r="NZ88" s="334">
        <f>2*51.015</f>
        <v>102.03</v>
      </c>
      <c r="OA88" s="334">
        <f>0.5*25.75</f>
        <v>12.875</v>
      </c>
      <c r="OB88" s="334">
        <f>0.5*0.39</f>
        <v>0.19500000000000001</v>
      </c>
      <c r="OC88" s="334">
        <f>2*50.906</f>
        <v>101.812</v>
      </c>
      <c r="OD88" s="334">
        <f>0.5*26.25</f>
        <v>13.125</v>
      </c>
      <c r="OE88" s="334">
        <f>0.5*0.39</f>
        <v>0.19500000000000001</v>
      </c>
      <c r="OF88" s="334">
        <f>2*50.79</f>
        <v>101.58</v>
      </c>
      <c r="OG88" s="334">
        <f>0.5*24</f>
        <v>12</v>
      </c>
      <c r="OH88" s="334">
        <f>0.5*0.39</f>
        <v>0.19500000000000001</v>
      </c>
      <c r="OI88" s="334">
        <f>2*50.317</f>
        <v>100.634</v>
      </c>
      <c r="OJ88" s="334">
        <f>0.5*28.25</f>
        <v>14.125</v>
      </c>
      <c r="OK88" s="334">
        <f>0.5*0.37</f>
        <v>0.185</v>
      </c>
      <c r="OL88" s="334">
        <f>2*50.225</f>
        <v>100.45</v>
      </c>
      <c r="OM88" s="334">
        <f>0.5*23.75</f>
        <v>11.875</v>
      </c>
      <c r="ON88" s="334">
        <f>0.5*0.37</f>
        <v>0.185</v>
      </c>
      <c r="OO88" s="334">
        <f>2*50.14</f>
        <v>100.28</v>
      </c>
      <c r="OP88" s="334">
        <f>0.5*22.38</f>
        <v>11.19</v>
      </c>
      <c r="OQ88" s="334">
        <f>0.5*0.37</f>
        <v>0.185</v>
      </c>
      <c r="OR88" s="334">
        <f>2*50.06</f>
        <v>100.12</v>
      </c>
      <c r="OS88" s="334">
        <f>0.5*21.88</f>
        <v>10.94</v>
      </c>
      <c r="OT88" s="334">
        <f>0.5*0.37</f>
        <v>0.185</v>
      </c>
      <c r="OU88" s="334">
        <f>2*49.657</f>
        <v>99.313999999999993</v>
      </c>
      <c r="OV88" s="334">
        <f>0.5*20.25</f>
        <v>10.125</v>
      </c>
    </row>
    <row r="89" spans="1:412">
      <c r="A89" s="294" t="s">
        <v>24</v>
      </c>
      <c r="B89" s="335" t="s">
        <v>147</v>
      </c>
      <c r="C89" s="335">
        <v>451.9</v>
      </c>
      <c r="D89" s="335">
        <v>36.76</v>
      </c>
      <c r="E89" s="335">
        <v>0.26500000000000001</v>
      </c>
      <c r="F89" s="335">
        <v>448.5</v>
      </c>
      <c r="G89" s="335">
        <v>34.65</v>
      </c>
      <c r="H89" s="335">
        <v>0.26500000000000001</v>
      </c>
      <c r="I89" s="335">
        <v>447.9</v>
      </c>
      <c r="J89" s="335">
        <v>28.81</v>
      </c>
      <c r="K89" s="335">
        <v>0.26500000000000001</v>
      </c>
      <c r="L89" s="335">
        <v>424.8</v>
      </c>
      <c r="M89" s="335">
        <v>27.66</v>
      </c>
      <c r="N89" s="335">
        <v>0.26500000000000001</v>
      </c>
      <c r="O89" s="335">
        <v>413.5</v>
      </c>
      <c r="P89" s="335">
        <v>26.55</v>
      </c>
      <c r="Q89" s="335">
        <v>0.25</v>
      </c>
      <c r="R89" s="340">
        <v>413.3</v>
      </c>
      <c r="S89" s="340">
        <v>24.68</v>
      </c>
      <c r="T89" s="340">
        <v>0.25</v>
      </c>
      <c r="U89" s="340">
        <v>412.8</v>
      </c>
      <c r="V89" s="340">
        <v>27.35</v>
      </c>
      <c r="W89" s="340">
        <v>0.25</v>
      </c>
      <c r="X89" s="340">
        <v>407.1</v>
      </c>
      <c r="Y89" s="340">
        <v>27.96</v>
      </c>
      <c r="Z89" s="340">
        <v>0.25</v>
      </c>
      <c r="AA89" s="340">
        <v>406.5</v>
      </c>
      <c r="AB89" s="340">
        <v>27.42</v>
      </c>
      <c r="AC89" s="340">
        <v>0.23499999999999999</v>
      </c>
      <c r="AD89" s="340">
        <v>406.4</v>
      </c>
      <c r="AE89" s="340">
        <v>25.19</v>
      </c>
      <c r="AF89" s="340">
        <v>0.23499999999999999</v>
      </c>
      <c r="AG89" s="340">
        <v>406</v>
      </c>
      <c r="AH89" s="340">
        <v>29.49</v>
      </c>
      <c r="AI89" s="340">
        <v>0.23499999999999999</v>
      </c>
      <c r="AJ89" s="340">
        <v>393.6</v>
      </c>
      <c r="AK89" s="340">
        <v>31.8</v>
      </c>
      <c r="AL89" s="340">
        <v>0.23499999999999999</v>
      </c>
      <c r="AM89" s="340">
        <v>393.2</v>
      </c>
      <c r="AN89" s="340">
        <v>27.61</v>
      </c>
      <c r="AO89" s="340">
        <v>0.22</v>
      </c>
      <c r="AP89" s="340">
        <v>393</v>
      </c>
      <c r="AQ89" s="340">
        <v>24.23</v>
      </c>
      <c r="AR89" s="340">
        <v>0.22</v>
      </c>
      <c r="AS89" s="340">
        <v>392.65699999999998</v>
      </c>
      <c r="AT89" s="340">
        <v>24.5</v>
      </c>
      <c r="AU89" s="340">
        <v>0.22</v>
      </c>
      <c r="AV89" s="340">
        <v>384.34699999999998</v>
      </c>
      <c r="AW89" s="340">
        <v>24.11</v>
      </c>
      <c r="AX89" s="340">
        <v>0.22</v>
      </c>
      <c r="AY89" s="504">
        <v>383.8</v>
      </c>
      <c r="AZ89" s="504">
        <v>22.94</v>
      </c>
      <c r="BA89" s="504">
        <v>0.21</v>
      </c>
      <c r="BB89" s="504">
        <v>383.5</v>
      </c>
      <c r="BC89" s="504">
        <v>22</v>
      </c>
      <c r="BD89" s="504">
        <v>0.21</v>
      </c>
      <c r="BE89" s="504">
        <v>383.06200000000001</v>
      </c>
      <c r="BF89" s="504">
        <v>22.74</v>
      </c>
      <c r="BG89" s="504">
        <v>0.21</v>
      </c>
      <c r="BH89" s="504">
        <v>374.65</v>
      </c>
      <c r="BI89" s="504">
        <v>24.97</v>
      </c>
      <c r="BJ89" s="518">
        <v>0.21</v>
      </c>
      <c r="BK89" s="504">
        <v>374.1</v>
      </c>
      <c r="BL89" s="504">
        <v>27.84</v>
      </c>
      <c r="BM89" s="504">
        <v>0.2</v>
      </c>
      <c r="BN89" s="504">
        <v>373.89800000000002</v>
      </c>
      <c r="BO89" s="504">
        <v>29.92</v>
      </c>
      <c r="BP89" s="504">
        <v>0.2</v>
      </c>
      <c r="BQ89" s="504">
        <v>373.35599999999999</v>
      </c>
      <c r="BR89" s="504">
        <v>28.8</v>
      </c>
      <c r="BS89" s="504">
        <v>0.2</v>
      </c>
      <c r="BT89" s="504">
        <v>356.5</v>
      </c>
      <c r="BU89" s="504">
        <v>28.66</v>
      </c>
      <c r="BV89" s="507">
        <v>0.2</v>
      </c>
      <c r="BW89" s="504">
        <v>363.9</v>
      </c>
      <c r="BX89" s="504">
        <v>25.35</v>
      </c>
      <c r="BY89" s="504">
        <v>0.19500000000000001</v>
      </c>
      <c r="BZ89" s="504">
        <v>354.22899999999998</v>
      </c>
      <c r="CA89" s="504">
        <v>24.92</v>
      </c>
      <c r="CB89" s="504">
        <v>0.19500000000000001</v>
      </c>
      <c r="CC89" s="503">
        <v>338.012</v>
      </c>
      <c r="CD89" s="503">
        <v>26.28</v>
      </c>
      <c r="CE89" s="503">
        <v>0.19500000000000001</v>
      </c>
      <c r="CF89" s="503">
        <v>337.5</v>
      </c>
      <c r="CG89" s="503">
        <v>23.91</v>
      </c>
      <c r="CH89" s="508">
        <v>0.19500000000000001</v>
      </c>
      <c r="CI89" s="503">
        <v>331.13900000000001</v>
      </c>
      <c r="CJ89" s="503">
        <v>25.67</v>
      </c>
      <c r="CK89" s="503">
        <v>0.17499999999999999</v>
      </c>
      <c r="CL89" s="503">
        <v>325.10000000000002</v>
      </c>
      <c r="CM89" s="503">
        <v>25.59</v>
      </c>
      <c r="CN89" s="503">
        <v>0.17499999999999999</v>
      </c>
      <c r="CO89" s="503">
        <v>323.68099999999998</v>
      </c>
      <c r="CP89" s="503">
        <v>25.36</v>
      </c>
      <c r="CQ89" s="503">
        <v>0.17499999999999999</v>
      </c>
      <c r="CR89" s="504">
        <v>321.80500000000001</v>
      </c>
      <c r="CS89" s="504">
        <v>23.79</v>
      </c>
      <c r="CT89" s="514">
        <v>0.17499999999999999</v>
      </c>
      <c r="CU89" s="503">
        <v>322.31799999999998</v>
      </c>
      <c r="CV89" s="503">
        <v>22.14</v>
      </c>
      <c r="CW89" s="503">
        <v>0.16500000000000001</v>
      </c>
      <c r="CX89" s="339">
        <v>321.72500000000002</v>
      </c>
      <c r="CY89" s="339">
        <v>24.11</v>
      </c>
      <c r="CZ89" s="339">
        <v>0.16500000000000001</v>
      </c>
      <c r="DA89" s="339">
        <v>320.28100000000001</v>
      </c>
      <c r="DB89" s="339">
        <v>26.52</v>
      </c>
      <c r="DC89" s="339">
        <v>0.16500000000000001</v>
      </c>
      <c r="DD89" s="339">
        <v>317.74599999999998</v>
      </c>
      <c r="DE89" s="339">
        <v>23.56</v>
      </c>
      <c r="DF89" s="339">
        <v>0.155</v>
      </c>
      <c r="DG89" s="339">
        <v>318.08999999999997</v>
      </c>
      <c r="DH89" s="339">
        <v>19.510000000000002</v>
      </c>
      <c r="DI89" s="339">
        <v>0.155</v>
      </c>
      <c r="DJ89" s="339">
        <v>317.5</v>
      </c>
      <c r="DK89" s="339">
        <v>18.55</v>
      </c>
      <c r="DL89" s="510">
        <v>0.155</v>
      </c>
      <c r="DM89" s="339">
        <v>316.58699999999999</v>
      </c>
      <c r="DN89" s="339">
        <v>45.59</v>
      </c>
      <c r="DO89" s="339">
        <v>0.26</v>
      </c>
      <c r="DP89" s="340">
        <v>315.8</v>
      </c>
      <c r="DQ89" s="340">
        <v>44.16</v>
      </c>
      <c r="DR89" s="340">
        <v>0.26</v>
      </c>
      <c r="DS89" s="339">
        <v>315.41800000000001</v>
      </c>
      <c r="DT89" s="339">
        <v>42.42</v>
      </c>
      <c r="DU89" s="339">
        <v>0.26</v>
      </c>
      <c r="DV89" s="339">
        <v>315.01299999999998</v>
      </c>
      <c r="DW89" s="339">
        <v>40.98</v>
      </c>
      <c r="DX89" s="339">
        <v>0.26</v>
      </c>
      <c r="DY89" s="339">
        <v>314.22199999999998</v>
      </c>
      <c r="DZ89" s="339">
        <v>39.340000000000003</v>
      </c>
      <c r="EA89" s="510">
        <v>0.26</v>
      </c>
      <c r="EB89" s="340">
        <v>312.40199999999999</v>
      </c>
      <c r="EC89" s="340">
        <v>35.53</v>
      </c>
      <c r="ED89" s="340">
        <v>0.25</v>
      </c>
      <c r="EE89" s="339">
        <v>312.84199999999998</v>
      </c>
      <c r="EF89" s="339">
        <v>32.880000000000003</v>
      </c>
      <c r="EG89" s="339">
        <v>0.25</v>
      </c>
      <c r="EH89" s="339">
        <v>312.17700000000002</v>
      </c>
      <c r="EI89" s="339">
        <v>30.89</v>
      </c>
      <c r="EJ89" s="339">
        <v>0.25</v>
      </c>
      <c r="EK89" s="339">
        <v>311.12</v>
      </c>
      <c r="EL89" s="339">
        <v>28.64</v>
      </c>
      <c r="EM89" s="510">
        <v>0.25</v>
      </c>
      <c r="EN89" s="340">
        <v>291.92700000000002</v>
      </c>
      <c r="EO89" s="340">
        <v>29.34</v>
      </c>
      <c r="EP89" s="340">
        <v>0.24</v>
      </c>
      <c r="EQ89" s="339">
        <v>290.32799999999997</v>
      </c>
      <c r="ER89" s="339">
        <v>24.89</v>
      </c>
      <c r="ES89" s="339">
        <v>0.24</v>
      </c>
      <c r="ET89" s="339">
        <v>284.37</v>
      </c>
      <c r="EU89" s="339">
        <v>25.48</v>
      </c>
      <c r="EV89" s="339">
        <v>0.24</v>
      </c>
      <c r="EW89" s="339">
        <v>282.92500000000001</v>
      </c>
      <c r="EX89" s="339">
        <v>24.75</v>
      </c>
      <c r="EY89" s="510">
        <v>0.24</v>
      </c>
      <c r="EZ89" s="340">
        <v>280.44200000000001</v>
      </c>
      <c r="FA89" s="340">
        <v>24.35</v>
      </c>
      <c r="FB89" s="340">
        <v>0.23</v>
      </c>
      <c r="FC89" s="339">
        <v>280.76499999999999</v>
      </c>
      <c r="FD89" s="339">
        <v>23.81</v>
      </c>
      <c r="FE89" s="339">
        <v>0.23</v>
      </c>
      <c r="FF89" s="339">
        <v>280.21699999999998</v>
      </c>
      <c r="FG89" s="339">
        <v>21.38</v>
      </c>
      <c r="FH89" s="339">
        <v>0.23</v>
      </c>
      <c r="FI89" s="339">
        <v>279.339</v>
      </c>
      <c r="FJ89" s="339">
        <v>20.25</v>
      </c>
      <c r="FK89" s="339">
        <v>0.23</v>
      </c>
      <c r="FL89" s="339">
        <v>278.60000000000002</v>
      </c>
      <c r="FM89" s="339">
        <v>19.18</v>
      </c>
      <c r="FN89" s="339">
        <v>0.23</v>
      </c>
      <c r="FO89" s="339">
        <v>278.08800000000002</v>
      </c>
      <c r="FP89" s="339">
        <v>17.62</v>
      </c>
      <c r="FQ89" s="339">
        <v>0.23</v>
      </c>
      <c r="FR89" s="339">
        <v>277.56599999999997</v>
      </c>
      <c r="FS89" s="339">
        <v>17.399999999999999</v>
      </c>
      <c r="FT89" s="339">
        <v>0.23</v>
      </c>
      <c r="FU89" s="339">
        <v>276.947</v>
      </c>
      <c r="FV89" s="339">
        <v>14.5</v>
      </c>
      <c r="FW89" s="339">
        <v>0.23</v>
      </c>
      <c r="FX89" s="339">
        <v>276</v>
      </c>
      <c r="FY89" s="339">
        <v>15.8</v>
      </c>
      <c r="FZ89" s="339">
        <v>0.23</v>
      </c>
      <c r="GA89" s="339">
        <v>275.39999999999998</v>
      </c>
      <c r="GB89" s="339">
        <v>15.38</v>
      </c>
      <c r="GC89" s="339">
        <v>0.23</v>
      </c>
      <c r="GD89" s="339">
        <v>274.7</v>
      </c>
      <c r="GE89" s="339">
        <v>13.89</v>
      </c>
      <c r="GF89" s="339">
        <v>0.23</v>
      </c>
      <c r="GG89" s="339">
        <v>274.19600000000003</v>
      </c>
      <c r="GH89" s="339">
        <v>11.66</v>
      </c>
      <c r="GI89" s="339">
        <v>0.23</v>
      </c>
      <c r="GJ89" s="339">
        <v>274</v>
      </c>
      <c r="GK89" s="339">
        <v>9.8000000000000007</v>
      </c>
      <c r="GL89" s="339">
        <v>0.23</v>
      </c>
      <c r="GM89" s="339">
        <v>273.99200000000002</v>
      </c>
      <c r="GN89" s="339">
        <v>10.97</v>
      </c>
      <c r="GO89" s="339">
        <v>0.23</v>
      </c>
      <c r="GP89" s="339">
        <v>273.97300000000001</v>
      </c>
      <c r="GQ89" s="339">
        <v>14.76</v>
      </c>
      <c r="GR89" s="339">
        <v>0.23</v>
      </c>
      <c r="GS89" s="339">
        <v>273.92200000000003</v>
      </c>
      <c r="GT89" s="339">
        <v>17.920000000000002</v>
      </c>
      <c r="GU89" s="339">
        <v>0.23</v>
      </c>
      <c r="GV89" s="339">
        <v>273.79700000000003</v>
      </c>
      <c r="GW89" s="339">
        <v>17.239999999999998</v>
      </c>
      <c r="GX89" s="339">
        <v>0.23</v>
      </c>
      <c r="GY89" s="339">
        <v>273.88099999999997</v>
      </c>
      <c r="GZ89" s="339">
        <v>18.89</v>
      </c>
      <c r="HA89" s="339">
        <v>0.23</v>
      </c>
      <c r="HB89" s="339">
        <v>273.81700000000001</v>
      </c>
      <c r="HC89" s="339">
        <v>19.14</v>
      </c>
      <c r="HD89" s="339">
        <v>0.23</v>
      </c>
      <c r="HE89" s="339">
        <v>273.59399999999999</v>
      </c>
      <c r="HF89" s="339">
        <v>20.71</v>
      </c>
      <c r="HG89" s="339">
        <v>0.23</v>
      </c>
      <c r="HH89" s="339">
        <v>272.56</v>
      </c>
      <c r="HI89" s="505">
        <v>24.44</v>
      </c>
      <c r="HJ89" s="339">
        <v>0.23</v>
      </c>
      <c r="HK89" s="339">
        <v>272.548</v>
      </c>
      <c r="HL89" s="339">
        <v>24.1</v>
      </c>
      <c r="HM89" s="339">
        <v>0.23</v>
      </c>
      <c r="HN89" s="339">
        <v>272.39999999999998</v>
      </c>
      <c r="HO89" s="339">
        <v>21.74</v>
      </c>
      <c r="HP89" s="339">
        <v>0.23</v>
      </c>
      <c r="HQ89" s="339">
        <v>272.3</v>
      </c>
      <c r="HR89" s="339">
        <v>21.84</v>
      </c>
      <c r="HS89" s="339">
        <v>0.23</v>
      </c>
      <c r="HT89" s="339">
        <v>271.89999999999998</v>
      </c>
      <c r="HU89" s="339">
        <v>20.22</v>
      </c>
      <c r="HV89" s="339">
        <v>0.23</v>
      </c>
      <c r="HW89" s="339">
        <v>271.7</v>
      </c>
      <c r="HX89" s="506">
        <v>20.86</v>
      </c>
      <c r="HY89" s="513">
        <f>0.92/4</f>
        <v>0.23</v>
      </c>
      <c r="HZ89" s="339">
        <v>271.17200000000003</v>
      </c>
      <c r="IA89" s="339">
        <v>24.25</v>
      </c>
      <c r="IB89" s="339">
        <v>0.23</v>
      </c>
      <c r="IC89" s="339">
        <v>270.327</v>
      </c>
      <c r="ID89" s="339">
        <v>24.73</v>
      </c>
      <c r="IE89" s="339">
        <v>0.23</v>
      </c>
      <c r="IF89" s="339">
        <v>262.7</v>
      </c>
      <c r="IG89" s="339">
        <v>22.79</v>
      </c>
      <c r="IH89" s="339">
        <v>0.23</v>
      </c>
      <c r="II89" s="339">
        <v>262.7</v>
      </c>
      <c r="IJ89" s="505">
        <v>22.78</v>
      </c>
      <c r="IK89" s="339">
        <v>0.23</v>
      </c>
      <c r="IL89" s="339">
        <v>262.54300000000001</v>
      </c>
      <c r="IM89" s="339">
        <v>21.01</v>
      </c>
      <c r="IN89" s="339">
        <v>0.23</v>
      </c>
      <c r="IO89" s="339">
        <v>262.28699999999998</v>
      </c>
      <c r="IP89" s="339">
        <v>20.62</v>
      </c>
      <c r="IQ89" s="339">
        <v>0.23</v>
      </c>
      <c r="IR89" s="339">
        <v>261.60000000000002</v>
      </c>
      <c r="IS89" s="339">
        <v>21.25</v>
      </c>
      <c r="IT89" s="339">
        <v>0.23</v>
      </c>
      <c r="IU89" s="339">
        <v>261.44</v>
      </c>
      <c r="IV89" s="339">
        <v>21.94</v>
      </c>
      <c r="IW89" s="339">
        <v>0.23</v>
      </c>
      <c r="IX89" s="339">
        <v>261.25900000000001</v>
      </c>
      <c r="IY89" s="339">
        <v>19.98</v>
      </c>
      <c r="IZ89" s="339">
        <v>0.23</v>
      </c>
      <c r="JA89" s="339">
        <v>253.84700000000001</v>
      </c>
      <c r="JB89" s="339">
        <v>19</v>
      </c>
      <c r="JC89" s="339">
        <v>0.28999999999999998</v>
      </c>
      <c r="JD89" s="339">
        <v>227</v>
      </c>
      <c r="JE89" s="339">
        <v>18.2</v>
      </c>
      <c r="JF89" s="339">
        <v>0.28999999999999998</v>
      </c>
      <c r="JG89" s="339">
        <v>205.71199999999999</v>
      </c>
      <c r="JH89" s="339">
        <v>20</v>
      </c>
      <c r="JI89" s="339">
        <v>0.28999999999999998</v>
      </c>
      <c r="JJ89" s="339">
        <v>205.64500000000001</v>
      </c>
      <c r="JK89" s="339">
        <v>17.23</v>
      </c>
      <c r="JL89" s="339">
        <v>0.28999999999999998</v>
      </c>
      <c r="JM89" s="339">
        <v>205.536</v>
      </c>
      <c r="JN89" s="339">
        <v>21.83</v>
      </c>
      <c r="JO89" s="339">
        <v>0.28999999999999998</v>
      </c>
      <c r="JP89" s="339">
        <v>205.5</v>
      </c>
      <c r="JQ89" s="339">
        <v>22.95</v>
      </c>
      <c r="JR89" s="339">
        <v>0.28999999999999998</v>
      </c>
      <c r="JS89" s="339">
        <v>205.4</v>
      </c>
      <c r="JT89" s="339">
        <v>23.06</v>
      </c>
      <c r="JU89" s="339">
        <v>0.28999999999999998</v>
      </c>
      <c r="JV89" s="339">
        <v>205.3</v>
      </c>
      <c r="JW89" s="339">
        <v>23.31</v>
      </c>
      <c r="JX89" s="339">
        <v>0.28999999999999998</v>
      </c>
      <c r="JY89" s="339">
        <v>205</v>
      </c>
      <c r="JZ89" s="339">
        <v>27.33</v>
      </c>
      <c r="KA89" s="339">
        <v>0.28999999999999998</v>
      </c>
      <c r="KB89" s="339">
        <v>121.4</v>
      </c>
      <c r="KC89" s="339">
        <v>31.12</v>
      </c>
      <c r="KD89" s="339">
        <v>0.28999999999999998</v>
      </c>
      <c r="KE89" s="339">
        <v>121.3</v>
      </c>
      <c r="KF89" s="339">
        <v>30.75</v>
      </c>
      <c r="KG89" s="339">
        <v>0.27</v>
      </c>
      <c r="KH89" s="339">
        <v>120.56953</v>
      </c>
      <c r="KI89" s="339">
        <v>24.4375</v>
      </c>
      <c r="KJ89" s="339">
        <v>0.27</v>
      </c>
      <c r="KK89" s="339">
        <v>124.304233</v>
      </c>
      <c r="KL89" s="339">
        <v>18.625</v>
      </c>
      <c r="KM89" s="339">
        <v>0.27</v>
      </c>
      <c r="KN89" s="339">
        <v>124.71451</v>
      </c>
      <c r="KO89" s="339">
        <v>16.875</v>
      </c>
      <c r="KP89" s="339">
        <v>0.27</v>
      </c>
      <c r="KQ89" s="339">
        <v>125</v>
      </c>
      <c r="KR89" s="339">
        <v>17.875</v>
      </c>
      <c r="KS89" s="339">
        <v>0.27</v>
      </c>
      <c r="KT89" s="339">
        <v>124.95132099999999</v>
      </c>
      <c r="KU89" s="339">
        <v>22.125</v>
      </c>
      <c r="KV89" s="339">
        <v>0.255</v>
      </c>
      <c r="KW89" s="334">
        <v>120.78</v>
      </c>
      <c r="KX89" s="334">
        <v>25.8125</v>
      </c>
      <c r="KY89" s="334">
        <v>0.255</v>
      </c>
      <c r="KZ89" s="334">
        <v>119.5</v>
      </c>
      <c r="LA89" s="334">
        <v>27</v>
      </c>
      <c r="LB89" s="334">
        <v>0.255</v>
      </c>
      <c r="LC89" s="334">
        <v>119.5</v>
      </c>
      <c r="LD89" s="334">
        <v>30.437999999999999</v>
      </c>
      <c r="LE89" s="334">
        <v>0.255</v>
      </c>
      <c r="LF89" s="334">
        <v>123.87</v>
      </c>
      <c r="LG89" s="334">
        <v>32.875</v>
      </c>
      <c r="LH89" s="334">
        <v>0.24</v>
      </c>
      <c r="LI89" s="334">
        <v>123.87</v>
      </c>
      <c r="LJ89" s="334">
        <v>28</v>
      </c>
      <c r="LK89" s="334">
        <v>0.24</v>
      </c>
      <c r="LL89" s="334">
        <v>125.5</v>
      </c>
      <c r="LM89" s="334">
        <v>24.718800000000002</v>
      </c>
      <c r="LN89" s="334">
        <v>0.24</v>
      </c>
      <c r="LO89" s="334">
        <v>125.496</v>
      </c>
      <c r="LP89" s="334">
        <v>24.718800000000002</v>
      </c>
      <c r="LQ89" s="334">
        <v>0.24</v>
      </c>
      <c r="LR89" s="334">
        <v>119.116</v>
      </c>
      <c r="LS89" s="334">
        <v>21.0625</v>
      </c>
      <c r="LT89" s="334">
        <v>0.22500000000000001</v>
      </c>
      <c r="LU89" s="334">
        <v>119.116</v>
      </c>
      <c r="LV89" s="334">
        <v>20.655999999999999</v>
      </c>
      <c r="LW89" s="334">
        <v>0.22500000000000001</v>
      </c>
      <c r="LX89" s="334">
        <v>122.122</v>
      </c>
      <c r="LY89" s="334">
        <v>19.625</v>
      </c>
      <c r="LZ89" s="334">
        <v>0.22500000000000001</v>
      </c>
      <c r="MA89" s="334">
        <v>122.122</v>
      </c>
      <c r="MB89" s="334">
        <v>19.812999999999999</v>
      </c>
      <c r="MC89" s="334">
        <v>0.22500000000000001</v>
      </c>
      <c r="MD89" s="334">
        <v>128.20599999999999</v>
      </c>
      <c r="ME89" s="334">
        <v>17.875</v>
      </c>
      <c r="MF89" s="334">
        <v>0.21</v>
      </c>
      <c r="MG89" s="334">
        <v>128.20599999999999</v>
      </c>
      <c r="MH89" s="334">
        <v>20.125</v>
      </c>
      <c r="MI89" s="334">
        <v>0.21</v>
      </c>
      <c r="MJ89" s="334">
        <v>128.20599999999999</v>
      </c>
      <c r="MK89" s="334">
        <v>18.625</v>
      </c>
      <c r="ML89" s="334">
        <v>0.21</v>
      </c>
      <c r="MM89" s="334">
        <v>128.20599999999999</v>
      </c>
      <c r="MN89" s="334">
        <v>19.125</v>
      </c>
      <c r="MO89" s="334">
        <v>0.21</v>
      </c>
      <c r="MP89" s="334">
        <v>128.20599999999999</v>
      </c>
      <c r="MQ89" s="334">
        <v>17.437999999999999</v>
      </c>
      <c r="MR89" s="334">
        <v>0.19500000000000001</v>
      </c>
      <c r="MS89" s="334">
        <v>128.20599999999999</v>
      </c>
      <c r="MT89" s="334">
        <v>17</v>
      </c>
      <c r="MU89" s="334">
        <v>0.19500000000000001</v>
      </c>
      <c r="MV89" s="334">
        <v>128.20599999999999</v>
      </c>
      <c r="MW89" s="334">
        <v>15.5625</v>
      </c>
      <c r="MX89" s="334">
        <v>0.19500000000000001</v>
      </c>
      <c r="MY89" s="334">
        <v>130.76400000000001</v>
      </c>
      <c r="MZ89" s="334">
        <v>14.875</v>
      </c>
      <c r="NA89" s="334">
        <v>0.19500000000000001</v>
      </c>
      <c r="NB89" s="334">
        <v>130.76400000000001</v>
      </c>
      <c r="NC89" s="334">
        <v>13.688000000000001</v>
      </c>
      <c r="ND89" s="334">
        <v>0.18</v>
      </c>
      <c r="NE89" s="334">
        <v>130.76400000000001</v>
      </c>
      <c r="NF89" s="334">
        <v>14.75</v>
      </c>
      <c r="NG89" s="334">
        <v>0.18</v>
      </c>
      <c r="NH89" s="334">
        <v>132.52799999999999</v>
      </c>
      <c r="NI89" s="334">
        <v>15.125</v>
      </c>
      <c r="NJ89" s="334">
        <v>0.18</v>
      </c>
      <c r="NK89" s="334">
        <v>132.52799999999999</v>
      </c>
      <c r="NL89" s="334">
        <v>16.4375</v>
      </c>
      <c r="NM89" s="334">
        <v>0.18</v>
      </c>
      <c r="NN89" s="334">
        <v>132.52799999999999</v>
      </c>
      <c r="NO89" s="334">
        <v>17</v>
      </c>
      <c r="NP89" s="334">
        <v>0.16500000000000001</v>
      </c>
      <c r="NQ89" s="334">
        <v>133.26400000000001</v>
      </c>
      <c r="NR89" s="334">
        <v>16.3125</v>
      </c>
      <c r="NS89" s="334">
        <v>0.16500000000000001</v>
      </c>
      <c r="NT89" s="334">
        <v>131.37</v>
      </c>
      <c r="NU89" s="334">
        <v>15.125</v>
      </c>
      <c r="NV89" s="334">
        <v>0.16500000000000001</v>
      </c>
      <c r="NW89" s="334">
        <v>133.672</v>
      </c>
      <c r="NX89" s="334">
        <v>13.25</v>
      </c>
      <c r="NY89" s="334">
        <v>0.16</v>
      </c>
      <c r="NZ89" s="334">
        <v>133.672</v>
      </c>
      <c r="OA89" s="334">
        <v>13.13</v>
      </c>
      <c r="OB89" s="334">
        <v>0.16</v>
      </c>
      <c r="OC89" s="334">
        <v>133.738</v>
      </c>
      <c r="OD89" s="334">
        <v>12.56</v>
      </c>
      <c r="OE89" s="334">
        <v>0.16</v>
      </c>
      <c r="OF89" s="334">
        <v>133.762</v>
      </c>
      <c r="OG89" s="334">
        <v>11.38</v>
      </c>
      <c r="OH89" s="334">
        <v>0.16</v>
      </c>
      <c r="OI89" s="334">
        <v>134.07</v>
      </c>
      <c r="OJ89" s="334">
        <v>12.88</v>
      </c>
      <c r="OK89" s="334">
        <v>0.15</v>
      </c>
      <c r="OL89" s="334">
        <v>134.28399999999999</v>
      </c>
      <c r="OM89" s="334">
        <v>12.25</v>
      </c>
      <c r="ON89" s="334">
        <v>0.15</v>
      </c>
      <c r="OO89" s="334">
        <v>134.52799999999999</v>
      </c>
      <c r="OP89" s="334">
        <v>10.25</v>
      </c>
      <c r="OQ89" s="334">
        <v>0.15</v>
      </c>
      <c r="OR89" s="334">
        <v>135.684</v>
      </c>
      <c r="OS89" s="334">
        <v>9.94</v>
      </c>
      <c r="OT89" s="334">
        <v>0.15</v>
      </c>
      <c r="OU89" s="334">
        <v>138.13999999999999</v>
      </c>
      <c r="OV89" s="334">
        <v>9.44</v>
      </c>
    </row>
    <row r="90" spans="1:412">
      <c r="B90" s="333" t="s">
        <v>265</v>
      </c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9"/>
      <c r="S90" s="339"/>
      <c r="T90" s="339"/>
      <c r="U90" s="339"/>
      <c r="V90" s="339"/>
      <c r="W90" s="339"/>
      <c r="X90" s="339"/>
      <c r="Y90" s="339"/>
      <c r="Z90" s="339"/>
      <c r="AA90" s="339"/>
      <c r="AB90" s="339"/>
      <c r="AC90" s="339"/>
      <c r="AD90" s="339"/>
      <c r="AE90" s="339"/>
      <c r="AF90" s="339"/>
      <c r="AG90" s="339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  <c r="AU90" s="339"/>
      <c r="AV90" s="339"/>
      <c r="AW90" s="339"/>
      <c r="AX90" s="339"/>
      <c r="AY90" s="504"/>
      <c r="AZ90" s="504"/>
      <c r="BA90" s="504"/>
      <c r="BB90" s="503"/>
      <c r="BC90" s="503"/>
      <c r="BD90" s="503"/>
      <c r="BE90" s="503"/>
      <c r="BF90" s="503"/>
      <c r="BG90" s="503"/>
      <c r="BH90" s="503"/>
      <c r="BI90" s="503"/>
      <c r="BJ90" s="503"/>
      <c r="BK90" s="503"/>
      <c r="BL90" s="503"/>
      <c r="BM90" s="503"/>
      <c r="BN90" s="503"/>
      <c r="BO90" s="503"/>
      <c r="BP90" s="503"/>
      <c r="BQ90" s="504"/>
      <c r="BR90" s="504"/>
      <c r="BS90" s="504"/>
      <c r="BT90" s="504"/>
      <c r="BU90" s="504"/>
      <c r="BV90" s="504"/>
      <c r="BW90" s="504"/>
      <c r="BX90" s="504"/>
      <c r="BY90" s="504"/>
      <c r="BZ90" s="503"/>
      <c r="CA90" s="503"/>
      <c r="CB90" s="503"/>
      <c r="CC90" s="503"/>
      <c r="CD90" s="503"/>
      <c r="CE90" s="503"/>
      <c r="CF90" s="503"/>
      <c r="CG90" s="503"/>
      <c r="CH90" s="503"/>
      <c r="CI90" s="503"/>
      <c r="CJ90" s="503"/>
      <c r="CK90" s="503"/>
      <c r="CL90" s="503"/>
      <c r="CM90" s="503"/>
      <c r="CN90" s="503"/>
      <c r="CO90" s="503"/>
      <c r="CP90" s="503"/>
      <c r="CQ90" s="503"/>
      <c r="CR90" s="504"/>
      <c r="CS90" s="504"/>
      <c r="CT90" s="504"/>
      <c r="CU90" s="503"/>
      <c r="CV90" s="503"/>
      <c r="CW90" s="503"/>
      <c r="CX90" s="339"/>
      <c r="CY90" s="339"/>
      <c r="CZ90" s="339"/>
      <c r="DA90" s="339"/>
      <c r="DB90" s="339"/>
      <c r="DC90" s="339"/>
      <c r="DD90" s="339"/>
      <c r="DE90" s="339"/>
      <c r="DF90" s="339"/>
      <c r="DG90" s="339"/>
      <c r="DH90" s="339"/>
      <c r="DI90" s="339"/>
      <c r="DJ90" s="339"/>
      <c r="DK90" s="339"/>
      <c r="DL90" s="339"/>
      <c r="DM90" s="339"/>
      <c r="DN90" s="339"/>
      <c r="DO90" s="339"/>
      <c r="DP90" s="339"/>
      <c r="DQ90" s="339"/>
      <c r="DR90" s="339"/>
      <c r="DS90" s="339"/>
      <c r="DT90" s="339"/>
      <c r="DU90" s="339"/>
      <c r="DV90" s="339"/>
      <c r="DW90" s="339"/>
      <c r="DX90" s="339"/>
      <c r="DY90" s="339"/>
      <c r="DZ90" s="339"/>
      <c r="EA90" s="339"/>
      <c r="EB90" s="340"/>
      <c r="EC90" s="340"/>
      <c r="ED90" s="340"/>
      <c r="EE90" s="339"/>
      <c r="EF90" s="339"/>
      <c r="EG90" s="339"/>
      <c r="EH90" s="339"/>
      <c r="EI90" s="339"/>
      <c r="EJ90" s="339"/>
      <c r="EK90" s="339"/>
      <c r="EL90" s="339"/>
      <c r="EM90" s="339"/>
      <c r="EN90" s="339"/>
      <c r="EO90" s="339"/>
      <c r="EP90" s="339"/>
      <c r="EQ90" s="339"/>
      <c r="ER90" s="339"/>
      <c r="ES90" s="339"/>
      <c r="ET90" s="339"/>
      <c r="EU90" s="339"/>
      <c r="EV90" s="339"/>
      <c r="EW90" s="339"/>
      <c r="EX90" s="339"/>
      <c r="EY90" s="339"/>
      <c r="EZ90" s="339"/>
      <c r="FA90" s="339"/>
      <c r="FB90" s="339"/>
      <c r="FC90" s="339"/>
      <c r="FD90" s="339"/>
      <c r="FE90" s="339"/>
      <c r="FF90" s="339"/>
      <c r="FG90" s="339"/>
      <c r="FH90" s="342"/>
      <c r="FI90" s="339"/>
      <c r="FJ90" s="339"/>
      <c r="FK90" s="339"/>
      <c r="FL90" s="339"/>
      <c r="FM90" s="339"/>
      <c r="FN90" s="339"/>
      <c r="FO90" s="339"/>
      <c r="FP90" s="339"/>
      <c r="FQ90" s="339"/>
      <c r="FR90" s="339"/>
      <c r="FS90" s="339"/>
      <c r="FT90" s="339"/>
      <c r="FU90" s="339"/>
      <c r="FV90" s="339"/>
      <c r="FW90" s="339"/>
      <c r="FX90" s="339"/>
      <c r="FY90" s="339"/>
      <c r="FZ90" s="339"/>
      <c r="GA90" s="339"/>
      <c r="GB90" s="339"/>
      <c r="GC90" s="339"/>
      <c r="GD90" s="339"/>
      <c r="GE90" s="339"/>
      <c r="GF90" s="339"/>
      <c r="GG90" s="339"/>
      <c r="GH90" s="339"/>
      <c r="GI90" s="339"/>
      <c r="GJ90" s="339"/>
      <c r="GK90" s="339"/>
      <c r="GL90" s="339"/>
      <c r="GM90" s="339"/>
      <c r="GN90" s="339"/>
      <c r="GO90" s="339"/>
      <c r="GP90" s="339"/>
      <c r="GQ90" s="339"/>
      <c r="GR90" s="339"/>
      <c r="GS90" s="339">
        <v>157.09</v>
      </c>
      <c r="GT90" s="339">
        <v>24.72</v>
      </c>
      <c r="GU90" s="339">
        <v>0.31</v>
      </c>
      <c r="GV90" s="339">
        <v>154.80099999999999</v>
      </c>
      <c r="GW90" s="339">
        <v>24.12</v>
      </c>
      <c r="GX90" s="339">
        <v>0.31</v>
      </c>
      <c r="GY90" s="339">
        <v>157.221</v>
      </c>
      <c r="GZ90" s="339">
        <v>27.21</v>
      </c>
      <c r="HA90" s="339">
        <v>0.31</v>
      </c>
      <c r="HB90" s="339">
        <v>157.11199999999999</v>
      </c>
      <c r="HC90" s="339">
        <v>27.05</v>
      </c>
      <c r="HD90" s="339">
        <v>0.3</v>
      </c>
      <c r="HE90" s="339">
        <v>147.517</v>
      </c>
      <c r="HF90" s="339">
        <v>26.09</v>
      </c>
      <c r="HG90" s="339">
        <v>0.3</v>
      </c>
      <c r="HH90" s="339">
        <v>146.96199999999999</v>
      </c>
      <c r="HI90" s="505">
        <v>24.36</v>
      </c>
      <c r="HJ90" s="339">
        <v>0.3</v>
      </c>
      <c r="HK90" s="339">
        <v>146.90299999999999</v>
      </c>
      <c r="HL90" s="339">
        <v>24.8</v>
      </c>
      <c r="HM90" s="512">
        <v>0.3</v>
      </c>
      <c r="HN90" s="339">
        <v>146.90299999999999</v>
      </c>
      <c r="HO90" s="339">
        <v>23.72</v>
      </c>
      <c r="HP90" s="339">
        <v>0.28999999999999998</v>
      </c>
      <c r="HQ90" s="339">
        <v>147.03399999999999</v>
      </c>
      <c r="HR90" s="339">
        <v>23.93</v>
      </c>
      <c r="HS90" s="339">
        <v>0.28999999999999998</v>
      </c>
      <c r="HT90" s="339">
        <v>147.125</v>
      </c>
      <c r="HU90" s="339">
        <v>24.3</v>
      </c>
      <c r="HV90" s="339">
        <v>0.28999999999999998</v>
      </c>
      <c r="HW90" s="339">
        <v>147.00800000000001</v>
      </c>
      <c r="HX90" s="506">
        <v>22.8</v>
      </c>
      <c r="HY90" s="513">
        <f>1.16/4</f>
        <v>0.28999999999999998</v>
      </c>
      <c r="HZ90" s="339">
        <v>146.83099999999999</v>
      </c>
      <c r="IA90" s="339">
        <v>25.19</v>
      </c>
      <c r="IB90" s="339">
        <v>0.27500000000000002</v>
      </c>
      <c r="IC90" s="339">
        <v>146.875</v>
      </c>
      <c r="ID90" s="339">
        <v>28.98</v>
      </c>
      <c r="IE90" s="339">
        <v>0.27500000000000002</v>
      </c>
      <c r="IF90" s="339">
        <v>146.38499999999999</v>
      </c>
      <c r="IG90" s="339">
        <v>26.22</v>
      </c>
      <c r="IH90" s="339">
        <v>0.27500000000000002</v>
      </c>
      <c r="II90" s="339">
        <v>146.38499999999999</v>
      </c>
      <c r="IJ90" s="505">
        <v>26.68</v>
      </c>
      <c r="IK90" s="339">
        <v>0.27500000000000002</v>
      </c>
      <c r="IL90" s="339">
        <v>146.148</v>
      </c>
      <c r="IM90" s="339">
        <v>25.18</v>
      </c>
      <c r="IN90" s="339">
        <v>0.26</v>
      </c>
      <c r="IO90" s="339">
        <v>146.08500000000001</v>
      </c>
      <c r="IP90" s="339">
        <v>24.25</v>
      </c>
      <c r="IQ90" s="339">
        <v>0.26</v>
      </c>
      <c r="IR90" s="339">
        <v>145.93600000000001</v>
      </c>
      <c r="IS90" s="339">
        <v>25.36</v>
      </c>
      <c r="IT90" s="339">
        <v>0.26</v>
      </c>
      <c r="IU90" s="339">
        <v>145.684</v>
      </c>
      <c r="IV90" s="339">
        <v>22.4</v>
      </c>
      <c r="IW90" s="339">
        <v>0.25</v>
      </c>
      <c r="IX90" s="339">
        <v>145.41499999999999</v>
      </c>
      <c r="IY90" s="339">
        <v>22.43</v>
      </c>
      <c r="IZ90" s="339">
        <v>0.25</v>
      </c>
      <c r="JA90" s="339">
        <v>145.096</v>
      </c>
      <c r="JB90" s="339">
        <v>20.76</v>
      </c>
      <c r="JC90" s="339">
        <v>0.25</v>
      </c>
      <c r="JD90" s="339">
        <v>144.84899999999999</v>
      </c>
      <c r="JE90" s="339">
        <v>17.8</v>
      </c>
      <c r="JF90" s="339">
        <v>0.25</v>
      </c>
      <c r="JG90" s="339">
        <v>144.62100000000001</v>
      </c>
      <c r="JH90" s="339">
        <v>22.09</v>
      </c>
      <c r="JI90" s="339">
        <v>0.24</v>
      </c>
      <c r="JJ90" s="339">
        <v>117.82</v>
      </c>
      <c r="JK90" s="339">
        <v>19.809999999999999</v>
      </c>
      <c r="JL90" s="339">
        <v>0.24</v>
      </c>
      <c r="JM90" s="339">
        <v>116.72</v>
      </c>
      <c r="JN90" s="339">
        <v>22.6</v>
      </c>
      <c r="JO90" s="339">
        <v>0.24</v>
      </c>
      <c r="JP90" s="339">
        <v>116.623</v>
      </c>
      <c r="JQ90" s="339">
        <v>21.75</v>
      </c>
      <c r="JR90" s="339">
        <v>0.24</v>
      </c>
      <c r="JS90" s="339">
        <v>116.43600000000001</v>
      </c>
      <c r="JT90" s="339">
        <v>18.989999999999998</v>
      </c>
      <c r="JU90" s="339">
        <v>0.23</v>
      </c>
      <c r="JV90" s="339">
        <v>116.399</v>
      </c>
      <c r="JW90" s="339">
        <v>20.11</v>
      </c>
      <c r="JX90" s="339">
        <v>0.23</v>
      </c>
      <c r="JY90" s="339">
        <v>117.386</v>
      </c>
      <c r="JZ90" s="339">
        <v>20.91</v>
      </c>
      <c r="KA90" s="339">
        <v>0.23</v>
      </c>
      <c r="KB90" s="339">
        <v>117.95</v>
      </c>
      <c r="KC90" s="339">
        <v>17.350000000000001</v>
      </c>
      <c r="KD90" s="339">
        <v>0.23</v>
      </c>
      <c r="KE90" s="339">
        <v>112.812</v>
      </c>
      <c r="KF90" s="339">
        <v>19.6875</v>
      </c>
      <c r="KG90" s="339">
        <v>0.22</v>
      </c>
      <c r="KH90" s="339">
        <v>113.39700000000001</v>
      </c>
      <c r="KI90" s="339">
        <v>22.625</v>
      </c>
      <c r="KJ90" s="339">
        <v>0.22</v>
      </c>
      <c r="KK90" s="339">
        <v>112.777</v>
      </c>
      <c r="KL90" s="339">
        <v>19.0625</v>
      </c>
      <c r="KM90" s="339">
        <v>0.22</v>
      </c>
      <c r="KN90" s="339">
        <v>111.64700000000001</v>
      </c>
      <c r="KO90" s="339">
        <v>19.8125</v>
      </c>
      <c r="KP90" s="339">
        <v>0.22</v>
      </c>
      <c r="KQ90" s="339">
        <v>129</v>
      </c>
      <c r="KR90" s="339">
        <v>20.8125</v>
      </c>
      <c r="KS90" s="339">
        <v>0.21</v>
      </c>
      <c r="KT90" s="339">
        <v>129</v>
      </c>
      <c r="KU90" s="339">
        <v>23.75</v>
      </c>
      <c r="KV90" s="339">
        <v>0.21</v>
      </c>
      <c r="KW90" s="334">
        <v>122.94</v>
      </c>
      <c r="KX90" s="334">
        <v>26</v>
      </c>
      <c r="KY90" s="334">
        <v>0.21</v>
      </c>
      <c r="KZ90" s="334">
        <f>63.67*2</f>
        <v>127.34</v>
      </c>
      <c r="LA90" s="334">
        <f>52.5625/2</f>
        <v>26.28125</v>
      </c>
      <c r="LB90" s="334">
        <f>0.42/2</f>
        <v>0.21</v>
      </c>
      <c r="LC90" s="334">
        <f>63.67*2</f>
        <v>127.34</v>
      </c>
      <c r="LD90" s="334">
        <f>56.5/2</f>
        <v>28.25</v>
      </c>
      <c r="LE90" s="334">
        <f>0.4/2</f>
        <v>0.2</v>
      </c>
      <c r="LF90" s="334">
        <f>66.41*2</f>
        <v>132.82</v>
      </c>
      <c r="LG90" s="334">
        <f>51/2</f>
        <v>25.5</v>
      </c>
      <c r="LH90" s="334">
        <f>0.4/2</f>
        <v>0.2</v>
      </c>
      <c r="LI90" s="334">
        <f>66.41*2</f>
        <v>132.82</v>
      </c>
      <c r="LJ90" s="334">
        <f>41.625/2</f>
        <v>20.8125</v>
      </c>
      <c r="LK90" s="334">
        <f>0.4/2</f>
        <v>0.2</v>
      </c>
      <c r="LL90" s="334">
        <f>67.5*2</f>
        <v>135</v>
      </c>
      <c r="LM90" s="334">
        <f>39.875/2</f>
        <v>19.9375</v>
      </c>
      <c r="LN90" s="334">
        <f>0.35/2</f>
        <v>0.17499999999999999</v>
      </c>
      <c r="LO90" s="334">
        <f>67.503*2</f>
        <v>135.006</v>
      </c>
      <c r="LP90" s="334">
        <f>35.5/2</f>
        <v>17.75</v>
      </c>
      <c r="LQ90" s="334">
        <f>0.35/2</f>
        <v>0.17499999999999999</v>
      </c>
      <c r="LR90" s="334">
        <f>69.353*2</f>
        <v>138.70599999999999</v>
      </c>
      <c r="LS90" s="334">
        <f>26.875/2</f>
        <v>13.4375</v>
      </c>
      <c r="LT90" s="334">
        <f>0.35/2</f>
        <v>0.17499999999999999</v>
      </c>
      <c r="LU90" s="334">
        <f>138.706*2/2</f>
        <v>138.70599999999999</v>
      </c>
      <c r="LV90" s="334">
        <f>20.875/2</f>
        <v>10.4375</v>
      </c>
      <c r="LW90" s="334">
        <f>0.35/2</f>
        <v>0.17499999999999999</v>
      </c>
      <c r="LX90" s="334">
        <f>70.369*2</f>
        <v>140.738</v>
      </c>
      <c r="LY90" s="334">
        <f>21.5/2</f>
        <v>10.75</v>
      </c>
      <c r="LZ90" s="334">
        <f>0.35/2</f>
        <v>0.17499999999999999</v>
      </c>
      <c r="MA90" s="334">
        <f>70.369*2</f>
        <v>140.738</v>
      </c>
      <c r="MB90" s="334">
        <f>21.625/2</f>
        <v>10.8125</v>
      </c>
      <c r="MC90" s="334">
        <f>0.35/2</f>
        <v>0.17499999999999999</v>
      </c>
      <c r="MD90" s="334">
        <f>70.369*2</f>
        <v>140.738</v>
      </c>
      <c r="ME90" s="334">
        <f>22/2</f>
        <v>11</v>
      </c>
      <c r="MF90" s="334">
        <f>0.35/2</f>
        <v>0.17499999999999999</v>
      </c>
      <c r="MG90" s="334">
        <f>70.369*2</f>
        <v>140.738</v>
      </c>
      <c r="MH90" s="334">
        <f>24.5/2</f>
        <v>12.25</v>
      </c>
      <c r="MI90" s="334">
        <f>0.35/2</f>
        <v>0.17499999999999999</v>
      </c>
      <c r="MJ90" s="334">
        <f>70.369*2</f>
        <v>140.738</v>
      </c>
      <c r="MK90" s="334">
        <f>23.5/2</f>
        <v>11.75</v>
      </c>
      <c r="ML90" s="334">
        <f>0.35/2</f>
        <v>0.17499999999999999</v>
      </c>
      <c r="MM90" s="334">
        <f>70.369*2</f>
        <v>140.738</v>
      </c>
      <c r="MN90" s="334">
        <f>25.875/2</f>
        <v>12.9375</v>
      </c>
      <c r="MO90" s="334">
        <f>0.35/2</f>
        <v>0.17499999999999999</v>
      </c>
      <c r="MP90" s="334">
        <f>70.369*2</f>
        <v>140.738</v>
      </c>
      <c r="MQ90" s="334">
        <f>26.25/2</f>
        <v>13.125</v>
      </c>
      <c r="MR90" s="334">
        <f>0.35/2</f>
        <v>0.17499999999999999</v>
      </c>
      <c r="MS90" s="334">
        <f>70.369*2</f>
        <v>140.738</v>
      </c>
      <c r="MT90" s="334">
        <f>23.375/2</f>
        <v>11.6875</v>
      </c>
      <c r="MU90" s="334">
        <f>0.35/2</f>
        <v>0.17499999999999999</v>
      </c>
      <c r="MV90" s="334">
        <f>70.369*2</f>
        <v>140.738</v>
      </c>
      <c r="MW90" s="334">
        <f>21.375/2</f>
        <v>10.6875</v>
      </c>
      <c r="MX90" s="334">
        <f>0.35/2</f>
        <v>0.17499999999999999</v>
      </c>
      <c r="MY90" s="334">
        <f>70.369*2</f>
        <v>140.738</v>
      </c>
      <c r="MZ90" s="334">
        <f>19/2</f>
        <v>9.5</v>
      </c>
      <c r="NA90" s="334">
        <f>0.35/2</f>
        <v>0.17499999999999999</v>
      </c>
      <c r="NB90" s="334">
        <f>70.369*2</f>
        <v>140.738</v>
      </c>
      <c r="NC90" s="334">
        <f>18.625/2</f>
        <v>9.3125</v>
      </c>
      <c r="ND90" s="334">
        <f>0.55/2</f>
        <v>0.27500000000000002</v>
      </c>
      <c r="NE90" s="334">
        <f>70.369*2</f>
        <v>140.738</v>
      </c>
      <c r="NF90" s="334">
        <f>23.75/2</f>
        <v>11.875</v>
      </c>
      <c r="NG90" s="334">
        <f>0.55/2</f>
        <v>0.27500000000000002</v>
      </c>
      <c r="NH90" s="334">
        <f>70.119*2</f>
        <v>140.238</v>
      </c>
      <c r="NI90" s="334">
        <f>26.75/2</f>
        <v>13.375</v>
      </c>
      <c r="NJ90" s="334">
        <f>0.55/2</f>
        <v>0.27500000000000002</v>
      </c>
      <c r="NK90" s="334">
        <f>70.119*2</f>
        <v>140.238</v>
      </c>
      <c r="NL90" s="334">
        <f>30.75/2</f>
        <v>15.375</v>
      </c>
      <c r="NM90" s="334">
        <f>0.55/2</f>
        <v>0.27500000000000002</v>
      </c>
      <c r="NN90" s="334">
        <f>70.119*2</f>
        <v>140.238</v>
      </c>
      <c r="NO90" s="334">
        <f>34.875/2</f>
        <v>17.4375</v>
      </c>
      <c r="NP90" s="334">
        <f>0.55/2</f>
        <v>0.27500000000000002</v>
      </c>
      <c r="NQ90" s="334">
        <f>69.836*2</f>
        <v>139.672</v>
      </c>
      <c r="NR90" s="334">
        <f>35.25/2</f>
        <v>17.625</v>
      </c>
      <c r="NS90" s="334">
        <f>0.54/2</f>
        <v>0.27</v>
      </c>
      <c r="NT90" s="334">
        <f>69.561*2</f>
        <v>139.12200000000001</v>
      </c>
      <c r="NU90" s="334">
        <f>34.875/2</f>
        <v>17.4375</v>
      </c>
      <c r="NV90" s="334">
        <f>0.54/2</f>
        <v>0.27</v>
      </c>
      <c r="NW90" s="334">
        <f>67.52*2</f>
        <v>135.04</v>
      </c>
      <c r="NX90" s="334">
        <f>32.5/2</f>
        <v>16.25</v>
      </c>
      <c r="NY90" s="334">
        <f>0.54/2</f>
        <v>0.27</v>
      </c>
      <c r="NZ90" s="334">
        <f>67.52*2</f>
        <v>135.04</v>
      </c>
      <c r="OA90" s="334">
        <f>31.63/2</f>
        <v>15.815</v>
      </c>
      <c r="OB90" s="334">
        <f>0.54/2</f>
        <v>0.27</v>
      </c>
      <c r="OC90" s="334">
        <f>66.741*2</f>
        <v>133.482</v>
      </c>
      <c r="OD90" s="334">
        <f>29.38/2</f>
        <v>14.69</v>
      </c>
      <c r="OE90" s="334">
        <f>0.53/2</f>
        <v>0.26500000000000001</v>
      </c>
      <c r="OF90" s="334">
        <f>64.682*2</f>
        <v>129.364</v>
      </c>
      <c r="OG90" s="334">
        <f>27.38/2</f>
        <v>13.69</v>
      </c>
      <c r="OH90" s="334">
        <f>0.53/2</f>
        <v>0.26500000000000001</v>
      </c>
      <c r="OI90" s="334">
        <f>62.906*2</f>
        <v>125.812</v>
      </c>
      <c r="OJ90" s="334">
        <f>29/2</f>
        <v>14.5</v>
      </c>
      <c r="OK90" s="334">
        <f>0.53/2</f>
        <v>0.26500000000000001</v>
      </c>
      <c r="OL90" s="334">
        <f>62.782*2</f>
        <v>125.56399999999999</v>
      </c>
      <c r="OM90" s="334">
        <f>27.5/2</f>
        <v>13.75</v>
      </c>
      <c r="ON90" s="334">
        <f>0.53/2</f>
        <v>0.26500000000000001</v>
      </c>
      <c r="OO90" s="334">
        <f>62.659*2</f>
        <v>125.318</v>
      </c>
      <c r="OP90" s="334">
        <f>24.63/2</f>
        <v>12.315</v>
      </c>
      <c r="OQ90" s="334">
        <f>0.52/2</f>
        <v>0.26</v>
      </c>
      <c r="OR90" s="334">
        <f>62.542*2</f>
        <v>125.084</v>
      </c>
      <c r="OS90" s="334">
        <f>26.13/2</f>
        <v>13.065</v>
      </c>
      <c r="OT90" s="334">
        <f>0.52/2</f>
        <v>0.26</v>
      </c>
      <c r="OU90" s="334">
        <f>58.678*2</f>
        <v>117.35599999999999</v>
      </c>
      <c r="OV90" s="334">
        <f>26/2</f>
        <v>13</v>
      </c>
    </row>
    <row r="91" spans="1:412" ht="13.5" thickBot="1">
      <c r="B91" s="333" t="s">
        <v>266</v>
      </c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39"/>
      <c r="AF91" s="339"/>
      <c r="AG91" s="339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503"/>
      <c r="AZ91" s="503"/>
      <c r="BA91" s="503"/>
      <c r="BB91" s="503"/>
      <c r="BC91" s="503"/>
      <c r="BD91" s="503"/>
      <c r="BE91" s="503"/>
      <c r="BF91" s="503"/>
      <c r="BG91" s="503"/>
      <c r="BH91" s="503"/>
      <c r="BI91" s="503"/>
      <c r="BJ91" s="503"/>
      <c r="BK91" s="503"/>
      <c r="BL91" s="503"/>
      <c r="BM91" s="503"/>
      <c r="BN91" s="503"/>
      <c r="BO91" s="503"/>
      <c r="BP91" s="503"/>
      <c r="BQ91" s="504"/>
      <c r="BR91" s="504"/>
      <c r="BS91" s="504"/>
      <c r="BT91" s="504"/>
      <c r="BU91" s="504"/>
      <c r="BV91" s="504"/>
      <c r="BW91" s="504"/>
      <c r="BX91" s="504"/>
      <c r="BY91" s="504"/>
      <c r="BZ91" s="503"/>
      <c r="CA91" s="503"/>
      <c r="CB91" s="503"/>
      <c r="CC91" s="503"/>
      <c r="CD91" s="503"/>
      <c r="CE91" s="503"/>
      <c r="CF91" s="503"/>
      <c r="CG91" s="503"/>
      <c r="CH91" s="503"/>
      <c r="CI91" s="503"/>
      <c r="CJ91" s="503"/>
      <c r="CK91" s="503"/>
      <c r="CL91" s="503"/>
      <c r="CM91" s="503"/>
      <c r="CN91" s="503"/>
      <c r="CO91" s="503"/>
      <c r="CP91" s="503"/>
      <c r="CQ91" s="503"/>
      <c r="CR91" s="504"/>
      <c r="CS91" s="504"/>
      <c r="CT91" s="504"/>
      <c r="CU91" s="503"/>
      <c r="CV91" s="503"/>
      <c r="CW91" s="503"/>
      <c r="CX91" s="339"/>
      <c r="CY91" s="339"/>
      <c r="CZ91" s="339"/>
      <c r="DA91" s="339"/>
      <c r="DB91" s="339"/>
      <c r="DC91" s="339"/>
      <c r="DD91" s="339"/>
      <c r="DE91" s="339"/>
      <c r="DF91" s="339"/>
      <c r="DG91" s="339"/>
      <c r="DH91" s="339"/>
      <c r="DI91" s="339"/>
      <c r="DJ91" s="339"/>
      <c r="DK91" s="339"/>
      <c r="DL91" s="339"/>
      <c r="DM91" s="339"/>
      <c r="DN91" s="339"/>
      <c r="DO91" s="339"/>
      <c r="DP91" s="339"/>
      <c r="DQ91" s="339"/>
      <c r="DR91" s="339"/>
      <c r="DS91" s="339"/>
      <c r="DT91" s="339"/>
      <c r="DU91" s="339"/>
      <c r="DV91" s="339"/>
      <c r="DW91" s="339"/>
      <c r="DX91" s="339"/>
      <c r="DY91" s="339"/>
      <c r="DZ91" s="339"/>
      <c r="EA91" s="339"/>
      <c r="EB91" s="340"/>
      <c r="EC91" s="340"/>
      <c r="ED91" s="340"/>
      <c r="EE91" s="339"/>
      <c r="EF91" s="339"/>
      <c r="EG91" s="339"/>
      <c r="EH91" s="339"/>
      <c r="EI91" s="339"/>
      <c r="EJ91" s="339"/>
      <c r="EK91" s="339"/>
      <c r="EL91" s="339"/>
      <c r="EM91" s="339"/>
      <c r="EN91" s="339"/>
      <c r="EO91" s="339"/>
      <c r="EP91" s="339"/>
      <c r="EQ91" s="339"/>
      <c r="ER91" s="339"/>
      <c r="ES91" s="339"/>
      <c r="ET91" s="339"/>
      <c r="EU91" s="339"/>
      <c r="EV91" s="339"/>
      <c r="EW91" s="339"/>
      <c r="EX91" s="339"/>
      <c r="EY91" s="339"/>
      <c r="EZ91" s="339"/>
      <c r="FA91" s="339"/>
      <c r="FB91" s="339"/>
      <c r="FC91" s="339"/>
      <c r="FD91" s="339"/>
      <c r="FE91" s="339"/>
      <c r="FF91" s="339"/>
      <c r="FG91" s="339"/>
      <c r="FH91" s="342"/>
      <c r="FI91" s="339"/>
      <c r="FJ91" s="339"/>
      <c r="FK91" s="339"/>
      <c r="FL91" s="339"/>
      <c r="FM91" s="339"/>
      <c r="FN91" s="339"/>
      <c r="FO91" s="339"/>
      <c r="FP91" s="339"/>
      <c r="FQ91" s="339"/>
      <c r="FR91" s="339"/>
      <c r="FS91" s="339"/>
      <c r="FT91" s="339"/>
      <c r="FU91" s="339"/>
      <c r="FV91" s="339"/>
      <c r="FW91" s="339"/>
      <c r="FX91" s="339"/>
      <c r="FY91" s="339"/>
      <c r="FZ91" s="339"/>
      <c r="GA91" s="339"/>
      <c r="GB91" s="339"/>
      <c r="GC91" s="339"/>
      <c r="GD91" s="339"/>
      <c r="GE91" s="339"/>
      <c r="GF91" s="339"/>
      <c r="GG91" s="339"/>
      <c r="GH91" s="339"/>
      <c r="GI91" s="339"/>
      <c r="GJ91" s="339"/>
      <c r="GK91" s="339"/>
      <c r="GL91" s="339"/>
      <c r="GM91" s="339"/>
      <c r="GN91" s="339"/>
      <c r="GO91" s="339"/>
      <c r="GP91" s="339"/>
      <c r="GQ91" s="339"/>
      <c r="GR91" s="339"/>
      <c r="GS91" s="339"/>
      <c r="GT91" s="339"/>
      <c r="GU91" s="339"/>
      <c r="GV91" s="339"/>
      <c r="GW91" s="339"/>
      <c r="GX91" s="339"/>
      <c r="GY91" s="339"/>
      <c r="GZ91" s="339"/>
      <c r="HA91" s="339"/>
      <c r="HB91" s="339"/>
      <c r="HC91" s="339"/>
      <c r="HD91" s="339"/>
      <c r="HE91" s="339"/>
      <c r="HF91" s="339"/>
      <c r="HG91" s="339"/>
      <c r="HH91" s="339"/>
      <c r="HI91" s="505"/>
      <c r="HJ91" s="339"/>
      <c r="HK91" s="339"/>
      <c r="HL91" s="339"/>
      <c r="HM91" s="339"/>
      <c r="HN91" s="339"/>
      <c r="HO91" s="339"/>
      <c r="HP91" s="339"/>
      <c r="HQ91" s="339"/>
      <c r="HR91" s="339"/>
      <c r="HS91" s="339"/>
      <c r="HT91" s="339"/>
      <c r="HU91" s="339"/>
      <c r="HV91" s="339"/>
      <c r="HW91" s="339"/>
      <c r="HX91" s="506"/>
      <c r="HY91" s="513"/>
      <c r="HZ91" s="339"/>
      <c r="IA91" s="339"/>
      <c r="IB91" s="339"/>
      <c r="IC91" s="339"/>
      <c r="ID91" s="339"/>
      <c r="IE91" s="339"/>
      <c r="IF91" s="339"/>
      <c r="IG91" s="339"/>
      <c r="IH91" s="339"/>
      <c r="II91" s="339"/>
      <c r="IJ91" s="505"/>
      <c r="IK91" s="339"/>
      <c r="IL91" s="339"/>
      <c r="IM91" s="339"/>
      <c r="IN91" s="339"/>
      <c r="IO91" s="339"/>
      <c r="IP91" s="339"/>
      <c r="IQ91" s="339"/>
      <c r="IR91" s="339"/>
      <c r="IS91" s="339"/>
      <c r="IT91" s="339"/>
      <c r="IU91" s="339"/>
      <c r="IV91" s="339"/>
      <c r="IW91" s="339"/>
      <c r="IX91" s="339"/>
      <c r="IY91" s="339"/>
      <c r="IZ91" s="342"/>
      <c r="JA91" s="339"/>
      <c r="JB91" s="339"/>
      <c r="JC91" s="339"/>
      <c r="JD91" s="339"/>
      <c r="JE91" s="339"/>
      <c r="JF91" s="339"/>
      <c r="JG91" s="339"/>
      <c r="JH91" s="339"/>
      <c r="JI91" s="339"/>
      <c r="JJ91" s="339"/>
      <c r="JK91" s="339"/>
      <c r="JL91" s="339"/>
      <c r="JM91" s="339"/>
      <c r="JN91" s="339"/>
      <c r="JO91" s="339"/>
      <c r="JP91" s="339"/>
      <c r="JQ91" s="339"/>
      <c r="JR91" s="339"/>
      <c r="JS91" s="339">
        <v>160.24</v>
      </c>
      <c r="JT91" s="339">
        <v>17.73</v>
      </c>
      <c r="JU91" s="339">
        <v>0</v>
      </c>
      <c r="JV91" s="339">
        <v>160.24</v>
      </c>
      <c r="JW91" s="339">
        <v>16.97</v>
      </c>
      <c r="JX91" s="339">
        <v>0</v>
      </c>
      <c r="JY91" s="339">
        <v>160.24</v>
      </c>
      <c r="JZ91" s="339">
        <v>17.690000000000001</v>
      </c>
      <c r="KA91" s="339">
        <v>0</v>
      </c>
      <c r="KB91" s="339">
        <v>160.24</v>
      </c>
      <c r="KC91" s="339">
        <v>16.899999999999999</v>
      </c>
      <c r="KD91" s="339">
        <v>0</v>
      </c>
      <c r="KE91" s="339">
        <v>161.001</v>
      </c>
      <c r="KF91" s="339">
        <v>16.6875</v>
      </c>
      <c r="KG91" s="339">
        <v>0</v>
      </c>
      <c r="KH91" s="339">
        <v>171.08799999999999</v>
      </c>
      <c r="KI91" s="339">
        <v>15.75</v>
      </c>
      <c r="KJ91" s="339">
        <v>0</v>
      </c>
      <c r="KK91" s="339">
        <v>177.352</v>
      </c>
      <c r="KL91" s="339">
        <v>13.9375</v>
      </c>
      <c r="KM91" s="339">
        <v>0</v>
      </c>
      <c r="KN91" s="339">
        <v>184.684</v>
      </c>
      <c r="KO91" s="339">
        <v>13.5</v>
      </c>
      <c r="KP91" s="339">
        <v>0</v>
      </c>
      <c r="KQ91" s="339">
        <v>187.36500000000001</v>
      </c>
      <c r="KR91" s="339">
        <v>13.9375</v>
      </c>
      <c r="KS91" s="339">
        <v>0</v>
      </c>
      <c r="KT91" s="339">
        <v>187.36500000000001</v>
      </c>
      <c r="KU91" s="339">
        <v>15.5625</v>
      </c>
      <c r="KV91" s="339">
        <v>0</v>
      </c>
      <c r="KW91" s="334">
        <v>187.36</v>
      </c>
      <c r="KX91" s="334">
        <v>16.0625</v>
      </c>
      <c r="KY91" s="334">
        <v>0</v>
      </c>
      <c r="KZ91" s="334">
        <v>187.34</v>
      </c>
      <c r="LA91" s="334">
        <v>13.4375</v>
      </c>
      <c r="LB91" s="334">
        <v>0</v>
      </c>
      <c r="LC91" s="334">
        <v>187.34</v>
      </c>
      <c r="LD91" s="334">
        <v>16.125</v>
      </c>
      <c r="LE91" s="334">
        <v>0</v>
      </c>
      <c r="LF91" s="334">
        <v>144.41999999999999</v>
      </c>
      <c r="LG91" s="334">
        <v>15.375</v>
      </c>
      <c r="LH91" s="334">
        <v>0</v>
      </c>
      <c r="LI91" s="334">
        <v>144.41999999999999</v>
      </c>
      <c r="LJ91" s="334">
        <v>14.938000000000001</v>
      </c>
      <c r="LK91" s="334">
        <v>0</v>
      </c>
      <c r="LL91" s="334">
        <v>144.41999999999999</v>
      </c>
      <c r="LM91" s="334">
        <v>13</v>
      </c>
      <c r="LN91" s="334">
        <v>0</v>
      </c>
      <c r="LO91" s="334">
        <v>144.417</v>
      </c>
      <c r="LP91" s="334">
        <v>10.5</v>
      </c>
      <c r="LQ91" s="334">
        <v>0</v>
      </c>
      <c r="LR91" s="334">
        <v>144.38900000000001</v>
      </c>
      <c r="LS91" s="334">
        <v>9.5625</v>
      </c>
      <c r="LT91" s="334">
        <v>0</v>
      </c>
      <c r="LU91" s="334">
        <v>144.38900000000001</v>
      </c>
      <c r="LV91" s="334">
        <v>8.5630000000000006</v>
      </c>
      <c r="LW91" s="334">
        <v>0</v>
      </c>
      <c r="LX91" s="334">
        <v>144.32400000000001</v>
      </c>
      <c r="LY91" s="334">
        <v>8.5</v>
      </c>
      <c r="LZ91" s="334">
        <v>0</v>
      </c>
      <c r="MA91" s="334">
        <v>144.32400000000001</v>
      </c>
      <c r="MB91" s="334">
        <v>9.875</v>
      </c>
      <c r="MC91" s="334">
        <v>0</v>
      </c>
      <c r="MD91" s="334">
        <v>144.32400000000001</v>
      </c>
      <c r="ME91" s="334">
        <v>8</v>
      </c>
      <c r="MF91" s="334">
        <v>0</v>
      </c>
      <c r="MG91" s="334">
        <v>144.32400000000001</v>
      </c>
      <c r="MH91" s="334">
        <v>7.75</v>
      </c>
      <c r="MI91" s="334">
        <v>0</v>
      </c>
      <c r="MJ91" s="334">
        <v>144.32400000000001</v>
      </c>
      <c r="MK91" s="334">
        <v>6.625</v>
      </c>
      <c r="ML91" s="334">
        <v>0</v>
      </c>
      <c r="MM91" s="334">
        <v>144.32400000000001</v>
      </c>
      <c r="MN91" s="334">
        <v>9.5</v>
      </c>
      <c r="MO91" s="334">
        <v>0.28000000000000003</v>
      </c>
      <c r="MP91" s="334">
        <v>144.32400000000001</v>
      </c>
      <c r="MQ91" s="334">
        <v>13.125</v>
      </c>
      <c r="MR91" s="334">
        <v>0.28000000000000003</v>
      </c>
      <c r="MS91" s="334">
        <v>144.32400000000001</v>
      </c>
      <c r="MT91" s="334">
        <v>14.625</v>
      </c>
      <c r="MU91" s="334">
        <v>0.28000000000000003</v>
      </c>
      <c r="MV91" s="334">
        <v>144.32400000000001</v>
      </c>
      <c r="MW91" s="334">
        <v>13.75</v>
      </c>
      <c r="MX91" s="334">
        <v>0.28000000000000003</v>
      </c>
      <c r="MY91" s="334">
        <v>142.405</v>
      </c>
      <c r="MZ91" s="334">
        <v>14.25</v>
      </c>
      <c r="NA91" s="334">
        <v>0.28000000000000003</v>
      </c>
      <c r="NB91" s="334">
        <v>142.405</v>
      </c>
      <c r="NC91" s="334">
        <v>13.375</v>
      </c>
      <c r="ND91" s="334">
        <v>0.28000000000000003</v>
      </c>
      <c r="NE91" s="334">
        <v>142.405</v>
      </c>
      <c r="NF91" s="334">
        <v>15.125</v>
      </c>
      <c r="NG91" s="334">
        <v>0.28000000000000003</v>
      </c>
      <c r="NH91" s="334">
        <v>142.012</v>
      </c>
      <c r="NI91" s="334">
        <v>17.875</v>
      </c>
      <c r="NJ91" s="334">
        <v>0.28000000000000003</v>
      </c>
      <c r="NK91" s="334">
        <v>142.012</v>
      </c>
      <c r="NL91" s="334">
        <v>20.25</v>
      </c>
      <c r="NM91" s="334">
        <v>0.25</v>
      </c>
      <c r="NN91" s="334">
        <v>142.012</v>
      </c>
      <c r="NO91" s="334">
        <v>23.875</v>
      </c>
      <c r="NP91" s="334">
        <v>0.25</v>
      </c>
      <c r="NQ91" s="334">
        <v>140.16999999999999</v>
      </c>
      <c r="NR91" s="334">
        <v>24.125</v>
      </c>
      <c r="NS91" s="334">
        <v>0.25</v>
      </c>
      <c r="NT91" s="334">
        <v>137.208</v>
      </c>
      <c r="NU91" s="334">
        <v>22.375</v>
      </c>
      <c r="NV91" s="334">
        <v>0.2</v>
      </c>
      <c r="NW91" s="334">
        <v>136.404</v>
      </c>
      <c r="NX91" s="334">
        <v>19.13</v>
      </c>
      <c r="NY91" s="334">
        <v>0.2</v>
      </c>
      <c r="NZ91" s="334">
        <v>136.404</v>
      </c>
      <c r="OA91" s="334">
        <v>19.63</v>
      </c>
      <c r="OB91" s="334">
        <v>0.2</v>
      </c>
      <c r="OC91" s="334">
        <v>136.19399999999999</v>
      </c>
      <c r="OD91" s="334">
        <v>19</v>
      </c>
      <c r="OE91" s="334">
        <v>0.2</v>
      </c>
      <c r="OF91" s="334">
        <v>136.1</v>
      </c>
      <c r="OG91" s="334">
        <v>18.25</v>
      </c>
      <c r="OH91" s="334">
        <v>0.16</v>
      </c>
      <c r="OI91" s="334">
        <v>136.1</v>
      </c>
      <c r="OJ91" s="334">
        <v>17.88</v>
      </c>
      <c r="OK91" s="334">
        <v>0.16</v>
      </c>
      <c r="OL91" s="334">
        <v>136.1</v>
      </c>
      <c r="OM91" s="334">
        <v>17</v>
      </c>
      <c r="ON91" s="334">
        <v>0.16</v>
      </c>
      <c r="OO91" s="334">
        <v>136.1</v>
      </c>
      <c r="OP91" s="334">
        <v>15.38</v>
      </c>
      <c r="OQ91" s="334">
        <v>0</v>
      </c>
      <c r="OR91" s="334">
        <v>136.1</v>
      </c>
      <c r="OS91" s="334">
        <v>14.75</v>
      </c>
      <c r="OT91" s="334">
        <v>0</v>
      </c>
      <c r="OU91" s="334">
        <v>136.1</v>
      </c>
      <c r="OV91" s="334">
        <v>13.13</v>
      </c>
    </row>
    <row r="92" spans="1:412" ht="13.5" thickBot="1">
      <c r="A92" s="294" t="s">
        <v>23</v>
      </c>
      <c r="B92" s="335" t="s">
        <v>148</v>
      </c>
      <c r="C92" s="335">
        <v>564</v>
      </c>
      <c r="D92" s="335">
        <v>67.52</v>
      </c>
      <c r="E92" s="335">
        <v>0.54749999999999999</v>
      </c>
      <c r="F92" s="335">
        <v>557</v>
      </c>
      <c r="G92" s="335">
        <v>65.3</v>
      </c>
      <c r="H92" s="335">
        <v>0.54749999999999999</v>
      </c>
      <c r="I92" s="335">
        <v>556</v>
      </c>
      <c r="J92" s="335">
        <v>53.41</v>
      </c>
      <c r="K92" s="335">
        <v>0.54749999999999999</v>
      </c>
      <c r="L92" s="335">
        <v>554</v>
      </c>
      <c r="M92" s="335">
        <v>53.75</v>
      </c>
      <c r="N92" s="335">
        <v>0.54749999999999999</v>
      </c>
      <c r="O92" s="335">
        <v>552</v>
      </c>
      <c r="P92" s="335">
        <v>61.91</v>
      </c>
      <c r="Q92" s="335">
        <v>0.52</v>
      </c>
      <c r="R92" s="340">
        <v>551</v>
      </c>
      <c r="S92" s="340">
        <v>57.22</v>
      </c>
      <c r="T92" s="340">
        <v>0.52</v>
      </c>
      <c r="U92" s="340">
        <v>551</v>
      </c>
      <c r="V92" s="340">
        <v>62.17</v>
      </c>
      <c r="W92" s="340">
        <v>0.52</v>
      </c>
      <c r="X92" s="340">
        <v>547</v>
      </c>
      <c r="Y92" s="340">
        <v>67.44</v>
      </c>
      <c r="Z92" s="340">
        <v>0.52</v>
      </c>
      <c r="AA92" s="340">
        <v>548</v>
      </c>
      <c r="AB92" s="340">
        <v>70.11</v>
      </c>
      <c r="AC92" s="340">
        <v>0.48749999999999999</v>
      </c>
      <c r="AD92" s="340">
        <v>546</v>
      </c>
      <c r="AE92" s="340">
        <v>64</v>
      </c>
      <c r="AF92" s="340">
        <v>0.48749999999999999</v>
      </c>
      <c r="AG92" s="340">
        <v>545</v>
      </c>
      <c r="AH92" s="340">
        <v>70.760000000000005</v>
      </c>
      <c r="AI92" s="340">
        <v>0.48749999999999999</v>
      </c>
      <c r="AJ92" s="340">
        <v>539</v>
      </c>
      <c r="AK92" s="340">
        <v>72.17</v>
      </c>
      <c r="AL92" s="340">
        <v>0.48749999999999999</v>
      </c>
      <c r="AM92" s="340">
        <v>539</v>
      </c>
      <c r="AN92" s="340">
        <v>67.7</v>
      </c>
      <c r="AO92" s="340">
        <v>0.45750000000000002</v>
      </c>
      <c r="AP92" s="340">
        <v>539</v>
      </c>
      <c r="AQ92" s="340">
        <v>62.5</v>
      </c>
      <c r="AR92" s="340">
        <v>0.45750000000000002</v>
      </c>
      <c r="AS92" s="340">
        <v>538</v>
      </c>
      <c r="AT92" s="340">
        <v>65.88</v>
      </c>
      <c r="AU92" s="340">
        <v>0.45750000000000002</v>
      </c>
      <c r="AV92" s="340">
        <v>527</v>
      </c>
      <c r="AW92" s="340">
        <v>66.510000000000005</v>
      </c>
      <c r="AX92" s="340">
        <v>0.45750000000000002</v>
      </c>
      <c r="AY92" s="504">
        <v>526</v>
      </c>
      <c r="AZ92" s="504">
        <v>66.67</v>
      </c>
      <c r="BA92" s="504">
        <v>0.43</v>
      </c>
      <c r="BB92" s="504">
        <v>527</v>
      </c>
      <c r="BC92" s="504">
        <v>69.010000000000005</v>
      </c>
      <c r="BD92" s="504">
        <v>0.43</v>
      </c>
      <c r="BE92" s="504">
        <v>526</v>
      </c>
      <c r="BF92" s="504">
        <v>62.5</v>
      </c>
      <c r="BG92" s="504">
        <v>0.43</v>
      </c>
      <c r="BH92" s="504">
        <v>519</v>
      </c>
      <c r="BI92" s="504">
        <v>60.3</v>
      </c>
      <c r="BJ92" s="518">
        <v>0.43</v>
      </c>
      <c r="BK92" s="504">
        <v>519</v>
      </c>
      <c r="BL92" s="504">
        <v>63.49</v>
      </c>
      <c r="BM92" s="504">
        <v>0.40500000000000003</v>
      </c>
      <c r="BN92" s="504">
        <v>516</v>
      </c>
      <c r="BO92" s="504">
        <v>64.89</v>
      </c>
      <c r="BP92" s="504">
        <v>0.40500000000000003</v>
      </c>
      <c r="BQ92" s="504">
        <v>515</v>
      </c>
      <c r="BR92" s="504">
        <v>59.49</v>
      </c>
      <c r="BS92" s="504">
        <v>0.40500000000000003</v>
      </c>
      <c r="BT92" s="504">
        <v>511</v>
      </c>
      <c r="BU92" s="504">
        <v>56.21</v>
      </c>
      <c r="BV92" s="507">
        <v>0.40500000000000003</v>
      </c>
      <c r="BW92" s="504">
        <v>510</v>
      </c>
      <c r="BX92" s="504">
        <v>49.27</v>
      </c>
      <c r="BY92" s="504">
        <v>0.38</v>
      </c>
      <c r="BZ92" s="504">
        <v>510</v>
      </c>
      <c r="CA92" s="504">
        <v>47.21</v>
      </c>
      <c r="CB92" s="504">
        <v>0.38</v>
      </c>
      <c r="CC92" s="503">
        <v>509</v>
      </c>
      <c r="CD92" s="503">
        <v>45.68</v>
      </c>
      <c r="CE92" s="503">
        <v>0.38</v>
      </c>
      <c r="CF92" s="503">
        <v>509</v>
      </c>
      <c r="CG92" s="503">
        <v>45.48</v>
      </c>
      <c r="CH92" s="508">
        <v>0.38</v>
      </c>
      <c r="CI92" s="503">
        <v>508.58100000000002</v>
      </c>
      <c r="CJ92" s="503">
        <v>48.11</v>
      </c>
      <c r="CK92" s="503">
        <v>0.36</v>
      </c>
      <c r="CL92" s="503">
        <v>508.54199999999997</v>
      </c>
      <c r="CM92" s="503">
        <v>47.32</v>
      </c>
      <c r="CN92" s="503">
        <v>0.36</v>
      </c>
      <c r="CO92" s="503">
        <v>508.27800000000002</v>
      </c>
      <c r="CP92" s="503">
        <v>45.88</v>
      </c>
      <c r="CQ92" s="503">
        <v>0.36</v>
      </c>
      <c r="CR92" s="504">
        <v>508.79399999999998</v>
      </c>
      <c r="CS92" s="504">
        <v>44.45</v>
      </c>
      <c r="CT92" s="514">
        <v>0.36</v>
      </c>
      <c r="CU92" s="503">
        <v>508.94099999999997</v>
      </c>
      <c r="CV92" s="503">
        <v>40.700000000000003</v>
      </c>
      <c r="CW92" s="503">
        <v>0.34</v>
      </c>
      <c r="CX92" s="339">
        <v>508.93</v>
      </c>
      <c r="CY92" s="339">
        <v>41.14</v>
      </c>
      <c r="CZ92" s="339">
        <v>0.34</v>
      </c>
      <c r="DA92" s="339">
        <v>508.66699999999997</v>
      </c>
      <c r="DB92" s="339">
        <v>44.78</v>
      </c>
      <c r="DC92" s="339">
        <v>0.34</v>
      </c>
      <c r="DD92" s="339">
        <v>507.76799999999997</v>
      </c>
      <c r="DE92" s="339">
        <v>41.82</v>
      </c>
      <c r="DF92" s="511">
        <v>0.34</v>
      </c>
      <c r="DG92" s="339">
        <v>508.03100000000001</v>
      </c>
      <c r="DH92" s="339">
        <v>35.909999999999997</v>
      </c>
      <c r="DI92" s="339">
        <v>0.32</v>
      </c>
      <c r="DJ92" s="339">
        <v>507.70699999999999</v>
      </c>
      <c r="DK92" s="339">
        <v>35.409999999999997</v>
      </c>
      <c r="DL92" s="339">
        <v>0.32</v>
      </c>
      <c r="DM92" s="339">
        <v>506.983</v>
      </c>
      <c r="DN92" s="339">
        <v>32.18</v>
      </c>
      <c r="DO92" s="339">
        <v>0.32</v>
      </c>
      <c r="DP92" s="340">
        <v>506.411</v>
      </c>
      <c r="DQ92" s="340">
        <v>34.81</v>
      </c>
      <c r="DR92" s="515">
        <v>0.32</v>
      </c>
      <c r="DS92" s="339">
        <v>506.08199999999999</v>
      </c>
      <c r="DT92" s="339">
        <v>35.92</v>
      </c>
      <c r="DU92" s="339">
        <v>0.3</v>
      </c>
      <c r="DV92" s="339">
        <v>503.27199999999999</v>
      </c>
      <c r="DW92" s="339">
        <v>30.4</v>
      </c>
      <c r="DX92" s="339">
        <v>0.3</v>
      </c>
      <c r="DY92" s="339">
        <v>499.52300000000002</v>
      </c>
      <c r="DZ92" s="339">
        <v>32.229999999999997</v>
      </c>
      <c r="EA92" s="339">
        <v>0.3</v>
      </c>
      <c r="EB92" s="340">
        <v>496.07299999999998</v>
      </c>
      <c r="EC92" s="340">
        <v>30.36</v>
      </c>
      <c r="ED92" s="515">
        <v>0.3</v>
      </c>
      <c r="EE92" s="339">
        <v>498.149</v>
      </c>
      <c r="EF92" s="339">
        <v>27.94</v>
      </c>
      <c r="EG92" s="339">
        <v>0.28000000000000003</v>
      </c>
      <c r="EH92" s="339">
        <v>497.74700000000001</v>
      </c>
      <c r="EI92" s="339">
        <v>27.61</v>
      </c>
      <c r="EJ92" s="339">
        <v>0.28000000000000003</v>
      </c>
      <c r="EK92" s="339">
        <v>489.78100000000001</v>
      </c>
      <c r="EL92" s="339">
        <v>28.34</v>
      </c>
      <c r="EM92" s="510">
        <v>0.28000000000000003</v>
      </c>
      <c r="EN92" s="340">
        <v>487.899</v>
      </c>
      <c r="EO92" s="340">
        <v>29.7</v>
      </c>
      <c r="EP92" s="340">
        <v>0.27</v>
      </c>
      <c r="EQ92" s="339">
        <v>488.084</v>
      </c>
      <c r="ER92" s="339">
        <v>26.71</v>
      </c>
      <c r="ES92" s="339">
        <v>0.27</v>
      </c>
      <c r="ET92" s="339">
        <v>487.71699999999998</v>
      </c>
      <c r="EU92" s="339">
        <v>27.71</v>
      </c>
      <c r="EV92" s="339">
        <v>0.27</v>
      </c>
      <c r="EW92" s="339">
        <v>487.36</v>
      </c>
      <c r="EX92" s="339">
        <v>28.41</v>
      </c>
      <c r="EY92" s="510">
        <v>0.27</v>
      </c>
      <c r="EZ92" s="340">
        <v>485.03899999999999</v>
      </c>
      <c r="FA92" s="340">
        <v>26.47</v>
      </c>
      <c r="FB92" s="340">
        <v>0.26</v>
      </c>
      <c r="FC92" s="339">
        <v>485.34399999999999</v>
      </c>
      <c r="FD92" s="339">
        <v>27.64</v>
      </c>
      <c r="FE92" s="339">
        <v>0.26</v>
      </c>
      <c r="FF92" s="339">
        <v>484.91800000000001</v>
      </c>
      <c r="FG92" s="339">
        <v>24.69</v>
      </c>
      <c r="FH92" s="339">
        <v>0.26</v>
      </c>
      <c r="FI92" s="339">
        <v>483.64100000000002</v>
      </c>
      <c r="FJ92" s="339">
        <v>24.3</v>
      </c>
      <c r="FK92" s="511">
        <v>0.26</v>
      </c>
      <c r="FL92" s="339">
        <v>468.68599999999998</v>
      </c>
      <c r="FM92" s="339">
        <v>23.89</v>
      </c>
      <c r="FN92" s="339">
        <v>0.2525</v>
      </c>
      <c r="FO92" s="339">
        <v>460.471</v>
      </c>
      <c r="FP92" s="339">
        <v>23.56</v>
      </c>
      <c r="FQ92" s="339">
        <v>0.2525</v>
      </c>
      <c r="FR92" s="339">
        <v>460.041</v>
      </c>
      <c r="FS92" s="339">
        <v>22.97</v>
      </c>
      <c r="FT92" s="339">
        <v>0.2525</v>
      </c>
      <c r="FU92" s="339">
        <v>458.91800000000001</v>
      </c>
      <c r="FV92" s="339">
        <v>20.61</v>
      </c>
      <c r="FW92" s="339">
        <v>0.2525</v>
      </c>
      <c r="FX92" s="339">
        <v>457.43400000000003</v>
      </c>
      <c r="FY92" s="339">
        <v>21.2</v>
      </c>
      <c r="FZ92" s="339">
        <v>0.245</v>
      </c>
      <c r="GA92" s="339">
        <v>456.76900000000001</v>
      </c>
      <c r="GB92" s="339">
        <v>21.22</v>
      </c>
      <c r="GC92" s="339">
        <v>0.245</v>
      </c>
      <c r="GD92" s="339">
        <v>456.30700000000002</v>
      </c>
      <c r="GE92" s="339">
        <v>19.239999999999998</v>
      </c>
      <c r="GF92" s="339">
        <v>0.245</v>
      </c>
      <c r="GG92" s="339">
        <v>455.19200000000001</v>
      </c>
      <c r="GH92" s="339">
        <v>18.41</v>
      </c>
      <c r="GI92" s="339">
        <v>0.245</v>
      </c>
      <c r="GJ92" s="339">
        <v>451.74799999999999</v>
      </c>
      <c r="GK92" s="339">
        <v>18.63</v>
      </c>
      <c r="GL92" s="339">
        <v>0.23749999999999999</v>
      </c>
      <c r="GM92" s="339">
        <v>434.13099999999997</v>
      </c>
      <c r="GN92" s="339">
        <v>18.55</v>
      </c>
      <c r="GO92" s="339">
        <v>0.23749999999999999</v>
      </c>
      <c r="GP92" s="339">
        <v>430.81099999999998</v>
      </c>
      <c r="GQ92" s="339">
        <v>19.989999999999998</v>
      </c>
      <c r="GR92" s="339">
        <v>0.23749999999999999</v>
      </c>
      <c r="GS92" s="339">
        <v>429.56299999999999</v>
      </c>
      <c r="GT92" s="339">
        <v>20.07</v>
      </c>
      <c r="GU92" s="510">
        <v>0.23749999999999999</v>
      </c>
      <c r="GV92" s="339">
        <v>416.13900000000001</v>
      </c>
      <c r="GW92" s="339">
        <v>19.95</v>
      </c>
      <c r="GX92" s="339">
        <v>0.23</v>
      </c>
      <c r="GY92" s="339">
        <v>419.822</v>
      </c>
      <c r="GZ92" s="339">
        <v>22.57</v>
      </c>
      <c r="HA92" s="339">
        <v>0.23</v>
      </c>
      <c r="HB92" s="339">
        <v>412.71</v>
      </c>
      <c r="HC92" s="339">
        <v>21.54</v>
      </c>
      <c r="HD92" s="339">
        <v>0.23</v>
      </c>
      <c r="HE92" s="339">
        <v>408.00299999999999</v>
      </c>
      <c r="HF92" s="339">
        <v>20.47</v>
      </c>
      <c r="HG92" s="339">
        <v>0.23</v>
      </c>
      <c r="HH92" s="339">
        <v>405.68900000000002</v>
      </c>
      <c r="HI92" s="505">
        <v>24.69</v>
      </c>
      <c r="HJ92" s="339">
        <v>0.2225</v>
      </c>
      <c r="HK92" s="339">
        <v>406.12299999999999</v>
      </c>
      <c r="HL92" s="339">
        <v>23.06</v>
      </c>
      <c r="HM92" s="339">
        <v>0.2225</v>
      </c>
      <c r="HN92" s="339">
        <v>405.43400000000003</v>
      </c>
      <c r="HO92" s="339">
        <v>20.65</v>
      </c>
      <c r="HP92" s="339">
        <v>0.2225</v>
      </c>
      <c r="HQ92" s="339">
        <v>404.125</v>
      </c>
      <c r="HR92" s="339">
        <v>19.18</v>
      </c>
      <c r="HS92" s="339">
        <v>0.2225</v>
      </c>
      <c r="HT92" s="339">
        <v>403.22899999999998</v>
      </c>
      <c r="HU92" s="339">
        <v>18.149999999999999</v>
      </c>
      <c r="HV92" s="339">
        <v>0.215</v>
      </c>
      <c r="HW92" s="339">
        <v>402.73500000000001</v>
      </c>
      <c r="HX92" s="506">
        <v>18.46</v>
      </c>
      <c r="HY92" s="513">
        <f>0.86/4</f>
        <v>0.215</v>
      </c>
      <c r="HZ92" s="339">
        <v>402.214</v>
      </c>
      <c r="IA92" s="339">
        <v>19.61</v>
      </c>
      <c r="IB92" s="339">
        <v>0.215</v>
      </c>
      <c r="IC92" s="339">
        <v>401.11599999999999</v>
      </c>
      <c r="ID92" s="339">
        <v>19.52</v>
      </c>
      <c r="IE92" s="339">
        <v>0.215</v>
      </c>
      <c r="IF92" s="339">
        <v>399.74599999999998</v>
      </c>
      <c r="IG92" s="339">
        <v>17.18</v>
      </c>
      <c r="IH92" s="339">
        <v>0.20749999999999999</v>
      </c>
      <c r="II92" s="339">
        <v>399.74599999999998</v>
      </c>
      <c r="IJ92" s="505">
        <v>18.2</v>
      </c>
      <c r="IK92" s="339">
        <v>0.20749999999999999</v>
      </c>
      <c r="IL92" s="339">
        <v>399.21699999999998</v>
      </c>
      <c r="IM92" s="339">
        <v>17.32</v>
      </c>
      <c r="IN92" s="339">
        <v>0.20749999999999999</v>
      </c>
      <c r="IO92" s="339">
        <v>398.58300000000003</v>
      </c>
      <c r="IP92" s="339">
        <v>16.71</v>
      </c>
      <c r="IQ92" s="339">
        <v>0.20749999999999999</v>
      </c>
      <c r="IR92" s="339">
        <v>398.87400000000002</v>
      </c>
      <c r="IS92" s="339">
        <v>17.809999999999999</v>
      </c>
      <c r="IT92" s="339">
        <v>0.1875</v>
      </c>
      <c r="IU92" s="339">
        <v>398.75099999999998</v>
      </c>
      <c r="IV92" s="339">
        <v>16.98</v>
      </c>
      <c r="IW92" s="339">
        <v>0.1875</v>
      </c>
      <c r="IX92" s="339">
        <v>398.71699999999998</v>
      </c>
      <c r="IY92" s="339">
        <v>15.47</v>
      </c>
      <c r="IZ92" s="339">
        <v>0</v>
      </c>
      <c r="JA92" s="339">
        <v>398.714</v>
      </c>
      <c r="JB92" s="339">
        <v>15.04</v>
      </c>
      <c r="JC92" s="339">
        <v>0.375</v>
      </c>
      <c r="JD92" s="339">
        <v>398</v>
      </c>
      <c r="JE92" s="339">
        <v>12.81</v>
      </c>
      <c r="JF92" s="339">
        <v>0</v>
      </c>
      <c r="JG92" s="339">
        <v>397.40499999999997</v>
      </c>
      <c r="JH92" s="339">
        <v>11</v>
      </c>
      <c r="JI92" s="339">
        <v>0.1875</v>
      </c>
      <c r="JJ92" s="339">
        <v>377.983</v>
      </c>
      <c r="JK92" s="339">
        <v>9.31</v>
      </c>
      <c r="JL92" s="517">
        <v>0.1875</v>
      </c>
      <c r="JM92" s="339">
        <v>353.827</v>
      </c>
      <c r="JN92" s="339">
        <v>16.77</v>
      </c>
      <c r="JO92" s="339">
        <v>0.375</v>
      </c>
      <c r="JP92" s="339">
        <v>345</v>
      </c>
      <c r="JQ92" s="339">
        <v>25.35</v>
      </c>
      <c r="JR92" s="339">
        <v>0.375</v>
      </c>
      <c r="JS92" s="339">
        <v>343.77</v>
      </c>
      <c r="JT92" s="339">
        <v>27.74</v>
      </c>
      <c r="JU92" s="339">
        <v>0.375</v>
      </c>
      <c r="JV92" s="339">
        <v>342.553</v>
      </c>
      <c r="JW92" s="339">
        <v>28.15</v>
      </c>
      <c r="JX92" s="339">
        <v>0.375</v>
      </c>
      <c r="JY92" s="339">
        <v>341.47199999999998</v>
      </c>
      <c r="JZ92" s="339">
        <v>28.45</v>
      </c>
      <c r="KA92" s="339">
        <v>0.375</v>
      </c>
      <c r="KB92" s="339">
        <v>339.45400000000001</v>
      </c>
      <c r="KC92" s="339">
        <v>30.11</v>
      </c>
      <c r="KD92" s="339">
        <v>0.375</v>
      </c>
      <c r="KE92" s="339">
        <v>338.87599999999998</v>
      </c>
      <c r="KF92" s="339">
        <v>29.0625</v>
      </c>
      <c r="KG92" s="339">
        <v>0.375</v>
      </c>
      <c r="KH92" s="339">
        <v>154.358</v>
      </c>
      <c r="KI92" s="339">
        <v>27.5</v>
      </c>
      <c r="KJ92" s="339">
        <v>0.36749999999999999</v>
      </c>
      <c r="KK92" s="339">
        <v>156.6</v>
      </c>
      <c r="KL92" s="339">
        <v>20.1875</v>
      </c>
      <c r="KM92" s="339">
        <v>0.36749999999999999</v>
      </c>
      <c r="KN92" s="339">
        <v>154.4</v>
      </c>
      <c r="KO92" s="339">
        <v>19.875</v>
      </c>
      <c r="KP92" s="339">
        <v>0.36249999999999999</v>
      </c>
      <c r="KQ92" s="339">
        <v>153.66200000000001</v>
      </c>
      <c r="KR92" s="339">
        <v>19.5</v>
      </c>
      <c r="KS92" s="339">
        <v>0.36249999999999999</v>
      </c>
      <c r="KT92" s="339">
        <v>153.012</v>
      </c>
      <c r="KU92" s="339">
        <v>21.5625</v>
      </c>
      <c r="KV92" s="339">
        <v>0.36249999999999999</v>
      </c>
      <c r="KW92" s="334">
        <v>150.5</v>
      </c>
      <c r="KX92" s="334">
        <v>24.1875</v>
      </c>
      <c r="KY92" s="334">
        <v>0.36249999999999999</v>
      </c>
      <c r="KZ92" s="334">
        <v>151</v>
      </c>
      <c r="LA92" s="334">
        <v>23.1875</v>
      </c>
      <c r="LB92" s="334">
        <v>0.35749999999999998</v>
      </c>
      <c r="LC92" s="334">
        <v>151</v>
      </c>
      <c r="LD92" s="334">
        <v>27.75</v>
      </c>
      <c r="LE92" s="334">
        <v>0.35299999999999998</v>
      </c>
      <c r="LF92" s="334">
        <v>149.21</v>
      </c>
      <c r="LG92" s="334">
        <v>28.062999999999999</v>
      </c>
      <c r="LH92" s="334">
        <v>0.35299999999999998</v>
      </c>
      <c r="LI92" s="334">
        <v>149.21</v>
      </c>
      <c r="LJ92" s="334">
        <v>28.625</v>
      </c>
      <c r="LK92" s="334">
        <v>0.35299999999999998</v>
      </c>
      <c r="LL92" s="334">
        <v>139.11000000000001</v>
      </c>
      <c r="LM92" s="334">
        <v>29.5</v>
      </c>
      <c r="LN92" s="334">
        <v>0.35249999999999998</v>
      </c>
      <c r="LO92" s="334">
        <v>139.11199999999999</v>
      </c>
      <c r="LP92" s="334">
        <v>29.125</v>
      </c>
      <c r="LQ92" s="334">
        <v>0.35249999999999998</v>
      </c>
      <c r="LR92" s="334">
        <v>137.654</v>
      </c>
      <c r="LS92" s="334">
        <v>24.875</v>
      </c>
      <c r="LT92" s="334">
        <v>0.35249999999999998</v>
      </c>
      <c r="LU92" s="334">
        <v>137.654</v>
      </c>
      <c r="LV92" s="334">
        <v>25.875</v>
      </c>
      <c r="LW92" s="334">
        <v>0.35249999999999998</v>
      </c>
      <c r="LX92" s="334">
        <v>137.89599999999999</v>
      </c>
      <c r="LY92" s="334">
        <v>23.687999999999999</v>
      </c>
      <c r="LZ92" s="334">
        <v>0.34499999999999997</v>
      </c>
      <c r="MA92" s="334">
        <v>137.89599999999999</v>
      </c>
      <c r="MB92" s="334">
        <v>22.937999999999999</v>
      </c>
      <c r="MC92" s="334">
        <v>0.34499999999999997</v>
      </c>
      <c r="MD92" s="334">
        <v>133.53</v>
      </c>
      <c r="ME92" s="334">
        <v>23.312999999999999</v>
      </c>
      <c r="MF92" s="334">
        <v>0.34499999999999997</v>
      </c>
      <c r="MG92" s="334">
        <v>133.53</v>
      </c>
      <c r="MH92" s="334">
        <v>24.687999999999999</v>
      </c>
      <c r="MI92" s="334">
        <v>0.34499999999999997</v>
      </c>
      <c r="MJ92" s="334">
        <v>133.53</v>
      </c>
      <c r="MK92" s="334">
        <v>24.375</v>
      </c>
      <c r="ML92" s="334">
        <v>0.33750000000000002</v>
      </c>
      <c r="MM92" s="334">
        <v>133.53</v>
      </c>
      <c r="MN92" s="334">
        <v>24.562999999999999</v>
      </c>
      <c r="MO92" s="334">
        <v>0.33750000000000002</v>
      </c>
      <c r="MP92" s="334">
        <v>133.53</v>
      </c>
      <c r="MQ92" s="334">
        <v>22.687999999999999</v>
      </c>
      <c r="MR92" s="334">
        <v>0.33750000000000002</v>
      </c>
      <c r="MS92" s="334">
        <v>133.53</v>
      </c>
      <c r="MT92" s="334">
        <v>23.062999999999999</v>
      </c>
      <c r="MU92" s="334">
        <v>0.33750000000000002</v>
      </c>
      <c r="MV92" s="334">
        <f>133.53</f>
        <v>133.53</v>
      </c>
      <c r="MW92" s="334">
        <v>22</v>
      </c>
      <c r="MX92" s="334">
        <v>0.33</v>
      </c>
      <c r="MY92" s="334">
        <v>133.53</v>
      </c>
      <c r="MZ92" s="334">
        <v>22</v>
      </c>
      <c r="NA92" s="334">
        <v>0.33</v>
      </c>
      <c r="NB92" s="334">
        <v>133.53</v>
      </c>
      <c r="NC92" s="334">
        <v>21.125</v>
      </c>
      <c r="ND92" s="334">
        <v>0.33</v>
      </c>
      <c r="NE92" s="334">
        <v>133.53</v>
      </c>
      <c r="NF92" s="334">
        <v>20.5</v>
      </c>
      <c r="NG92" s="334">
        <v>0.32250000000000001</v>
      </c>
      <c r="NH92" s="334">
        <v>133.01</v>
      </c>
      <c r="NI92" s="334">
        <v>20.4375</v>
      </c>
      <c r="NJ92" s="334">
        <v>0.32250000000000001</v>
      </c>
      <c r="NK92" s="334">
        <v>133.01</v>
      </c>
      <c r="NL92" s="334">
        <v>21.5625</v>
      </c>
      <c r="NM92" s="334">
        <v>0.32250000000000001</v>
      </c>
      <c r="NN92" s="334">
        <v>133.01</v>
      </c>
      <c r="NO92" s="334">
        <v>23.1875</v>
      </c>
      <c r="NP92" s="334">
        <v>0.32250000000000001</v>
      </c>
      <c r="NQ92" s="334">
        <v>129.16999999999999</v>
      </c>
      <c r="NR92" s="334">
        <v>22.9375</v>
      </c>
      <c r="NS92" s="334">
        <v>0.315</v>
      </c>
      <c r="NT92" s="334">
        <v>125.726</v>
      </c>
      <c r="NU92" s="334">
        <v>23.3125</v>
      </c>
      <c r="NV92" s="334">
        <v>0.315</v>
      </c>
      <c r="NW92" s="334">
        <v>125.262</v>
      </c>
      <c r="NX92" s="334">
        <v>21.63</v>
      </c>
      <c r="NY92" s="334">
        <v>0.32</v>
      </c>
      <c r="NZ92" s="334">
        <v>125.262</v>
      </c>
      <c r="OA92" s="334">
        <v>21.5</v>
      </c>
      <c r="OB92" s="334">
        <v>0.32</v>
      </c>
      <c r="OC92" s="334">
        <v>125.25</v>
      </c>
      <c r="OD92" s="334">
        <v>20.75</v>
      </c>
      <c r="OE92" s="334">
        <v>0.3</v>
      </c>
      <c r="OF92" s="334">
        <v>125.238</v>
      </c>
      <c r="OG92" s="334">
        <v>19.63</v>
      </c>
      <c r="OH92" s="334">
        <v>0.3</v>
      </c>
      <c r="OI92" s="334">
        <v>125.08199999999999</v>
      </c>
      <c r="OJ92" s="334">
        <v>21.5</v>
      </c>
      <c r="OK92" s="334">
        <v>0.3</v>
      </c>
      <c r="OL92" s="334">
        <v>125.08199999999999</v>
      </c>
      <c r="OM92" s="334">
        <v>19.690000000000001</v>
      </c>
      <c r="ON92" s="334">
        <v>0.3</v>
      </c>
      <c r="OO92" s="334">
        <v>125.08199999999999</v>
      </c>
      <c r="OP92" s="334">
        <v>17.309999999999999</v>
      </c>
      <c r="OQ92" s="334">
        <v>0.28999999999999998</v>
      </c>
      <c r="OR92" s="334">
        <v>125.08199999999999</v>
      </c>
      <c r="OS92" s="334">
        <v>17.75</v>
      </c>
      <c r="OT92" s="334">
        <v>0.28999999999999998</v>
      </c>
      <c r="OU92" s="334">
        <v>125.08199999999999</v>
      </c>
      <c r="OV92" s="334">
        <v>17</v>
      </c>
    </row>
    <row r="93" spans="1:412">
      <c r="A93" s="294" t="s">
        <v>162</v>
      </c>
      <c r="B93" s="335" t="s">
        <v>149</v>
      </c>
      <c r="C93" s="335">
        <v>61.301696</v>
      </c>
      <c r="D93" s="335">
        <v>53.46</v>
      </c>
      <c r="E93" s="335">
        <v>0.65</v>
      </c>
      <c r="F93" s="335">
        <v>61.288870000000003</v>
      </c>
      <c r="G93" s="335">
        <v>57.22</v>
      </c>
      <c r="H93" s="335">
        <v>0.65</v>
      </c>
      <c r="I93" s="335">
        <v>61.265967000000003</v>
      </c>
      <c r="J93" s="335">
        <v>50.08</v>
      </c>
      <c r="K93" s="335">
        <v>0.65</v>
      </c>
      <c r="L93" s="335">
        <v>61.253999999999998</v>
      </c>
      <c r="M93" s="335">
        <v>50.93</v>
      </c>
      <c r="N93" s="335">
        <v>0.65</v>
      </c>
      <c r="O93" s="335">
        <v>60.442163999999998</v>
      </c>
      <c r="P93" s="335">
        <v>50.89</v>
      </c>
      <c r="Q93" s="335">
        <v>0.64</v>
      </c>
      <c r="R93" s="340">
        <v>59.804000000000002</v>
      </c>
      <c r="S93" s="340">
        <v>48.06</v>
      </c>
      <c r="T93" s="340">
        <v>0.64</v>
      </c>
      <c r="U93" s="340">
        <v>59.776195000000001</v>
      </c>
      <c r="V93" s="340">
        <v>56.76</v>
      </c>
      <c r="W93" s="340">
        <v>0.64</v>
      </c>
      <c r="X93" s="340">
        <v>55.769156000000002</v>
      </c>
      <c r="Y93" s="340">
        <v>57.86</v>
      </c>
      <c r="Z93" s="340">
        <v>0.64</v>
      </c>
      <c r="AA93" s="340">
        <v>56.310526000000003</v>
      </c>
      <c r="AB93" s="340">
        <v>59.34</v>
      </c>
      <c r="AC93" s="340">
        <v>0.63</v>
      </c>
      <c r="AD93" s="340">
        <v>54.271861999999999</v>
      </c>
      <c r="AE93" s="340">
        <v>49.28</v>
      </c>
      <c r="AF93" s="340">
        <v>0.63</v>
      </c>
      <c r="AG93" s="340">
        <v>54.096767999999997</v>
      </c>
      <c r="AH93" s="340">
        <v>58.93</v>
      </c>
      <c r="AI93" s="340">
        <v>0.63</v>
      </c>
      <c r="AJ93" s="340">
        <v>51.709229000000001</v>
      </c>
      <c r="AK93" s="340">
        <v>60.49</v>
      </c>
      <c r="AL93" s="340">
        <v>0.63</v>
      </c>
      <c r="AM93" s="340">
        <v>51.891556999999999</v>
      </c>
      <c r="AN93" s="340">
        <v>57.16</v>
      </c>
      <c r="AO93" s="340">
        <v>0.62</v>
      </c>
      <c r="AP93" s="340">
        <v>50.989182</v>
      </c>
      <c r="AQ93" s="340">
        <v>57.3</v>
      </c>
      <c r="AR93" s="340">
        <v>0.62</v>
      </c>
      <c r="AS93" s="340">
        <v>50.631447999999999</v>
      </c>
      <c r="AT93" s="340">
        <v>60.22</v>
      </c>
      <c r="AU93" s="340">
        <v>0.62</v>
      </c>
      <c r="AV93" s="340">
        <v>50.559207999999998</v>
      </c>
      <c r="AW93" s="340">
        <v>65.2</v>
      </c>
      <c r="AX93" s="340">
        <v>0.62</v>
      </c>
      <c r="AY93" s="503">
        <v>50.576563999999998</v>
      </c>
      <c r="AZ93" s="503">
        <v>58.31</v>
      </c>
      <c r="BA93" s="503">
        <v>0.6</v>
      </c>
      <c r="BB93" s="504">
        <v>50.569724999999998</v>
      </c>
      <c r="BC93" s="504">
        <v>48.64</v>
      </c>
      <c r="BD93" s="504">
        <v>0.6</v>
      </c>
      <c r="BE93" s="504">
        <v>50.506793999999999</v>
      </c>
      <c r="BF93" s="504">
        <v>54.52</v>
      </c>
      <c r="BG93" s="504">
        <v>0.6</v>
      </c>
      <c r="BH93" s="504">
        <v>50.428559999999997</v>
      </c>
      <c r="BI93" s="504">
        <v>59.83</v>
      </c>
      <c r="BJ93" s="518">
        <v>0.6</v>
      </c>
      <c r="BK93" s="504">
        <v>50.443866</v>
      </c>
      <c r="BL93" s="504">
        <v>71.67</v>
      </c>
      <c r="BM93" s="504">
        <v>0.57499999999999996</v>
      </c>
      <c r="BN93" s="504">
        <v>50.440685000000002</v>
      </c>
      <c r="BO93" s="504">
        <v>75.05</v>
      </c>
      <c r="BP93" s="504">
        <v>0.57499999999999996</v>
      </c>
      <c r="BQ93" s="504">
        <v>50.380839000000002</v>
      </c>
      <c r="BR93" s="504">
        <v>72.150000000000006</v>
      </c>
      <c r="BS93" s="504">
        <v>0.57499999999999996</v>
      </c>
      <c r="BT93" s="504">
        <v>49.984561999999997</v>
      </c>
      <c r="BU93" s="504">
        <v>70.41</v>
      </c>
      <c r="BV93" s="507">
        <v>0.57499999999999996</v>
      </c>
      <c r="BW93" s="504">
        <v>50.317813000000001</v>
      </c>
      <c r="BX93" s="504">
        <v>59.44</v>
      </c>
      <c r="BY93" s="504">
        <v>0.55000000000000004</v>
      </c>
      <c r="BZ93" s="504">
        <v>49.869176000000003</v>
      </c>
      <c r="CA93" s="504">
        <v>58.66</v>
      </c>
      <c r="CB93" s="504">
        <v>0.55000000000000004</v>
      </c>
      <c r="CC93" s="503">
        <v>49.416229999999999</v>
      </c>
      <c r="CD93" s="503">
        <v>57.25</v>
      </c>
      <c r="CE93" s="503">
        <v>0.55000000000000004</v>
      </c>
      <c r="CF93" s="503">
        <v>48.902000000000001</v>
      </c>
      <c r="CG93" s="503">
        <v>53.8</v>
      </c>
      <c r="CH93" s="508">
        <v>0.55000000000000004</v>
      </c>
      <c r="CI93" s="503">
        <v>48.486899000000001</v>
      </c>
      <c r="CJ93" s="503">
        <v>59.7</v>
      </c>
      <c r="CK93" s="503">
        <v>0.52500000000000002</v>
      </c>
      <c r="CL93" s="503">
        <v>48.450639000000002</v>
      </c>
      <c r="CM93" s="503">
        <v>56.94</v>
      </c>
      <c r="CN93" s="503">
        <v>0.52500000000000002</v>
      </c>
      <c r="CO93" s="503">
        <v>48.385738000000003</v>
      </c>
      <c r="CP93" s="503">
        <v>61.02</v>
      </c>
      <c r="CQ93" s="503">
        <v>0.52500000000000002</v>
      </c>
      <c r="CR93" s="504">
        <v>48.298895999999999</v>
      </c>
      <c r="CS93" s="504">
        <v>58.7</v>
      </c>
      <c r="CT93" s="514">
        <v>0.52500000000000002</v>
      </c>
      <c r="CU93" s="503">
        <v>48.314782999999998</v>
      </c>
      <c r="CV93" s="503">
        <v>56.87</v>
      </c>
      <c r="CW93" s="503">
        <v>0.5</v>
      </c>
      <c r="CX93" s="339">
        <v>48.308655999999999</v>
      </c>
      <c r="CY93" s="339">
        <v>57.53</v>
      </c>
      <c r="CZ93" s="339">
        <v>0.5</v>
      </c>
      <c r="DA93" s="339">
        <v>48.242306999999997</v>
      </c>
      <c r="DB93" s="339">
        <v>63.07</v>
      </c>
      <c r="DC93" s="339">
        <v>0.5</v>
      </c>
      <c r="DD93" s="339">
        <v>47.298349999999999</v>
      </c>
      <c r="DE93" s="339">
        <v>61.75</v>
      </c>
      <c r="DF93" s="511">
        <v>0.5</v>
      </c>
      <c r="DG93" s="339">
        <v>47.065081999999997</v>
      </c>
      <c r="DH93" s="339">
        <v>54.25</v>
      </c>
      <c r="DI93" s="339">
        <v>0.48</v>
      </c>
      <c r="DJ93" s="339">
        <v>47.043734999999998</v>
      </c>
      <c r="DK93" s="339">
        <v>53.83</v>
      </c>
      <c r="DL93" s="339">
        <v>0.48</v>
      </c>
      <c r="DM93" s="339">
        <v>46.976989000000003</v>
      </c>
      <c r="DN93" s="339">
        <v>48.75</v>
      </c>
      <c r="DO93" s="339">
        <v>0.48</v>
      </c>
      <c r="DP93" s="340">
        <v>43.451000000000001</v>
      </c>
      <c r="DQ93" s="340">
        <v>53.79</v>
      </c>
      <c r="DR93" s="515">
        <v>0.48</v>
      </c>
      <c r="DS93" s="339">
        <v>39.141148000000001</v>
      </c>
      <c r="DT93" s="339">
        <v>56.58</v>
      </c>
      <c r="DU93" s="339">
        <v>0.4</v>
      </c>
      <c r="DV93" s="339">
        <v>39.137307</v>
      </c>
      <c r="DW93" s="339">
        <v>45.36</v>
      </c>
      <c r="DX93" s="339">
        <v>0.4</v>
      </c>
      <c r="DY93" s="339">
        <v>38.855778999999998</v>
      </c>
      <c r="DZ93" s="339">
        <v>52.19</v>
      </c>
      <c r="EA93" s="339">
        <v>0.4</v>
      </c>
      <c r="EB93" s="340">
        <v>38.144852</v>
      </c>
      <c r="EC93" s="340">
        <v>47.43</v>
      </c>
      <c r="ED93" s="515">
        <v>0.4</v>
      </c>
      <c r="EE93" s="339">
        <v>38.459484000000003</v>
      </c>
      <c r="EF93" s="339">
        <v>43.32</v>
      </c>
      <c r="EG93" s="339">
        <v>0.38</v>
      </c>
      <c r="EH93" s="339">
        <v>38.092292</v>
      </c>
      <c r="EI93" s="339">
        <v>44.92</v>
      </c>
      <c r="EJ93" s="339">
        <v>0.38</v>
      </c>
      <c r="EK93" s="339">
        <v>37.384428999999997</v>
      </c>
      <c r="EL93" s="339">
        <v>39.9</v>
      </c>
      <c r="EM93" s="339">
        <v>0.38</v>
      </c>
      <c r="EN93" s="340">
        <v>36.847427000000003</v>
      </c>
      <c r="EO93" s="340">
        <v>39.86</v>
      </c>
      <c r="EP93" s="515">
        <v>0.38</v>
      </c>
      <c r="EQ93" s="339">
        <v>37.201051</v>
      </c>
      <c r="ER93" s="339">
        <v>34.729999999999997</v>
      </c>
      <c r="ES93" s="339">
        <v>0.37</v>
      </c>
      <c r="ET93" s="339">
        <v>36.634653</v>
      </c>
      <c r="EU93" s="339">
        <v>36.229999999999997</v>
      </c>
      <c r="EV93" s="339">
        <v>0.37</v>
      </c>
      <c r="EW93" s="339">
        <v>36.328360000000004</v>
      </c>
      <c r="EX93" s="339">
        <v>36.700000000000003</v>
      </c>
      <c r="EY93" s="339">
        <v>0.37</v>
      </c>
      <c r="EZ93" s="340">
        <v>36.258462999999999</v>
      </c>
      <c r="FA93" s="340">
        <v>35.46</v>
      </c>
      <c r="FB93" s="515">
        <v>0.37</v>
      </c>
      <c r="FC93" s="339">
        <v>36.262245999999998</v>
      </c>
      <c r="FD93" s="339">
        <v>35.79</v>
      </c>
      <c r="FE93" s="339">
        <v>0.36</v>
      </c>
      <c r="FF93" s="339">
        <v>36.258104000000003</v>
      </c>
      <c r="FG93" s="339">
        <v>31.94</v>
      </c>
      <c r="FH93" s="339">
        <v>0.36</v>
      </c>
      <c r="FI93" s="339">
        <v>36.241903999999998</v>
      </c>
      <c r="FJ93" s="339">
        <v>33.11</v>
      </c>
      <c r="FK93" s="339">
        <v>0.36</v>
      </c>
      <c r="FL93" s="339">
        <v>36.216999999999999</v>
      </c>
      <c r="FM93" s="339">
        <v>30.3</v>
      </c>
      <c r="FN93" s="511">
        <v>0.36</v>
      </c>
      <c r="FO93" s="339">
        <v>36.195582999999999</v>
      </c>
      <c r="FP93" s="339">
        <v>28.83</v>
      </c>
      <c r="FQ93" s="339">
        <v>0.34</v>
      </c>
      <c r="FR93" s="339">
        <v>36.179133</v>
      </c>
      <c r="FS93" s="339">
        <v>28.5</v>
      </c>
      <c r="FT93" s="339">
        <v>0.34</v>
      </c>
      <c r="FU93" s="339">
        <v>36.168703000000001</v>
      </c>
      <c r="FV93" s="339">
        <v>26.2</v>
      </c>
      <c r="FW93" s="339">
        <v>0.34</v>
      </c>
      <c r="FX93" s="339">
        <v>36.142000000000003</v>
      </c>
      <c r="FY93" s="339">
        <v>26.81</v>
      </c>
      <c r="FZ93" s="339">
        <v>0.34</v>
      </c>
      <c r="GA93" s="339">
        <v>35.967875999999997</v>
      </c>
      <c r="GB93" s="339">
        <v>26.02</v>
      </c>
      <c r="GC93" s="339">
        <v>0.33500000000000002</v>
      </c>
      <c r="GD93" s="339">
        <v>35.940007999999999</v>
      </c>
      <c r="GE93" s="339">
        <v>24.43</v>
      </c>
      <c r="GF93" s="339">
        <v>0.33500000000000002</v>
      </c>
      <c r="GG93" s="339">
        <v>35.933900000000001</v>
      </c>
      <c r="GH93" s="339">
        <v>22.76</v>
      </c>
      <c r="GI93" s="339">
        <v>0.33500000000000002</v>
      </c>
      <c r="GJ93" s="339">
        <v>35.92</v>
      </c>
      <c r="GK93" s="339">
        <v>21.48</v>
      </c>
      <c r="GL93" s="339">
        <v>0.33500000000000002</v>
      </c>
      <c r="GM93" s="339">
        <v>38.057346000000003</v>
      </c>
      <c r="GN93" s="339">
        <v>23.47</v>
      </c>
      <c r="GO93" s="339">
        <v>0.33</v>
      </c>
      <c r="GP93" s="339">
        <v>38.972551000000003</v>
      </c>
      <c r="GQ93" s="339">
        <v>25.13</v>
      </c>
      <c r="GR93" s="339">
        <v>0.33</v>
      </c>
      <c r="GS93" s="339">
        <v>38.972507</v>
      </c>
      <c r="GT93" s="339">
        <v>24.82</v>
      </c>
      <c r="GU93" s="339">
        <v>0.33</v>
      </c>
      <c r="GV93" s="339">
        <v>36.622546999999997</v>
      </c>
      <c r="GW93" s="339">
        <v>24.37</v>
      </c>
      <c r="GX93" s="339">
        <v>0.33</v>
      </c>
      <c r="GY93" s="339">
        <v>36.471145999999997</v>
      </c>
      <c r="GZ93" s="339">
        <v>29.5</v>
      </c>
      <c r="HA93" s="339">
        <v>0.33</v>
      </c>
      <c r="HB93" s="339">
        <v>35.988340000000001</v>
      </c>
      <c r="HC93" s="339">
        <v>27.17</v>
      </c>
      <c r="HD93" s="339">
        <v>0.33</v>
      </c>
      <c r="HE93" s="339">
        <v>35.719980999999997</v>
      </c>
      <c r="HF93" s="339">
        <v>31.81</v>
      </c>
      <c r="HG93" s="339">
        <v>0.31</v>
      </c>
      <c r="HH93" s="339">
        <v>35.554498000000002</v>
      </c>
      <c r="HI93" s="505">
        <v>35.43</v>
      </c>
      <c r="HJ93" s="339">
        <v>0.31</v>
      </c>
      <c r="HK93" s="339">
        <v>35.510466999999998</v>
      </c>
      <c r="HL93" s="339">
        <v>35.380000000000003</v>
      </c>
      <c r="HM93" s="339">
        <v>0.31</v>
      </c>
      <c r="HN93" s="339">
        <v>35.510759999999998</v>
      </c>
      <c r="HO93" s="339">
        <v>34.979999999999997</v>
      </c>
      <c r="HP93" s="339">
        <v>0.31</v>
      </c>
      <c r="HQ93" s="339">
        <v>35.584266999999997</v>
      </c>
      <c r="HR93" s="339">
        <v>34.35</v>
      </c>
      <c r="HS93" s="339">
        <v>0.31</v>
      </c>
      <c r="HT93" s="339">
        <v>35.700000000000003</v>
      </c>
      <c r="HU93" s="339">
        <v>31.14</v>
      </c>
      <c r="HV93" s="339">
        <v>0.31</v>
      </c>
      <c r="HW93" s="339">
        <v>35.643037</v>
      </c>
      <c r="HX93" s="506">
        <v>31.07</v>
      </c>
      <c r="HY93" s="513">
        <f>1.24/4</f>
        <v>0.31</v>
      </c>
      <c r="HZ93" s="339">
        <v>35.606762000000003</v>
      </c>
      <c r="IA93" s="339">
        <v>30.19</v>
      </c>
      <c r="IB93" s="512">
        <v>0.25</v>
      </c>
      <c r="IC93" s="339">
        <v>35.611026000000003</v>
      </c>
      <c r="ID93" s="339">
        <v>31.52</v>
      </c>
      <c r="IE93" s="339">
        <v>0.11</v>
      </c>
      <c r="IF93" s="339">
        <v>37.396762000000003</v>
      </c>
      <c r="IG93" s="339">
        <v>26.37</v>
      </c>
      <c r="IH93" s="339">
        <v>0.22</v>
      </c>
      <c r="II93" s="339">
        <v>37.396762000000003</v>
      </c>
      <c r="IJ93" s="505">
        <v>28</v>
      </c>
      <c r="IK93" s="339">
        <v>0</v>
      </c>
      <c r="IL93" s="339"/>
      <c r="IM93" s="339"/>
      <c r="IN93" s="339"/>
      <c r="IO93" s="339"/>
      <c r="IP93" s="339"/>
      <c r="IQ93" s="339"/>
      <c r="IR93" s="339"/>
      <c r="IS93" s="339"/>
      <c r="IT93" s="339"/>
      <c r="IU93" s="339"/>
      <c r="IV93" s="339"/>
      <c r="IW93" s="339"/>
      <c r="IX93" s="339">
        <v>37.396762000000003</v>
      </c>
      <c r="IY93" s="339">
        <v>0.3</v>
      </c>
      <c r="IZ93" s="339">
        <v>0</v>
      </c>
      <c r="JA93" s="339">
        <v>37.396762000000003</v>
      </c>
      <c r="JB93" s="339">
        <v>2</v>
      </c>
      <c r="JC93" s="339">
        <v>0</v>
      </c>
      <c r="JD93" s="339">
        <v>27.396999999999998</v>
      </c>
      <c r="JE93" s="339">
        <v>2.1</v>
      </c>
      <c r="JF93" s="339">
        <v>0</v>
      </c>
      <c r="JG93" s="339">
        <v>27.396999999999998</v>
      </c>
      <c r="JH93" s="339">
        <v>5.08</v>
      </c>
      <c r="JI93" s="339">
        <v>0.3175</v>
      </c>
      <c r="JJ93" s="339">
        <v>27.396761999999999</v>
      </c>
      <c r="JK93" s="339">
        <v>9.76</v>
      </c>
      <c r="JL93" s="339">
        <v>0.3175</v>
      </c>
      <c r="JM93" s="339">
        <v>27.396999999999998</v>
      </c>
      <c r="JN93" s="339">
        <v>16.95</v>
      </c>
      <c r="JO93" s="339">
        <v>0.3175</v>
      </c>
      <c r="JP93" s="339">
        <v>26.724</v>
      </c>
      <c r="JQ93" s="339">
        <v>22</v>
      </c>
      <c r="JR93" s="339">
        <v>0.3175</v>
      </c>
      <c r="JS93" s="339">
        <v>23.706</v>
      </c>
      <c r="JT93" s="339">
        <v>21.05</v>
      </c>
      <c r="JU93" s="339">
        <v>0.3175</v>
      </c>
      <c r="JV93" s="339">
        <v>23.669</v>
      </c>
      <c r="JW93" s="339">
        <v>22</v>
      </c>
      <c r="JX93" s="339">
        <v>0.29749999999999999</v>
      </c>
      <c r="JY93" s="339">
        <v>23.433</v>
      </c>
      <c r="JZ93" s="339">
        <v>22.4</v>
      </c>
      <c r="KA93" s="339">
        <v>0.29749999999999999</v>
      </c>
      <c r="KB93" s="339">
        <v>23.216000000000001</v>
      </c>
      <c r="KC93" s="339">
        <v>24.5</v>
      </c>
      <c r="KD93" s="339">
        <v>0.29749999999999999</v>
      </c>
      <c r="KE93" s="339">
        <v>23.119</v>
      </c>
      <c r="KF93" s="339">
        <v>23.125</v>
      </c>
      <c r="KG93" s="339">
        <v>0.29749999999999999</v>
      </c>
      <c r="KH93" s="339">
        <v>23.117000000000001</v>
      </c>
      <c r="KI93" s="339">
        <v>19.5</v>
      </c>
      <c r="KJ93" s="339">
        <v>0.27750000000000002</v>
      </c>
      <c r="KK93" s="339">
        <v>23.109000000000002</v>
      </c>
      <c r="KL93" s="339">
        <v>23.125</v>
      </c>
      <c r="KM93" s="339">
        <v>0.27750000000000002</v>
      </c>
      <c r="KN93" s="339">
        <v>23.109000000000002</v>
      </c>
      <c r="KO93" s="339">
        <v>20.625</v>
      </c>
      <c r="KP93" s="339">
        <v>0.27750000000000002</v>
      </c>
      <c r="KQ93" s="339">
        <v>23.1</v>
      </c>
      <c r="KR93" s="339">
        <v>22</v>
      </c>
      <c r="KS93" s="339">
        <v>0.27750000000000002</v>
      </c>
      <c r="KT93" s="339">
        <v>23.1</v>
      </c>
      <c r="KU93" s="339">
        <v>22.75</v>
      </c>
      <c r="KV93" s="339">
        <v>0.25750000000000001</v>
      </c>
      <c r="KW93" s="334">
        <v>18.66</v>
      </c>
      <c r="KX93" s="334">
        <v>24.1875</v>
      </c>
      <c r="KY93" s="334">
        <v>0.25750000000000001</v>
      </c>
      <c r="KZ93" s="334">
        <v>17.86</v>
      </c>
      <c r="LA93" s="334">
        <v>25.9375</v>
      </c>
      <c r="LB93" s="334">
        <v>0.25800000000000001</v>
      </c>
      <c r="LC93" s="334">
        <v>17.86</v>
      </c>
      <c r="LD93" s="334">
        <v>26.437999999999999</v>
      </c>
      <c r="LE93" s="334">
        <v>0.25800000000000001</v>
      </c>
      <c r="LF93" s="334">
        <v>17.84</v>
      </c>
      <c r="LG93" s="334">
        <v>26</v>
      </c>
      <c r="LH93" s="334">
        <v>0.24299999999999999</v>
      </c>
      <c r="LI93" s="334">
        <v>17.84</v>
      </c>
      <c r="LJ93" s="334">
        <v>25</v>
      </c>
      <c r="LK93" s="334">
        <v>0.24299999999999999</v>
      </c>
      <c r="LL93" s="334">
        <v>17.84</v>
      </c>
      <c r="LM93" s="334">
        <v>22.9375</v>
      </c>
      <c r="LN93" s="334">
        <v>0.24299999999999999</v>
      </c>
      <c r="LO93" s="334">
        <v>17.843</v>
      </c>
      <c r="LP93" s="334">
        <v>23</v>
      </c>
      <c r="LQ93" s="334">
        <v>0.24299999999999999</v>
      </c>
      <c r="LR93" s="334">
        <v>17.843599999999999</v>
      </c>
      <c r="LS93" s="334">
        <v>18.4375</v>
      </c>
      <c r="LT93" s="334">
        <v>0.23</v>
      </c>
      <c r="LU93" s="334">
        <v>17.843599999999999</v>
      </c>
      <c r="LV93" s="334">
        <v>21.5</v>
      </c>
      <c r="LW93" s="334">
        <v>0.23</v>
      </c>
      <c r="LX93" s="334">
        <v>17.84</v>
      </c>
      <c r="LY93" s="334">
        <v>19</v>
      </c>
      <c r="LZ93" s="334">
        <v>0.23</v>
      </c>
      <c r="MA93" s="334">
        <v>17.84</v>
      </c>
      <c r="MB93" s="334">
        <v>17.125</v>
      </c>
      <c r="MC93" s="334">
        <v>0.22</v>
      </c>
      <c r="MD93" s="334">
        <v>15.353999999999999</v>
      </c>
      <c r="ME93" s="334">
        <v>14.938000000000001</v>
      </c>
      <c r="MF93" s="334">
        <v>0.22</v>
      </c>
      <c r="MG93" s="334">
        <v>15.353999999999999</v>
      </c>
      <c r="MH93" s="334">
        <v>13.438000000000001</v>
      </c>
      <c r="MI93" s="334">
        <v>0.22</v>
      </c>
      <c r="MJ93" s="334">
        <v>15.353999999999999</v>
      </c>
      <c r="MK93" s="334">
        <v>14.5</v>
      </c>
      <c r="ML93" s="334">
        <v>0.22</v>
      </c>
      <c r="MM93" s="334">
        <v>15.353999999999999</v>
      </c>
      <c r="MN93" s="334">
        <v>14</v>
      </c>
      <c r="MO93" s="334">
        <v>0.22</v>
      </c>
      <c r="MP93" s="334">
        <v>15.353999999999999</v>
      </c>
      <c r="MQ93" s="334">
        <v>12.75</v>
      </c>
      <c r="MR93" s="334">
        <v>0.21249999999999999</v>
      </c>
      <c r="MS93" s="334">
        <v>15.353999999999999</v>
      </c>
      <c r="MT93" s="334">
        <v>12.813000000000001</v>
      </c>
      <c r="MU93" s="334">
        <v>0.21249999999999999</v>
      </c>
      <c r="MV93" s="334">
        <v>15.353999999999999</v>
      </c>
      <c r="MW93" s="334">
        <v>12.75</v>
      </c>
      <c r="MX93" s="334">
        <v>0.21249999999999999</v>
      </c>
      <c r="MY93" s="334">
        <v>15.353999999999999</v>
      </c>
      <c r="MZ93" s="334">
        <v>13.375</v>
      </c>
      <c r="NA93" s="334">
        <v>0.21249999999999999</v>
      </c>
      <c r="NB93" s="334">
        <v>15.353999999999999</v>
      </c>
      <c r="NC93" s="334">
        <v>14.5</v>
      </c>
      <c r="ND93" s="334">
        <v>0.20749999999999999</v>
      </c>
      <c r="NE93" s="334">
        <v>15.353999999999999</v>
      </c>
      <c r="NF93" s="334">
        <v>13.75</v>
      </c>
      <c r="NG93" s="334">
        <v>0.20749999999999999</v>
      </c>
      <c r="NH93" s="334">
        <v>15.353999999999999</v>
      </c>
      <c r="NI93" s="334">
        <v>13.5</v>
      </c>
      <c r="NJ93" s="334">
        <v>0.20749999999999999</v>
      </c>
      <c r="NK93" s="334">
        <v>15.353999999999999</v>
      </c>
      <c r="NL93" s="334">
        <v>14.375</v>
      </c>
      <c r="NM93" s="334">
        <v>0.20749999999999999</v>
      </c>
      <c r="NN93" s="334">
        <v>15.353999999999999</v>
      </c>
      <c r="NO93" s="334">
        <v>16.0625</v>
      </c>
      <c r="NP93" s="334">
        <v>0.20250000000000001</v>
      </c>
      <c r="NQ93" s="334">
        <v>15.353999999999999</v>
      </c>
      <c r="NR93" s="334">
        <v>14.625</v>
      </c>
      <c r="NS93" s="334">
        <v>0.20250000000000001</v>
      </c>
      <c r="NT93" s="334">
        <v>15.353999999999999</v>
      </c>
      <c r="NU93" s="334">
        <v>14.625</v>
      </c>
      <c r="NV93" s="334">
        <v>0.20250000000000001</v>
      </c>
      <c r="NW93" s="334">
        <v>15.353999999999999</v>
      </c>
      <c r="NX93" s="334">
        <v>14</v>
      </c>
      <c r="NY93" s="334">
        <v>0.21</v>
      </c>
      <c r="NZ93" s="334">
        <v>15.353999999999999</v>
      </c>
      <c r="OA93" s="334">
        <v>13.25</v>
      </c>
      <c r="OB93" s="334">
        <v>0.2</v>
      </c>
      <c r="OC93" s="334">
        <v>15.353999999999999</v>
      </c>
      <c r="OD93" s="334">
        <v>12.5</v>
      </c>
      <c r="OE93" s="334">
        <v>0.2</v>
      </c>
      <c r="OF93" s="334">
        <v>15.353999999999999</v>
      </c>
      <c r="OG93" s="334">
        <v>13.69</v>
      </c>
      <c r="OH93" s="334">
        <v>0.2</v>
      </c>
      <c r="OI93" s="334">
        <v>15.353999999999999</v>
      </c>
      <c r="OJ93" s="334">
        <v>12.94</v>
      </c>
      <c r="OK93" s="334">
        <v>0.2</v>
      </c>
      <c r="OL93" s="334">
        <v>15.353999999999999</v>
      </c>
      <c r="OM93" s="334">
        <v>12.81</v>
      </c>
      <c r="ON93" s="334">
        <v>0.19</v>
      </c>
      <c r="OO93" s="334">
        <v>15.353999999999999</v>
      </c>
      <c r="OP93" s="334">
        <v>12.44</v>
      </c>
      <c r="OQ93" s="334">
        <v>0.19</v>
      </c>
      <c r="OR93" s="334">
        <v>15.353999999999999</v>
      </c>
      <c r="OS93" s="334">
        <v>12.5</v>
      </c>
      <c r="OT93" s="334">
        <v>0.19</v>
      </c>
      <c r="OU93" s="334">
        <v>15.353999999999999</v>
      </c>
      <c r="OV93" s="334">
        <v>10.25</v>
      </c>
    </row>
    <row r="94" spans="1:412">
      <c r="B94" s="333" t="s">
        <v>267</v>
      </c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39"/>
      <c r="AE94" s="339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504"/>
      <c r="AZ94" s="504"/>
      <c r="BA94" s="504"/>
      <c r="BB94" s="503"/>
      <c r="BC94" s="503"/>
      <c r="BD94" s="503"/>
      <c r="BE94" s="503"/>
      <c r="BF94" s="503"/>
      <c r="BG94" s="503"/>
      <c r="BH94" s="503"/>
      <c r="BI94" s="503"/>
      <c r="BJ94" s="503"/>
      <c r="BK94" s="503"/>
      <c r="BL94" s="503"/>
      <c r="BM94" s="503"/>
      <c r="BN94" s="503"/>
      <c r="BO94" s="503"/>
      <c r="BP94" s="503"/>
      <c r="BQ94" s="504"/>
      <c r="BR94" s="504"/>
      <c r="BS94" s="504"/>
      <c r="BT94" s="504"/>
      <c r="BU94" s="504"/>
      <c r="BV94" s="504"/>
      <c r="BW94" s="504"/>
      <c r="BX94" s="504"/>
      <c r="BY94" s="504"/>
      <c r="BZ94" s="503"/>
      <c r="CA94" s="503"/>
      <c r="CB94" s="503"/>
      <c r="CC94" s="503"/>
      <c r="CD94" s="503"/>
      <c r="CE94" s="503"/>
      <c r="CF94" s="503"/>
      <c r="CG94" s="503"/>
      <c r="CH94" s="503"/>
      <c r="CI94" s="503"/>
      <c r="CJ94" s="503"/>
      <c r="CK94" s="503"/>
      <c r="CL94" s="503"/>
      <c r="CM94" s="503"/>
      <c r="CN94" s="503"/>
      <c r="CO94" s="503"/>
      <c r="CP94" s="503"/>
      <c r="CQ94" s="503"/>
      <c r="CR94" s="504"/>
      <c r="CS94" s="504"/>
      <c r="CT94" s="504"/>
      <c r="CU94" s="503"/>
      <c r="CV94" s="503"/>
      <c r="CW94" s="503"/>
      <c r="CX94" s="339"/>
      <c r="CY94" s="339"/>
      <c r="CZ94" s="339"/>
      <c r="DA94" s="339"/>
      <c r="DB94" s="339"/>
      <c r="DC94" s="339"/>
      <c r="DD94" s="339"/>
      <c r="DE94" s="339"/>
      <c r="DF94" s="339"/>
      <c r="DG94" s="339"/>
      <c r="DH94" s="339"/>
      <c r="DI94" s="339"/>
      <c r="DJ94" s="339"/>
      <c r="DK94" s="339"/>
      <c r="DL94" s="339"/>
      <c r="DM94" s="339"/>
      <c r="DN94" s="339"/>
      <c r="DO94" s="339"/>
      <c r="DP94" s="339"/>
      <c r="DQ94" s="339"/>
      <c r="DR94" s="339"/>
      <c r="DS94" s="339"/>
      <c r="DT94" s="339"/>
      <c r="DU94" s="339"/>
      <c r="DV94" s="339"/>
      <c r="DW94" s="339"/>
      <c r="DX94" s="339"/>
      <c r="DY94" s="339"/>
      <c r="DZ94" s="339"/>
      <c r="EA94" s="339"/>
      <c r="EB94" s="340"/>
      <c r="EC94" s="340"/>
      <c r="ED94" s="340"/>
      <c r="EE94" s="339"/>
      <c r="EF94" s="339"/>
      <c r="EG94" s="339"/>
      <c r="EH94" s="339"/>
      <c r="EI94" s="339"/>
      <c r="EJ94" s="339"/>
      <c r="EK94" s="339"/>
      <c r="EL94" s="339"/>
      <c r="EM94" s="339"/>
      <c r="EN94" s="339"/>
      <c r="EO94" s="339"/>
      <c r="EP94" s="339"/>
      <c r="EQ94" s="339"/>
      <c r="ER94" s="339"/>
      <c r="ES94" s="339"/>
      <c r="ET94" s="339"/>
      <c r="EU94" s="339"/>
      <c r="EV94" s="339"/>
      <c r="EW94" s="339"/>
      <c r="EX94" s="339"/>
      <c r="EY94" s="339"/>
      <c r="EZ94" s="339"/>
      <c r="FA94" s="339"/>
      <c r="FB94" s="339"/>
      <c r="FC94" s="339"/>
      <c r="FD94" s="339"/>
      <c r="FE94" s="339"/>
      <c r="FF94" s="339"/>
      <c r="FG94" s="339"/>
      <c r="FH94" s="342"/>
      <c r="FI94" s="339"/>
      <c r="FJ94" s="339"/>
      <c r="FK94" s="339"/>
      <c r="FL94" s="339"/>
      <c r="FM94" s="339"/>
      <c r="FN94" s="339"/>
      <c r="FO94" s="339"/>
      <c r="FP94" s="339"/>
      <c r="FQ94" s="339"/>
      <c r="FR94" s="339"/>
      <c r="FS94" s="339"/>
      <c r="FT94" s="339"/>
      <c r="FU94" s="339"/>
      <c r="FV94" s="339"/>
      <c r="FW94" s="339"/>
      <c r="FX94" s="339"/>
      <c r="FY94" s="339"/>
      <c r="FZ94" s="339"/>
      <c r="GA94" s="339"/>
      <c r="GB94" s="339"/>
      <c r="GC94" s="339"/>
      <c r="GD94" s="339"/>
      <c r="GE94" s="339"/>
      <c r="GF94" s="339"/>
      <c r="GG94" s="339"/>
      <c r="GH94" s="339"/>
      <c r="GI94" s="339"/>
      <c r="GJ94" s="339"/>
      <c r="GK94" s="339"/>
      <c r="GL94" s="339"/>
      <c r="GM94" s="339"/>
      <c r="GN94" s="339"/>
      <c r="GO94" s="339"/>
      <c r="GP94" s="339"/>
      <c r="GQ94" s="339"/>
      <c r="GR94" s="339"/>
      <c r="GS94" s="339"/>
      <c r="GT94" s="339"/>
      <c r="GU94" s="339"/>
      <c r="GV94" s="339"/>
      <c r="GW94" s="339"/>
      <c r="GX94" s="339"/>
      <c r="GY94" s="339"/>
      <c r="GZ94" s="339"/>
      <c r="HA94" s="339"/>
      <c r="HB94" s="339"/>
      <c r="HC94" s="339"/>
      <c r="HD94" s="339"/>
      <c r="HE94" s="339"/>
      <c r="HF94" s="339"/>
      <c r="HG94" s="339"/>
      <c r="HH94" s="339"/>
      <c r="HI94" s="505"/>
      <c r="HJ94" s="339"/>
      <c r="HK94" s="339"/>
      <c r="HL94" s="339"/>
      <c r="HM94" s="339"/>
      <c r="HN94" s="339"/>
      <c r="HO94" s="339"/>
      <c r="HP94" s="339"/>
      <c r="HQ94" s="339"/>
      <c r="HR94" s="339"/>
      <c r="HS94" s="339"/>
      <c r="HT94" s="339"/>
      <c r="HU94" s="339"/>
      <c r="HV94" s="339"/>
      <c r="HW94" s="339"/>
      <c r="HX94" s="506"/>
      <c r="HY94" s="513"/>
      <c r="HZ94" s="339"/>
      <c r="IA94" s="339"/>
      <c r="IB94" s="339"/>
      <c r="IC94" s="339"/>
      <c r="ID94" s="339"/>
      <c r="IE94" s="339"/>
      <c r="IF94" s="339"/>
      <c r="IG94" s="339"/>
      <c r="IH94" s="339"/>
      <c r="II94" s="339"/>
      <c r="IJ94" s="505"/>
      <c r="IK94" s="339"/>
      <c r="IL94" s="339"/>
      <c r="IM94" s="339"/>
      <c r="IN94" s="339"/>
      <c r="IO94" s="339"/>
      <c r="IP94" s="339"/>
      <c r="IQ94" s="339"/>
      <c r="IR94" s="339"/>
      <c r="IS94" s="339"/>
      <c r="IT94" s="339"/>
      <c r="IU94" s="339"/>
      <c r="IV94" s="339"/>
      <c r="IW94" s="339"/>
      <c r="IX94" s="339"/>
      <c r="IY94" s="339"/>
      <c r="IZ94" s="342"/>
      <c r="JA94" s="339"/>
      <c r="JB94" s="339"/>
      <c r="JC94" s="339"/>
      <c r="JD94" s="339"/>
      <c r="JE94" s="339"/>
      <c r="JF94" s="339"/>
      <c r="JG94" s="339"/>
      <c r="JH94" s="339"/>
      <c r="JI94" s="339"/>
      <c r="JJ94" s="339"/>
      <c r="JK94" s="339"/>
      <c r="JL94" s="339"/>
      <c r="JM94" s="339"/>
      <c r="JN94" s="339"/>
      <c r="JO94" s="339"/>
      <c r="JP94" s="339"/>
      <c r="JQ94" s="339"/>
      <c r="JR94" s="339"/>
      <c r="JS94" s="339"/>
      <c r="JT94" s="342"/>
      <c r="JU94" s="342"/>
      <c r="JV94" s="339"/>
      <c r="JW94" s="339"/>
      <c r="JX94" s="339"/>
      <c r="JY94" s="339"/>
      <c r="JZ94" s="339"/>
      <c r="KA94" s="339"/>
      <c r="KB94" s="339"/>
      <c r="KC94" s="339"/>
      <c r="KD94" s="339"/>
      <c r="KE94" s="339"/>
      <c r="KF94" s="339"/>
      <c r="KG94" s="339"/>
      <c r="KH94" s="339"/>
      <c r="KI94" s="339"/>
      <c r="KJ94" s="339"/>
      <c r="KK94" s="339"/>
      <c r="KL94" s="339"/>
      <c r="KM94" s="339"/>
      <c r="KN94" s="339"/>
      <c r="KO94" s="339"/>
      <c r="KP94" s="339"/>
      <c r="KQ94" s="339"/>
      <c r="KR94" s="339"/>
      <c r="KS94" s="339"/>
      <c r="KT94" s="339"/>
      <c r="KU94" s="339"/>
      <c r="KV94" s="339"/>
      <c r="KW94" s="334">
        <v>13.52</v>
      </c>
      <c r="KX94" s="334">
        <v>58.375</v>
      </c>
      <c r="KY94" s="334">
        <v>0.48499999999999999</v>
      </c>
      <c r="KZ94" s="334">
        <v>13.52</v>
      </c>
      <c r="LA94" s="334">
        <v>57.4375</v>
      </c>
      <c r="LB94" s="334">
        <v>0.64500000000000002</v>
      </c>
      <c r="LC94" s="334">
        <v>13.52</v>
      </c>
      <c r="LD94" s="334">
        <v>57</v>
      </c>
      <c r="LE94" s="334">
        <v>0.64500000000000002</v>
      </c>
      <c r="LF94" s="334">
        <v>13.52</v>
      </c>
      <c r="LG94" s="334">
        <v>54.813000000000002</v>
      </c>
      <c r="LH94" s="334">
        <v>0.64500000000000002</v>
      </c>
      <c r="LI94" s="334">
        <v>13.52</v>
      </c>
      <c r="LJ94" s="334">
        <v>53.688000000000002</v>
      </c>
      <c r="LK94" s="334">
        <v>0.64500000000000002</v>
      </c>
      <c r="LL94" s="334">
        <v>13.65</v>
      </c>
      <c r="LM94" s="334">
        <v>44.875</v>
      </c>
      <c r="LN94" s="334">
        <v>0.64500000000000002</v>
      </c>
      <c r="LO94" s="334">
        <v>13.654</v>
      </c>
      <c r="LP94" s="334">
        <v>46.5625</v>
      </c>
      <c r="LQ94" s="334">
        <v>0.64500000000000002</v>
      </c>
      <c r="LR94" s="334">
        <v>13.654</v>
      </c>
      <c r="LS94" s="334">
        <v>37.4375</v>
      </c>
      <c r="LT94" s="334">
        <v>0.64500000000000002</v>
      </c>
      <c r="LU94" s="334">
        <v>13.654</v>
      </c>
      <c r="LV94" s="334">
        <v>33.625</v>
      </c>
      <c r="LW94" s="334">
        <v>0.64500000000000002</v>
      </c>
      <c r="LX94" s="334">
        <v>13.654</v>
      </c>
      <c r="LY94" s="334">
        <v>35.625</v>
      </c>
      <c r="LZ94" s="334">
        <v>0.64500000000000002</v>
      </c>
      <c r="MA94" s="334">
        <v>13.54</v>
      </c>
      <c r="MB94" s="334">
        <v>35.875</v>
      </c>
      <c r="MC94" s="334">
        <v>0.64500000000000002</v>
      </c>
      <c r="MD94" s="334">
        <v>13.54</v>
      </c>
      <c r="ME94" s="334">
        <v>35</v>
      </c>
      <c r="MF94" s="334">
        <v>0.64500000000000002</v>
      </c>
      <c r="MG94" s="334">
        <v>13.54</v>
      </c>
      <c r="MH94" s="334">
        <v>36.75</v>
      </c>
      <c r="MI94" s="334">
        <v>0.64500000000000002</v>
      </c>
      <c r="MJ94" s="334">
        <v>13.54</v>
      </c>
      <c r="MK94" s="334">
        <v>35.875</v>
      </c>
      <c r="ML94" s="334">
        <v>0.64500000000000002</v>
      </c>
      <c r="MM94" s="334">
        <v>13.54</v>
      </c>
      <c r="MN94" s="334">
        <v>35.75</v>
      </c>
      <c r="MO94" s="334">
        <v>0.64500000000000002</v>
      </c>
      <c r="MP94" s="334">
        <v>13.54</v>
      </c>
      <c r="MQ94" s="334">
        <v>35.625</v>
      </c>
      <c r="MR94" s="334">
        <v>0.64500000000000002</v>
      </c>
      <c r="MS94" s="334">
        <v>13.54</v>
      </c>
      <c r="MT94" s="334">
        <v>33.625</v>
      </c>
      <c r="MU94" s="334">
        <v>0.64500000000000002</v>
      </c>
      <c r="MV94" s="334">
        <v>13.54</v>
      </c>
      <c r="MW94" s="334">
        <v>32.25</v>
      </c>
      <c r="MX94" s="334">
        <v>0.64</v>
      </c>
      <c r="MY94" s="334">
        <v>13.54</v>
      </c>
      <c r="MZ94" s="334">
        <v>32.5</v>
      </c>
      <c r="NA94" s="334">
        <v>0.64</v>
      </c>
      <c r="NB94" s="334">
        <v>13.54</v>
      </c>
      <c r="NC94" s="334">
        <v>30.375</v>
      </c>
      <c r="ND94" s="334">
        <v>0.64</v>
      </c>
      <c r="NE94" s="334">
        <v>13.54</v>
      </c>
      <c r="NF94" s="334">
        <v>31.25</v>
      </c>
      <c r="NG94" s="334">
        <v>0.63</v>
      </c>
      <c r="NH94" s="334">
        <v>13.532</v>
      </c>
      <c r="NI94" s="334">
        <v>32.875</v>
      </c>
      <c r="NJ94" s="334">
        <v>0.63</v>
      </c>
      <c r="NK94" s="334">
        <v>13.532</v>
      </c>
      <c r="NL94" s="334">
        <v>40.625</v>
      </c>
      <c r="NM94" s="334">
        <v>0.63</v>
      </c>
      <c r="NN94" s="334">
        <v>13.532</v>
      </c>
      <c r="NO94" s="334">
        <v>45.375</v>
      </c>
      <c r="NP94" s="334">
        <v>0.63</v>
      </c>
      <c r="NQ94" s="334">
        <v>13.532</v>
      </c>
      <c r="NR94" s="334">
        <v>45.75</v>
      </c>
      <c r="NS94" s="334">
        <v>0.61499999999999999</v>
      </c>
      <c r="NT94" s="334">
        <v>13.531000000000001</v>
      </c>
      <c r="NU94" s="334">
        <v>45.125</v>
      </c>
      <c r="NV94" s="334">
        <v>0.61499999999999999</v>
      </c>
      <c r="NW94" s="334">
        <v>13.413</v>
      </c>
      <c r="NX94" s="334">
        <v>41.63</v>
      </c>
      <c r="NY94" s="334">
        <v>0.62</v>
      </c>
      <c r="NZ94" s="334">
        <v>13.413</v>
      </c>
      <c r="OA94" s="334">
        <v>39.5</v>
      </c>
      <c r="OB94" s="334">
        <v>0.62</v>
      </c>
      <c r="OC94" s="334">
        <v>13.387</v>
      </c>
      <c r="OD94" s="334">
        <v>37.630000000000003</v>
      </c>
      <c r="OE94" s="334">
        <v>0.6</v>
      </c>
      <c r="OF94" s="334">
        <v>13.36</v>
      </c>
      <c r="OG94" s="334">
        <v>35.380000000000003</v>
      </c>
      <c r="OH94" s="334">
        <v>0.6</v>
      </c>
      <c r="OI94" s="334">
        <v>13.238</v>
      </c>
      <c r="OJ94" s="334">
        <v>38.630000000000003</v>
      </c>
      <c r="OK94" s="334">
        <v>0.6</v>
      </c>
      <c r="OL94" s="334">
        <v>13.214</v>
      </c>
      <c r="OM94" s="334">
        <v>38.130000000000003</v>
      </c>
      <c r="ON94" s="334">
        <v>0.6</v>
      </c>
      <c r="OO94" s="334">
        <v>13.189</v>
      </c>
      <c r="OP94" s="334">
        <v>35</v>
      </c>
      <c r="OQ94" s="334">
        <v>0.59</v>
      </c>
      <c r="OR94" s="334">
        <v>13.164</v>
      </c>
      <c r="OS94" s="334">
        <v>32.880000000000003</v>
      </c>
      <c r="OT94" s="334">
        <v>0.59</v>
      </c>
      <c r="OU94" s="334">
        <v>13.04</v>
      </c>
      <c r="OV94" s="334">
        <v>31.38</v>
      </c>
    </row>
    <row r="95" spans="1:412">
      <c r="A95" s="294" t="s">
        <v>102</v>
      </c>
      <c r="B95" s="335" t="s">
        <v>150</v>
      </c>
      <c r="C95" s="335">
        <v>2137</v>
      </c>
      <c r="D95" s="335">
        <v>20.18</v>
      </c>
      <c r="E95" s="335">
        <v>2.5000000000000001E-2</v>
      </c>
      <c r="F95" s="335">
        <v>2137</v>
      </c>
      <c r="G95" s="335">
        <v>19.77</v>
      </c>
      <c r="H95" s="335">
        <v>0.01</v>
      </c>
      <c r="I95" s="335">
        <v>2134</v>
      </c>
      <c r="J95" s="335">
        <v>17.46</v>
      </c>
      <c r="K95" s="335">
        <v>0.01</v>
      </c>
      <c r="L95" s="335">
        <v>2133</v>
      </c>
      <c r="M95" s="335">
        <v>16.760000000000002</v>
      </c>
      <c r="N95" s="335">
        <v>0.01</v>
      </c>
      <c r="O95" s="335">
        <v>2111</v>
      </c>
      <c r="P95" s="335">
        <v>18.03</v>
      </c>
      <c r="Q95" s="335">
        <v>0</v>
      </c>
      <c r="R95" s="340">
        <v>2019</v>
      </c>
      <c r="S95" s="340">
        <v>16.13</v>
      </c>
      <c r="T95" s="340">
        <v>0</v>
      </c>
      <c r="U95" s="340">
        <v>1991</v>
      </c>
      <c r="V95" s="340">
        <v>17.28</v>
      </c>
      <c r="W95" s="340">
        <v>0</v>
      </c>
      <c r="X95" s="340">
        <v>1987</v>
      </c>
      <c r="Y95" s="340">
        <v>16.170000000000002</v>
      </c>
      <c r="Z95" s="340">
        <v>0</v>
      </c>
      <c r="AA95" s="340">
        <v>1987</v>
      </c>
      <c r="AB95" s="340">
        <v>16.260000000000002</v>
      </c>
      <c r="AC95" s="340">
        <v>0</v>
      </c>
      <c r="AD95" s="340">
        <v>1987</v>
      </c>
      <c r="AE95" s="340">
        <v>12.5</v>
      </c>
      <c r="AF95" s="340">
        <v>0</v>
      </c>
      <c r="AG95" s="340">
        <v>1986</v>
      </c>
      <c r="AH95" s="340">
        <v>9.98</v>
      </c>
      <c r="AI95" s="340">
        <v>0</v>
      </c>
      <c r="AJ95" s="340">
        <v>1985</v>
      </c>
      <c r="AK95" s="340">
        <v>11.94</v>
      </c>
      <c r="AL95" s="340">
        <v>0</v>
      </c>
      <c r="AM95" s="340">
        <v>1985</v>
      </c>
      <c r="AN95" s="340">
        <v>12.14</v>
      </c>
      <c r="AO95" s="340">
        <v>0</v>
      </c>
      <c r="AP95" s="340">
        <v>1985</v>
      </c>
      <c r="AQ95" s="340">
        <v>9.6</v>
      </c>
      <c r="AR95" s="340">
        <v>0</v>
      </c>
      <c r="AS95" s="340">
        <v>1985</v>
      </c>
      <c r="AT95" s="340">
        <v>10.17</v>
      </c>
      <c r="AU95" s="340">
        <v>0</v>
      </c>
      <c r="AV95" s="340">
        <v>1257</v>
      </c>
      <c r="AW95" s="340">
        <v>11.71</v>
      </c>
      <c r="AX95" s="340">
        <v>0</v>
      </c>
      <c r="AY95" s="503">
        <v>1967</v>
      </c>
      <c r="AZ95" s="503">
        <v>12.46</v>
      </c>
      <c r="BA95" s="503">
        <v>0</v>
      </c>
      <c r="BB95" s="504">
        <v>529</v>
      </c>
      <c r="BC95" s="504">
        <v>9.39</v>
      </c>
      <c r="BD95" s="504">
        <v>0</v>
      </c>
      <c r="BE95" s="504">
        <v>529</v>
      </c>
      <c r="BF95" s="504">
        <v>8.8699999999999992</v>
      </c>
      <c r="BG95" s="504">
        <v>0</v>
      </c>
      <c r="BH95" s="504">
        <v>528</v>
      </c>
      <c r="BI95" s="504">
        <v>8.99</v>
      </c>
      <c r="BJ95" s="504">
        <v>0</v>
      </c>
      <c r="BK95" s="504">
        <v>529</v>
      </c>
      <c r="BL95" s="504">
        <v>10.87</v>
      </c>
      <c r="BM95" s="504">
        <v>0</v>
      </c>
      <c r="BN95" s="504">
        <v>529</v>
      </c>
      <c r="BO95" s="504">
        <v>10</v>
      </c>
      <c r="BP95" s="504">
        <v>0</v>
      </c>
      <c r="BQ95" s="504">
        <v>526</v>
      </c>
      <c r="BR95" s="504">
        <v>22.92</v>
      </c>
      <c r="BS95" s="504">
        <v>0</v>
      </c>
      <c r="BT95" s="504">
        <v>517</v>
      </c>
      <c r="BU95" s="504">
        <v>17.8</v>
      </c>
      <c r="BV95" s="504">
        <v>0</v>
      </c>
      <c r="BW95" s="504">
        <v>517</v>
      </c>
      <c r="BX95" s="504">
        <v>23.75</v>
      </c>
      <c r="BY95" s="504">
        <v>0</v>
      </c>
      <c r="BZ95" s="504">
        <v>516</v>
      </c>
      <c r="CA95" s="504">
        <v>46.01</v>
      </c>
      <c r="CB95" s="504">
        <v>0</v>
      </c>
      <c r="CC95" s="503">
        <v>515</v>
      </c>
      <c r="CD95" s="503">
        <v>42.56</v>
      </c>
      <c r="CE95" s="503">
        <v>0</v>
      </c>
      <c r="CF95" s="503">
        <v>515</v>
      </c>
      <c r="CG95" s="503">
        <v>43.93</v>
      </c>
      <c r="CH95" s="503">
        <v>0</v>
      </c>
      <c r="CI95" s="503">
        <v>513</v>
      </c>
      <c r="CJ95" s="503">
        <v>44.83</v>
      </c>
      <c r="CK95" s="503">
        <v>0.53</v>
      </c>
      <c r="CL95" s="503">
        <v>511</v>
      </c>
      <c r="CM95" s="503">
        <v>68.09</v>
      </c>
      <c r="CN95" s="503">
        <v>0.53</v>
      </c>
      <c r="CO95" s="503">
        <v>508</v>
      </c>
      <c r="CP95" s="503">
        <v>66.37</v>
      </c>
      <c r="CQ95" s="508">
        <v>0.53</v>
      </c>
      <c r="CR95" s="504">
        <v>499</v>
      </c>
      <c r="CS95" s="504">
        <v>66.36</v>
      </c>
      <c r="CT95" s="504">
        <v>0.49</v>
      </c>
      <c r="CU95" s="503">
        <v>501</v>
      </c>
      <c r="CV95" s="503">
        <v>60.77</v>
      </c>
      <c r="CW95" s="503">
        <v>0.49</v>
      </c>
      <c r="CX95" s="339">
        <v>497</v>
      </c>
      <c r="CY95" s="339">
        <v>61.17</v>
      </c>
      <c r="CZ95" s="339">
        <v>0.49</v>
      </c>
      <c r="DA95" s="339">
        <v>493</v>
      </c>
      <c r="DB95" s="339">
        <v>63.92</v>
      </c>
      <c r="DC95" s="339">
        <v>0.49</v>
      </c>
      <c r="DD95" s="339">
        <v>484</v>
      </c>
      <c r="DE95" s="339">
        <v>59.72</v>
      </c>
      <c r="DF95" s="339">
        <v>0.45500000000000002</v>
      </c>
      <c r="DG95" s="339">
        <v>486</v>
      </c>
      <c r="DH95" s="339">
        <v>53.19</v>
      </c>
      <c r="DI95" s="339">
        <v>0.45500000000000002</v>
      </c>
      <c r="DJ95" s="339">
        <v>480</v>
      </c>
      <c r="DK95" s="339">
        <v>52.8</v>
      </c>
      <c r="DL95" s="339">
        <v>0.45500000000000002</v>
      </c>
      <c r="DM95" s="339">
        <v>477</v>
      </c>
      <c r="DN95" s="339">
        <v>49.1</v>
      </c>
      <c r="DO95" s="339">
        <v>0.45500000000000002</v>
      </c>
      <c r="DP95" s="340">
        <v>474</v>
      </c>
      <c r="DQ95" s="340">
        <v>53.07</v>
      </c>
      <c r="DR95" s="340">
        <v>0.45500000000000002</v>
      </c>
      <c r="DS95" s="339">
        <v>472</v>
      </c>
      <c r="DT95" s="339">
        <v>53.24</v>
      </c>
      <c r="DU95" s="339">
        <v>0.45500000000000002</v>
      </c>
      <c r="DV95" s="339">
        <v>467</v>
      </c>
      <c r="DW95" s="339">
        <v>45.04</v>
      </c>
      <c r="DX95" s="339">
        <v>0.45500000000000002</v>
      </c>
      <c r="DY95" s="339">
        <v>459</v>
      </c>
      <c r="DZ95" s="339">
        <v>48.02</v>
      </c>
      <c r="EA95" s="339">
        <v>0.45500000000000002</v>
      </c>
      <c r="EB95" s="340">
        <v>444</v>
      </c>
      <c r="EC95" s="340">
        <v>43.2</v>
      </c>
      <c r="ED95" s="340">
        <v>0.45500000000000002</v>
      </c>
      <c r="EE95" s="339">
        <v>446</v>
      </c>
      <c r="EF95" s="339">
        <v>40.28</v>
      </c>
      <c r="EG95" s="339">
        <v>0.45500000000000002</v>
      </c>
      <c r="EH95" s="339">
        <v>442</v>
      </c>
      <c r="EI95" s="339">
        <v>40.92</v>
      </c>
      <c r="EJ95" s="339">
        <v>0.45500000000000002</v>
      </c>
      <c r="EK95" s="339">
        <v>434</v>
      </c>
      <c r="EL95" s="339">
        <v>45.73</v>
      </c>
      <c r="EM95" s="339">
        <v>0.45500000000000002</v>
      </c>
      <c r="EN95" s="340">
        <v>424</v>
      </c>
      <c r="EO95" s="340">
        <v>44.53</v>
      </c>
      <c r="EP95" s="340">
        <v>0.45500000000000002</v>
      </c>
      <c r="EQ95" s="339">
        <v>428</v>
      </c>
      <c r="ER95" s="339">
        <v>40.18</v>
      </c>
      <c r="ES95" s="339">
        <v>0.45500000000000002</v>
      </c>
      <c r="ET95" s="339">
        <v>423</v>
      </c>
      <c r="EU95" s="339">
        <v>42.67</v>
      </c>
      <c r="EV95" s="339">
        <v>0.45500000000000002</v>
      </c>
      <c r="EW95" s="339">
        <v>414</v>
      </c>
      <c r="EX95" s="339">
        <v>45.27</v>
      </c>
      <c r="EY95" s="339">
        <v>0.45500000000000002</v>
      </c>
      <c r="EZ95" s="340">
        <v>401</v>
      </c>
      <c r="FA95" s="340">
        <v>43.41</v>
      </c>
      <c r="FB95" s="340">
        <v>0.45500000000000002</v>
      </c>
      <c r="FC95" s="339">
        <v>403</v>
      </c>
      <c r="FD95" s="339">
        <v>41.22</v>
      </c>
      <c r="FE95" s="339">
        <v>0.45500000000000002</v>
      </c>
      <c r="FF95" s="339">
        <v>399</v>
      </c>
      <c r="FG95" s="339">
        <v>42.3</v>
      </c>
      <c r="FH95" s="339">
        <v>0.45500000000000002</v>
      </c>
      <c r="FI95" s="339">
        <v>396</v>
      </c>
      <c r="FJ95" s="339">
        <v>42.03</v>
      </c>
      <c r="FK95" s="339">
        <v>0.45500000000000002</v>
      </c>
      <c r="FL95" s="339">
        <v>394</v>
      </c>
      <c r="FM95" s="339">
        <v>44.18</v>
      </c>
      <c r="FN95" s="339">
        <v>0.45500000000000002</v>
      </c>
      <c r="FO95" s="339">
        <v>390</v>
      </c>
      <c r="FP95" s="339">
        <v>47.84</v>
      </c>
      <c r="FQ95" s="339">
        <v>0.45500000000000002</v>
      </c>
      <c r="FR95" s="339">
        <v>373</v>
      </c>
      <c r="FS95" s="339">
        <v>45.42</v>
      </c>
      <c r="FT95" s="339">
        <v>0.45500000000000002</v>
      </c>
      <c r="FU95" s="339">
        <v>371</v>
      </c>
      <c r="FV95" s="339">
        <v>41.1</v>
      </c>
      <c r="FW95" s="339">
        <v>0.45500000000000002</v>
      </c>
      <c r="FX95" s="339">
        <v>371</v>
      </c>
      <c r="FY95" s="339">
        <v>42.42</v>
      </c>
      <c r="FZ95" s="339">
        <v>0.45500000000000002</v>
      </c>
      <c r="GA95" s="339">
        <v>370</v>
      </c>
      <c r="GB95" s="339">
        <v>44.65</v>
      </c>
      <c r="GC95" s="339">
        <v>0.42</v>
      </c>
      <c r="GD95" s="339">
        <v>368</v>
      </c>
      <c r="GE95" s="339">
        <v>40.49</v>
      </c>
      <c r="GF95" s="339">
        <v>0.42</v>
      </c>
      <c r="GG95" s="339">
        <v>364</v>
      </c>
      <c r="GH95" s="339">
        <v>38.44</v>
      </c>
      <c r="GI95" s="339">
        <v>0.42</v>
      </c>
      <c r="GJ95" s="339">
        <v>360</v>
      </c>
      <c r="GK95" s="339">
        <v>38.22</v>
      </c>
      <c r="GL95" s="339">
        <v>0.42</v>
      </c>
      <c r="GM95" s="339">
        <v>357</v>
      </c>
      <c r="GN95" s="339">
        <v>38.71</v>
      </c>
      <c r="GO95" s="339">
        <v>0.39</v>
      </c>
      <c r="GP95" s="339">
        <v>356</v>
      </c>
      <c r="GQ95" s="339">
        <v>37.450000000000003</v>
      </c>
      <c r="GR95" s="339">
        <v>0.39</v>
      </c>
      <c r="GS95" s="339">
        <v>355</v>
      </c>
      <c r="GT95" s="339">
        <v>39.69</v>
      </c>
      <c r="GU95" s="339">
        <v>0.39</v>
      </c>
      <c r="GV95" s="339">
        <v>351</v>
      </c>
      <c r="GW95" s="339">
        <v>36.82</v>
      </c>
      <c r="GX95" s="339">
        <v>0.39</v>
      </c>
      <c r="GY95" s="339">
        <v>352</v>
      </c>
      <c r="GZ95" s="339">
        <v>43.09</v>
      </c>
      <c r="HA95" s="339">
        <v>0.36</v>
      </c>
      <c r="HB95" s="339">
        <v>350</v>
      </c>
      <c r="HC95" s="339">
        <v>47.8</v>
      </c>
      <c r="HD95" s="339">
        <v>0.36</v>
      </c>
      <c r="HE95" s="339">
        <v>349</v>
      </c>
      <c r="HF95" s="339">
        <v>45.3</v>
      </c>
      <c r="HG95" s="339">
        <v>0.36</v>
      </c>
      <c r="HH95" s="339">
        <v>346</v>
      </c>
      <c r="HI95" s="505">
        <v>48.27</v>
      </c>
      <c r="HJ95" s="339">
        <v>0.36</v>
      </c>
      <c r="HK95" s="339">
        <v>347</v>
      </c>
      <c r="HL95" s="339">
        <v>47.33</v>
      </c>
      <c r="HM95" s="339">
        <v>0.33</v>
      </c>
      <c r="HN95" s="339">
        <v>346</v>
      </c>
      <c r="HO95" s="339">
        <v>41.65</v>
      </c>
      <c r="HP95" s="339">
        <v>0.33</v>
      </c>
      <c r="HQ95" s="339">
        <v>344</v>
      </c>
      <c r="HR95" s="339">
        <v>39.28</v>
      </c>
      <c r="HS95" s="339">
        <v>0.33</v>
      </c>
      <c r="HT95" s="339">
        <v>359</v>
      </c>
      <c r="HU95" s="339">
        <v>38.9</v>
      </c>
      <c r="HV95" s="339">
        <v>0.33</v>
      </c>
      <c r="HW95" s="339">
        <v>372</v>
      </c>
      <c r="HX95" s="506">
        <v>37.119999999999997</v>
      </c>
      <c r="HY95" s="513">
        <v>0.33</v>
      </c>
      <c r="HZ95" s="339">
        <v>370</v>
      </c>
      <c r="IA95" s="339">
        <v>39.25</v>
      </c>
      <c r="IB95" s="512">
        <v>0.22500000000000001</v>
      </c>
      <c r="IC95" s="339">
        <v>388</v>
      </c>
      <c r="ID95" s="339">
        <v>37.54</v>
      </c>
      <c r="IE95" s="339">
        <v>0.15</v>
      </c>
      <c r="IF95" s="339">
        <v>418</v>
      </c>
      <c r="IG95" s="339">
        <v>34.1</v>
      </c>
      <c r="IH95" s="339">
        <v>7.4999999999999997E-2</v>
      </c>
      <c r="II95" s="339">
        <v>418</v>
      </c>
      <c r="IJ95" s="505">
        <v>33.28</v>
      </c>
      <c r="IK95" s="339">
        <v>0</v>
      </c>
      <c r="IL95" s="339">
        <v>397</v>
      </c>
      <c r="IM95" s="339">
        <v>30.4</v>
      </c>
      <c r="IN95" s="339">
        <v>0</v>
      </c>
      <c r="IO95" s="339">
        <v>393</v>
      </c>
      <c r="IP95" s="339">
        <v>27.94</v>
      </c>
      <c r="IQ95" s="339">
        <v>0</v>
      </c>
      <c r="IR95" s="339">
        <v>388</v>
      </c>
      <c r="IS95" s="339">
        <v>28.97</v>
      </c>
      <c r="IT95" s="339">
        <v>0</v>
      </c>
      <c r="IU95" s="339">
        <v>387</v>
      </c>
      <c r="IV95" s="339">
        <v>27.77</v>
      </c>
      <c r="IW95" s="339">
        <v>0</v>
      </c>
      <c r="IX95" s="339">
        <v>384</v>
      </c>
      <c r="IY95" s="339">
        <v>23.9</v>
      </c>
      <c r="IZ95" s="339">
        <v>0</v>
      </c>
      <c r="JA95" s="339">
        <v>382</v>
      </c>
      <c r="JB95" s="339">
        <v>21.15</v>
      </c>
      <c r="JC95" s="339">
        <v>0</v>
      </c>
      <c r="JD95" s="339">
        <v>381</v>
      </c>
      <c r="JE95" s="339">
        <v>13.45</v>
      </c>
      <c r="JF95" s="339">
        <v>0</v>
      </c>
      <c r="JG95" s="339">
        <v>373</v>
      </c>
      <c r="JH95" s="339">
        <v>13.9</v>
      </c>
      <c r="JI95" s="339">
        <v>0</v>
      </c>
      <c r="JJ95" s="339">
        <v>366</v>
      </c>
      <c r="JK95" s="339">
        <v>11.26</v>
      </c>
      <c r="JL95" s="339">
        <v>0</v>
      </c>
      <c r="JM95" s="339">
        <v>364</v>
      </c>
      <c r="JN95" s="339">
        <v>17.89</v>
      </c>
      <c r="JO95" s="339">
        <v>0</v>
      </c>
      <c r="JP95" s="339">
        <v>387.9</v>
      </c>
      <c r="JQ95" s="339">
        <v>23.56</v>
      </c>
      <c r="JR95" s="339">
        <v>0</v>
      </c>
      <c r="JS95" s="339">
        <v>363</v>
      </c>
      <c r="JT95" s="339">
        <v>19.239999999999998</v>
      </c>
      <c r="JU95" s="339">
        <v>0</v>
      </c>
      <c r="JV95" s="339">
        <v>363</v>
      </c>
      <c r="JW95" s="339">
        <v>15.2</v>
      </c>
      <c r="JX95" s="339">
        <v>0</v>
      </c>
      <c r="JY95" s="339">
        <v>387.2</v>
      </c>
      <c r="JZ95" s="339">
        <v>11.2</v>
      </c>
      <c r="KA95" s="339">
        <v>0</v>
      </c>
      <c r="KB95" s="339">
        <v>386.7</v>
      </c>
      <c r="KC95" s="339">
        <v>12.45</v>
      </c>
      <c r="KD95" s="339">
        <v>0</v>
      </c>
      <c r="KE95" s="339">
        <v>386.7</v>
      </c>
      <c r="KF95" s="339">
        <v>20</v>
      </c>
      <c r="KG95" s="339">
        <v>0.3</v>
      </c>
      <c r="KH95" s="339">
        <v>361</v>
      </c>
      <c r="KI95" s="339">
        <v>24.1875</v>
      </c>
      <c r="KJ95" s="339">
        <v>0.3</v>
      </c>
      <c r="KK95" s="339">
        <v>361</v>
      </c>
      <c r="KL95" s="339">
        <v>24.625</v>
      </c>
      <c r="KM95" s="339">
        <v>0.3</v>
      </c>
      <c r="KN95" s="339">
        <v>384.4</v>
      </c>
      <c r="KO95" s="339">
        <v>21</v>
      </c>
      <c r="KP95" s="339">
        <v>0.3</v>
      </c>
      <c r="KQ95" s="339">
        <v>367</v>
      </c>
      <c r="KR95" s="339">
        <v>20.5</v>
      </c>
      <c r="KS95" s="339">
        <v>0.3</v>
      </c>
      <c r="KT95" s="339">
        <v>367</v>
      </c>
      <c r="KU95" s="339">
        <v>25.875</v>
      </c>
      <c r="KV95" s="339">
        <v>0.3</v>
      </c>
      <c r="KW95" s="334">
        <v>381.91</v>
      </c>
      <c r="KX95" s="334">
        <v>32.4375</v>
      </c>
      <c r="KY95" s="334">
        <v>0.3</v>
      </c>
      <c r="KZ95" s="334">
        <v>382</v>
      </c>
      <c r="LA95" s="334">
        <v>31.0625</v>
      </c>
      <c r="LB95" s="334">
        <v>0.3</v>
      </c>
      <c r="LC95" s="334">
        <v>382</v>
      </c>
      <c r="LD95" s="334">
        <v>31.5</v>
      </c>
      <c r="LE95" s="334">
        <v>0.3</v>
      </c>
      <c r="LF95" s="334">
        <v>381</v>
      </c>
      <c r="LG95" s="334">
        <v>31.875</v>
      </c>
      <c r="LH95" s="334">
        <v>0.3</v>
      </c>
      <c r="LI95" s="334">
        <v>381</v>
      </c>
      <c r="LJ95" s="334">
        <v>31.562999999999999</v>
      </c>
      <c r="LK95" s="334">
        <v>0.3</v>
      </c>
      <c r="LL95" s="334">
        <v>414.36</v>
      </c>
      <c r="LM95" s="334">
        <v>33</v>
      </c>
      <c r="LN95" s="334">
        <v>0.3</v>
      </c>
      <c r="LO95" s="334">
        <v>414.358</v>
      </c>
      <c r="LP95" s="334">
        <v>30.3125</v>
      </c>
      <c r="LQ95" s="334">
        <v>0.3</v>
      </c>
      <c r="LR95" s="334">
        <v>408.52600000000001</v>
      </c>
      <c r="LS95" s="334">
        <v>23.1875</v>
      </c>
      <c r="LT95" s="334">
        <v>0.3</v>
      </c>
      <c r="LU95" s="334">
        <v>408.52600000000001</v>
      </c>
      <c r="LV95" s="334">
        <v>24.25</v>
      </c>
      <c r="LW95" s="334">
        <v>0.3</v>
      </c>
      <c r="LX95" s="334">
        <v>411.75900000000001</v>
      </c>
      <c r="LY95" s="334">
        <v>23.5</v>
      </c>
      <c r="LZ95" s="334">
        <v>0.3</v>
      </c>
      <c r="MA95" s="334">
        <v>411.75900000000001</v>
      </c>
      <c r="MB95" s="334">
        <v>21</v>
      </c>
      <c r="MC95" s="334">
        <v>0.3</v>
      </c>
      <c r="MD95" s="334">
        <v>421.57799999999997</v>
      </c>
      <c r="ME95" s="334">
        <v>21.75</v>
      </c>
      <c r="MF95" s="334">
        <v>0.49</v>
      </c>
      <c r="MG95" s="334">
        <v>421.57799999999997</v>
      </c>
      <c r="MH95" s="334">
        <v>23.25</v>
      </c>
      <c r="MI95" s="334">
        <v>0.49</v>
      </c>
      <c r="MJ95" s="334">
        <v>421.57799999999997</v>
      </c>
      <c r="MK95" s="334">
        <v>22.375</v>
      </c>
      <c r="ML95" s="334">
        <v>0.49</v>
      </c>
      <c r="MM95" s="334">
        <v>421.57799999999997</v>
      </c>
      <c r="MN95" s="334">
        <v>28.375</v>
      </c>
      <c r="MO95" s="334">
        <v>0.49</v>
      </c>
      <c r="MP95" s="334">
        <v>430.08600000000001</v>
      </c>
      <c r="MQ95" s="334">
        <v>30</v>
      </c>
      <c r="MR95" s="334">
        <v>0.49</v>
      </c>
      <c r="MS95" s="334">
        <v>430.08600000000001</v>
      </c>
      <c r="MT95" s="334">
        <v>29</v>
      </c>
      <c r="MU95" s="334">
        <v>0.49</v>
      </c>
      <c r="MV95" s="334">
        <v>430.08600000000001</v>
      </c>
      <c r="MW95" s="334">
        <v>24.875</v>
      </c>
      <c r="MX95" s="334">
        <v>0.49</v>
      </c>
      <c r="MY95" s="334">
        <v>429.15</v>
      </c>
      <c r="MZ95" s="334">
        <v>24.375</v>
      </c>
      <c r="NA95" s="334">
        <v>0.49</v>
      </c>
      <c r="NB95" s="334">
        <v>429.15</v>
      </c>
      <c r="NC95" s="334">
        <v>22.75</v>
      </c>
      <c r="ND95" s="334">
        <v>0.49</v>
      </c>
      <c r="NE95" s="334">
        <v>429.15</v>
      </c>
      <c r="NF95" s="334">
        <v>23.75</v>
      </c>
      <c r="NG95" s="334">
        <v>0.49</v>
      </c>
      <c r="NH95" s="334">
        <v>432.47199999999998</v>
      </c>
      <c r="NI95" s="334">
        <v>29</v>
      </c>
      <c r="NJ95" s="334">
        <v>0.49</v>
      </c>
      <c r="NK95" s="334">
        <v>432.47199999999998</v>
      </c>
      <c r="NL95" s="334">
        <v>35.125</v>
      </c>
      <c r="NM95" s="334">
        <v>0.47</v>
      </c>
      <c r="NN95" s="334">
        <v>432.47199999999998</v>
      </c>
      <c r="NO95" s="334">
        <v>35.375</v>
      </c>
      <c r="NP95" s="334">
        <v>0.47</v>
      </c>
      <c r="NQ95" s="334">
        <v>430.63900000000001</v>
      </c>
      <c r="NR95" s="334">
        <v>33.375</v>
      </c>
      <c r="NS95" s="334">
        <v>0.47</v>
      </c>
      <c r="NT95" s="334">
        <v>428.42599999999999</v>
      </c>
      <c r="NU95" s="334">
        <v>34.625</v>
      </c>
      <c r="NV95" s="334">
        <v>0.47</v>
      </c>
      <c r="NW95" s="334">
        <v>421.553</v>
      </c>
      <c r="NX95" s="334">
        <v>33.130000000000003</v>
      </c>
      <c r="NY95" s="334">
        <v>0.44</v>
      </c>
      <c r="NZ95" s="334">
        <v>421.553</v>
      </c>
      <c r="OA95" s="334">
        <v>32.25</v>
      </c>
      <c r="OB95" s="334">
        <v>0.44</v>
      </c>
      <c r="OC95" s="334">
        <v>420.37599999999998</v>
      </c>
      <c r="OD95" s="334">
        <v>32.25</v>
      </c>
      <c r="OE95" s="334">
        <v>0.44</v>
      </c>
      <c r="OF95" s="334">
        <v>419.15800000000002</v>
      </c>
      <c r="OG95" s="334">
        <v>29.75</v>
      </c>
      <c r="OH95" s="334">
        <v>0.41</v>
      </c>
      <c r="OI95" s="334">
        <v>417.96499999999997</v>
      </c>
      <c r="OJ95" s="334">
        <v>32.5</v>
      </c>
      <c r="OK95" s="334">
        <v>0.41</v>
      </c>
      <c r="OL95" s="334">
        <v>418.26600000000002</v>
      </c>
      <c r="OM95" s="334">
        <v>29.25</v>
      </c>
      <c r="ON95" s="334">
        <v>0.41</v>
      </c>
      <c r="OO95" s="334">
        <v>418.96300000000002</v>
      </c>
      <c r="OP95" s="334">
        <v>25.25</v>
      </c>
      <c r="OQ95" s="334">
        <v>0.41</v>
      </c>
      <c r="OR95" s="334">
        <v>419.99400000000003</v>
      </c>
      <c r="OS95" s="334">
        <v>26.13</v>
      </c>
      <c r="OT95" s="334">
        <v>0.38</v>
      </c>
      <c r="OU95" s="334">
        <v>423.75900000000001</v>
      </c>
      <c r="OV95" s="334">
        <v>25</v>
      </c>
    </row>
    <row r="96" spans="1:412">
      <c r="B96" s="333" t="s">
        <v>268</v>
      </c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9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39"/>
      <c r="AF96" s="339"/>
      <c r="AG96" s="339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504"/>
      <c r="AZ96" s="504"/>
      <c r="BA96" s="504"/>
      <c r="BB96" s="503"/>
      <c r="BC96" s="503"/>
      <c r="BD96" s="503"/>
      <c r="BE96" s="503"/>
      <c r="BF96" s="503"/>
      <c r="BG96" s="503"/>
      <c r="BH96" s="503"/>
      <c r="BI96" s="503"/>
      <c r="BJ96" s="503"/>
      <c r="BK96" s="503"/>
      <c r="BL96" s="503"/>
      <c r="BM96" s="503"/>
      <c r="BN96" s="503"/>
      <c r="BO96" s="503"/>
      <c r="BP96" s="503"/>
      <c r="BQ96" s="504"/>
      <c r="BR96" s="504"/>
      <c r="BS96" s="504"/>
      <c r="BT96" s="504"/>
      <c r="BU96" s="504"/>
      <c r="BV96" s="504"/>
      <c r="BW96" s="504"/>
      <c r="BX96" s="504"/>
      <c r="BY96" s="504"/>
      <c r="BZ96" s="503"/>
      <c r="CA96" s="503"/>
      <c r="CB96" s="503"/>
      <c r="CC96" s="503"/>
      <c r="CD96" s="503"/>
      <c r="CE96" s="503"/>
      <c r="CF96" s="503"/>
      <c r="CG96" s="503"/>
      <c r="CH96" s="503"/>
      <c r="CI96" s="503"/>
      <c r="CJ96" s="503"/>
      <c r="CK96" s="503"/>
      <c r="CL96" s="503"/>
      <c r="CM96" s="503"/>
      <c r="CN96" s="503"/>
      <c r="CO96" s="503"/>
      <c r="CP96" s="503"/>
      <c r="CQ96" s="503"/>
      <c r="CR96" s="504"/>
      <c r="CS96" s="504"/>
      <c r="CT96" s="504"/>
      <c r="CU96" s="503"/>
      <c r="CV96" s="503"/>
      <c r="CW96" s="503"/>
      <c r="CX96" s="339"/>
      <c r="CY96" s="339"/>
      <c r="CZ96" s="339"/>
      <c r="DA96" s="339"/>
      <c r="DB96" s="339"/>
      <c r="DC96" s="339"/>
      <c r="DD96" s="339"/>
      <c r="DE96" s="339"/>
      <c r="DF96" s="339"/>
      <c r="DG96" s="339"/>
      <c r="DH96" s="339"/>
      <c r="DI96" s="339"/>
      <c r="DJ96" s="339"/>
      <c r="DK96" s="339"/>
      <c r="DL96" s="339"/>
      <c r="DM96" s="339"/>
      <c r="DN96" s="339"/>
      <c r="DO96" s="339"/>
      <c r="DP96" s="339"/>
      <c r="DQ96" s="339"/>
      <c r="DR96" s="339"/>
      <c r="DS96" s="339"/>
      <c r="DT96" s="339"/>
      <c r="DU96" s="339"/>
      <c r="DV96" s="339"/>
      <c r="DW96" s="339"/>
      <c r="DX96" s="339"/>
      <c r="DY96" s="339"/>
      <c r="DZ96" s="339"/>
      <c r="EA96" s="339"/>
      <c r="EB96" s="340"/>
      <c r="EC96" s="340"/>
      <c r="ED96" s="340"/>
      <c r="EE96" s="339"/>
      <c r="EF96" s="339"/>
      <c r="EG96" s="339"/>
      <c r="EH96" s="339"/>
      <c r="EI96" s="339"/>
      <c r="EJ96" s="339"/>
      <c r="EK96" s="339"/>
      <c r="EL96" s="339"/>
      <c r="EM96" s="339"/>
      <c r="EN96" s="339"/>
      <c r="EO96" s="339"/>
      <c r="EP96" s="339"/>
      <c r="EQ96" s="339"/>
      <c r="ER96" s="339"/>
      <c r="ES96" s="339"/>
      <c r="ET96" s="339"/>
      <c r="EU96" s="339"/>
      <c r="EV96" s="339"/>
      <c r="EW96" s="339"/>
      <c r="EX96" s="339"/>
      <c r="EY96" s="339"/>
      <c r="EZ96" s="339"/>
      <c r="FA96" s="339"/>
      <c r="FB96" s="339"/>
      <c r="FC96" s="339"/>
      <c r="FD96" s="339"/>
      <c r="FE96" s="339"/>
      <c r="FF96" s="339"/>
      <c r="FG96" s="339"/>
      <c r="FH96" s="342"/>
      <c r="FI96" s="339"/>
      <c r="FJ96" s="339"/>
      <c r="FK96" s="339"/>
      <c r="FL96" s="339"/>
      <c r="FM96" s="339"/>
      <c r="FN96" s="339"/>
      <c r="FO96" s="339"/>
      <c r="FP96" s="339"/>
      <c r="FQ96" s="339"/>
      <c r="FR96" s="339"/>
      <c r="FS96" s="339"/>
      <c r="FT96" s="339"/>
      <c r="FU96" s="339"/>
      <c r="FV96" s="339"/>
      <c r="FW96" s="339"/>
      <c r="FX96" s="339"/>
      <c r="FY96" s="339"/>
      <c r="FZ96" s="339"/>
      <c r="GA96" s="339"/>
      <c r="GB96" s="339"/>
      <c r="GC96" s="339"/>
      <c r="GD96" s="339"/>
      <c r="GE96" s="339"/>
      <c r="GF96" s="339"/>
      <c r="GG96" s="339"/>
      <c r="GH96" s="339"/>
      <c r="GI96" s="339"/>
      <c r="GJ96" s="339"/>
      <c r="GK96" s="339"/>
      <c r="GL96" s="339"/>
      <c r="GM96" s="339"/>
      <c r="GN96" s="339"/>
      <c r="GO96" s="339"/>
      <c r="GP96" s="339"/>
      <c r="GQ96" s="339"/>
      <c r="GR96" s="339"/>
      <c r="GS96" s="339"/>
      <c r="GT96" s="339"/>
      <c r="GU96" s="339"/>
      <c r="GV96" s="339"/>
      <c r="GW96" s="339"/>
      <c r="GX96" s="339"/>
      <c r="GY96" s="339"/>
      <c r="GZ96" s="339"/>
      <c r="HA96" s="339"/>
      <c r="HB96" s="339"/>
      <c r="HC96" s="339"/>
      <c r="HD96" s="339"/>
      <c r="HE96" s="339"/>
      <c r="HF96" s="339"/>
      <c r="HG96" s="339"/>
      <c r="HH96" s="339"/>
      <c r="HI96" s="505"/>
      <c r="HJ96" s="339"/>
      <c r="HK96" s="339"/>
      <c r="HL96" s="339"/>
      <c r="HM96" s="339"/>
      <c r="HN96" s="339"/>
      <c r="HO96" s="339"/>
      <c r="HP96" s="339"/>
      <c r="HQ96" s="339"/>
      <c r="HR96" s="339"/>
      <c r="HS96" s="339"/>
      <c r="HT96" s="339"/>
      <c r="HU96" s="339"/>
      <c r="HV96" s="339"/>
      <c r="HW96" s="339"/>
      <c r="HX96" s="506"/>
      <c r="HY96" s="513"/>
      <c r="HZ96" s="339"/>
      <c r="IA96" s="339"/>
      <c r="IB96" s="339"/>
      <c r="IC96" s="339"/>
      <c r="ID96" s="339"/>
      <c r="IE96" s="339"/>
      <c r="IF96" s="339"/>
      <c r="IG96" s="339"/>
      <c r="IH96" s="339"/>
      <c r="II96" s="339"/>
      <c r="IJ96" s="505"/>
      <c r="IK96" s="339"/>
      <c r="IL96" s="339"/>
      <c r="IM96" s="339"/>
      <c r="IN96" s="339"/>
      <c r="IO96" s="339"/>
      <c r="IP96" s="339"/>
      <c r="IQ96" s="339"/>
      <c r="IR96" s="339"/>
      <c r="IS96" s="339"/>
      <c r="IT96" s="339"/>
      <c r="IU96" s="339"/>
      <c r="IV96" s="339"/>
      <c r="IW96" s="339"/>
      <c r="IX96" s="339"/>
      <c r="IY96" s="339"/>
      <c r="IZ96" s="342"/>
      <c r="JA96" s="339"/>
      <c r="JB96" s="339"/>
      <c r="JC96" s="339"/>
      <c r="JD96" s="339"/>
      <c r="JE96" s="339"/>
      <c r="JF96" s="339"/>
      <c r="JG96" s="339"/>
      <c r="JH96" s="339"/>
      <c r="JI96" s="339"/>
      <c r="JJ96" s="339"/>
      <c r="JK96" s="339"/>
      <c r="JL96" s="339"/>
      <c r="JM96" s="339"/>
      <c r="JN96" s="339"/>
      <c r="JO96" s="339"/>
      <c r="JP96" s="339"/>
      <c r="JQ96" s="339"/>
      <c r="JR96" s="339"/>
      <c r="JS96" s="339"/>
      <c r="JT96" s="342"/>
      <c r="JU96" s="342"/>
      <c r="JV96" s="339"/>
      <c r="JW96" s="339"/>
      <c r="JX96" s="339"/>
      <c r="JY96" s="339"/>
      <c r="JZ96" s="339"/>
      <c r="KA96" s="339"/>
      <c r="KB96" s="339"/>
      <c r="KC96" s="339"/>
      <c r="KD96" s="339"/>
      <c r="KE96" s="339"/>
      <c r="KF96" s="339"/>
      <c r="KG96" s="339"/>
      <c r="KH96" s="339"/>
      <c r="KI96" s="339"/>
      <c r="KJ96" s="339"/>
      <c r="KK96" s="339"/>
      <c r="KL96" s="339"/>
      <c r="KM96" s="339"/>
      <c r="KN96" s="339"/>
      <c r="KO96" s="339"/>
      <c r="KP96" s="339"/>
      <c r="KQ96" s="339"/>
      <c r="KR96" s="339"/>
      <c r="KS96" s="339"/>
      <c r="KT96" s="339">
        <v>297.3</v>
      </c>
      <c r="KU96" s="339">
        <v>20.125</v>
      </c>
      <c r="KV96" s="339">
        <v>0.27</v>
      </c>
      <c r="KW96" s="334">
        <v>297.23</v>
      </c>
      <c r="KX96" s="334">
        <v>18.375</v>
      </c>
      <c r="KY96" s="334">
        <v>0.27</v>
      </c>
      <c r="KZ96" s="334">
        <v>297.27</v>
      </c>
      <c r="LA96" s="334">
        <v>17.25</v>
      </c>
      <c r="LB96" s="334">
        <v>0.3</v>
      </c>
      <c r="LC96" s="334">
        <v>297.27</v>
      </c>
      <c r="LD96" s="334">
        <v>21.062999999999999</v>
      </c>
      <c r="LE96" s="334">
        <v>0.27</v>
      </c>
      <c r="LF96" s="334">
        <v>297.06</v>
      </c>
      <c r="LG96" s="334">
        <v>19.25</v>
      </c>
      <c r="LH96" s="334">
        <v>0.27</v>
      </c>
      <c r="LI96" s="334">
        <v>297.06</v>
      </c>
      <c r="LJ96" s="334">
        <v>22.625</v>
      </c>
      <c r="LK96" s="334">
        <v>0.27</v>
      </c>
      <c r="LL96" s="334">
        <v>296.35000000000002</v>
      </c>
      <c r="LM96" s="334">
        <v>24.625</v>
      </c>
      <c r="LN96" s="334">
        <v>0.27</v>
      </c>
      <c r="LO96" s="334">
        <v>296.34699999999998</v>
      </c>
      <c r="LP96" s="334">
        <v>27.3125</v>
      </c>
      <c r="LQ96" s="334">
        <v>0.27</v>
      </c>
      <c r="LR96" s="334">
        <v>295.39299999999997</v>
      </c>
      <c r="LS96" s="334">
        <v>22.375</v>
      </c>
      <c r="LT96" s="334">
        <v>0.27</v>
      </c>
      <c r="LU96" s="334">
        <v>295.39299999999997</v>
      </c>
      <c r="LV96" s="334">
        <v>22</v>
      </c>
      <c r="LW96" s="334">
        <v>0.27</v>
      </c>
      <c r="LX96" s="334">
        <v>294.39600000000002</v>
      </c>
      <c r="LY96" s="334">
        <v>21.125</v>
      </c>
      <c r="LZ96" s="334">
        <v>0.27</v>
      </c>
      <c r="MA96" s="334">
        <v>294.39600000000002</v>
      </c>
      <c r="MB96" s="334">
        <v>20.5</v>
      </c>
      <c r="MC96" s="334">
        <v>0.27</v>
      </c>
      <c r="MD96" s="334">
        <v>284.26</v>
      </c>
      <c r="ME96" s="334">
        <v>20.655000000000001</v>
      </c>
      <c r="MF96" s="334">
        <v>0.27</v>
      </c>
      <c r="MG96" s="334">
        <v>284.26</v>
      </c>
      <c r="MH96" s="334">
        <v>22.25</v>
      </c>
      <c r="MI96" s="334">
        <v>0.27</v>
      </c>
      <c r="MJ96" s="334">
        <v>284.26</v>
      </c>
      <c r="MK96" s="334">
        <v>20.75</v>
      </c>
      <c r="ML96" s="334">
        <v>0.27</v>
      </c>
      <c r="MM96" s="334">
        <v>284.26</v>
      </c>
      <c r="MN96" s="334">
        <v>21.125</v>
      </c>
      <c r="MO96" s="334">
        <v>0.27</v>
      </c>
      <c r="MP96" s="334">
        <v>284.26</v>
      </c>
      <c r="MQ96" s="334">
        <v>19</v>
      </c>
      <c r="MR96" s="334">
        <v>0.27</v>
      </c>
      <c r="MS96" s="334">
        <v>284.26</v>
      </c>
      <c r="MT96" s="334">
        <v>18.75</v>
      </c>
      <c r="MU96" s="334">
        <v>0.27</v>
      </c>
      <c r="MV96" s="334">
        <v>284.26</v>
      </c>
      <c r="MW96" s="334">
        <v>19.375</v>
      </c>
      <c r="MX96" s="334">
        <v>0.27</v>
      </c>
      <c r="MY96" s="334">
        <v>279.55900000000003</v>
      </c>
      <c r="MZ96" s="334">
        <v>18.5</v>
      </c>
      <c r="NA96" s="334">
        <v>0.27</v>
      </c>
      <c r="NB96" s="334">
        <v>279.55900000000003</v>
      </c>
      <c r="NC96" s="334">
        <v>16.875</v>
      </c>
      <c r="ND96" s="334">
        <v>0.27</v>
      </c>
      <c r="NE96" s="334">
        <v>279.55900000000003</v>
      </c>
      <c r="NF96" s="334">
        <v>16.875</v>
      </c>
      <c r="NG96" s="334">
        <v>0.27</v>
      </c>
      <c r="NH96" s="334">
        <v>273.81799999999998</v>
      </c>
      <c r="NI96" s="334">
        <v>17.625</v>
      </c>
      <c r="NJ96" s="334">
        <v>0.27</v>
      </c>
      <c r="NK96" s="334">
        <v>273.81799999999998</v>
      </c>
      <c r="NL96" s="334">
        <v>19.25</v>
      </c>
      <c r="NM96" s="334">
        <v>0.27</v>
      </c>
      <c r="NN96" s="334">
        <v>273.81799999999998</v>
      </c>
      <c r="NO96" s="334">
        <v>19.625</v>
      </c>
      <c r="NP96" s="334">
        <v>0.27</v>
      </c>
      <c r="NQ96" s="334">
        <v>272.54199999999997</v>
      </c>
      <c r="NR96" s="334">
        <v>19</v>
      </c>
      <c r="NS96" s="334">
        <v>0.27</v>
      </c>
      <c r="NT96" s="334">
        <v>271.15199999999999</v>
      </c>
      <c r="NU96" s="334">
        <v>18.125</v>
      </c>
      <c r="NV96" s="334">
        <v>0.38500000000000001</v>
      </c>
      <c r="NW96" s="334">
        <v>265.38600000000002</v>
      </c>
      <c r="NX96" s="334">
        <v>19.75</v>
      </c>
      <c r="NY96" s="334">
        <v>0.39</v>
      </c>
      <c r="NZ96" s="334">
        <v>265.38600000000002</v>
      </c>
      <c r="OA96" s="334">
        <v>23</v>
      </c>
      <c r="OB96" s="334">
        <v>0.39</v>
      </c>
      <c r="OC96" s="334">
        <v>263.93</v>
      </c>
      <c r="OD96" s="334">
        <v>22.25</v>
      </c>
      <c r="OE96" s="334">
        <v>0.38</v>
      </c>
      <c r="OF96" s="334">
        <v>263.03500000000003</v>
      </c>
      <c r="OG96" s="334">
        <v>21.5</v>
      </c>
      <c r="OH96" s="334">
        <v>0.38</v>
      </c>
      <c r="OI96" s="334">
        <v>258.35000000000002</v>
      </c>
      <c r="OJ96" s="334">
        <v>25.13</v>
      </c>
      <c r="OK96" s="334">
        <v>0.38</v>
      </c>
      <c r="OL96" s="334">
        <v>257.52999999999997</v>
      </c>
      <c r="OM96" s="334">
        <v>23.25</v>
      </c>
      <c r="ON96" s="334">
        <v>0.38</v>
      </c>
      <c r="OO96" s="334">
        <v>256.41399999999999</v>
      </c>
      <c r="OP96" s="334">
        <v>21</v>
      </c>
      <c r="OQ96" s="334">
        <v>0.36</v>
      </c>
      <c r="OR96" s="334">
        <v>253.88</v>
      </c>
      <c r="OS96" s="334">
        <v>22</v>
      </c>
      <c r="OT96" s="334">
        <v>0.36</v>
      </c>
      <c r="OU96" s="334">
        <v>244.46700000000001</v>
      </c>
      <c r="OV96" s="334">
        <v>22.38</v>
      </c>
    </row>
    <row r="97" spans="1:412">
      <c r="A97" s="294" t="s">
        <v>9</v>
      </c>
      <c r="B97" s="335" t="s">
        <v>151</v>
      </c>
      <c r="C97" s="335">
        <v>1003</v>
      </c>
      <c r="D97" s="335">
        <v>37.64</v>
      </c>
      <c r="E97" s="335">
        <v>0.38</v>
      </c>
      <c r="F97" s="335">
        <v>1001</v>
      </c>
      <c r="G97" s="335">
        <v>40.549999999999997</v>
      </c>
      <c r="H97" s="335">
        <v>0.38</v>
      </c>
      <c r="I97" s="335">
        <v>1000</v>
      </c>
      <c r="J97" s="335">
        <v>34.61</v>
      </c>
      <c r="K97" s="335">
        <v>0.38</v>
      </c>
      <c r="L97" s="335">
        <v>996</v>
      </c>
      <c r="M97" s="335">
        <v>37.57</v>
      </c>
      <c r="N97" s="335">
        <v>0.38</v>
      </c>
      <c r="O97" s="335">
        <v>996</v>
      </c>
      <c r="P97" s="335">
        <v>35.9</v>
      </c>
      <c r="Q97" s="335">
        <v>0.36</v>
      </c>
      <c r="R97" s="340">
        <v>995</v>
      </c>
      <c r="S97" s="340">
        <v>37.79</v>
      </c>
      <c r="T97" s="340">
        <v>0.36</v>
      </c>
      <c r="U97" s="340">
        <v>995</v>
      </c>
      <c r="V97" s="340">
        <v>40.74</v>
      </c>
      <c r="W97" s="340">
        <v>0.36</v>
      </c>
      <c r="X97" s="340">
        <v>986</v>
      </c>
      <c r="Y97" s="340">
        <v>41.89</v>
      </c>
      <c r="Z97" s="340">
        <v>0.36</v>
      </c>
      <c r="AA97" s="340">
        <v>988</v>
      </c>
      <c r="AB97" s="340">
        <v>43.23</v>
      </c>
      <c r="AC97" s="340">
        <v>0.33750000000000002</v>
      </c>
      <c r="AD97" s="340">
        <v>981</v>
      </c>
      <c r="AE97" s="340">
        <v>37.46</v>
      </c>
      <c r="AF97" s="340">
        <v>0.33750000000000002</v>
      </c>
      <c r="AG97" s="340">
        <v>981</v>
      </c>
      <c r="AH97" s="340">
        <v>45.32</v>
      </c>
      <c r="AI97" s="340">
        <v>0.33750000000000002</v>
      </c>
      <c r="AJ97" s="340">
        <v>979</v>
      </c>
      <c r="AK97" s="340">
        <v>47.63</v>
      </c>
      <c r="AL97" s="340">
        <v>0.33750000000000002</v>
      </c>
      <c r="AM97" s="340">
        <v>979</v>
      </c>
      <c r="AN97" s="340">
        <v>57.76</v>
      </c>
      <c r="AO97" s="340">
        <v>0.38250000000000001</v>
      </c>
      <c r="AP97" s="340">
        <v>978</v>
      </c>
      <c r="AQ97" s="340">
        <v>48.34</v>
      </c>
      <c r="AR97" s="340">
        <v>0.38250000000000001</v>
      </c>
      <c r="AS97" s="340">
        <v>977</v>
      </c>
      <c r="AT97" s="340">
        <v>44.31</v>
      </c>
      <c r="AU97" s="340">
        <v>0.38250000000000001</v>
      </c>
      <c r="AV97" s="340">
        <v>976</v>
      </c>
      <c r="AW97" s="340">
        <v>43.74</v>
      </c>
      <c r="AX97" s="340">
        <v>0.38250000000000001</v>
      </c>
      <c r="AY97" s="504">
        <v>976</v>
      </c>
      <c r="AZ97" s="504">
        <v>42.22</v>
      </c>
      <c r="BA97" s="504">
        <v>0.38250000000000001</v>
      </c>
      <c r="BB97" s="504">
        <v>976</v>
      </c>
      <c r="BC97" s="504">
        <v>35.76</v>
      </c>
      <c r="BD97" s="504">
        <v>0.38250000000000001</v>
      </c>
      <c r="BE97" s="504">
        <v>975</v>
      </c>
      <c r="BF97" s="504">
        <v>36.29</v>
      </c>
      <c r="BG97" s="504">
        <v>0.38250000000000001</v>
      </c>
      <c r="BH97" s="504">
        <v>973</v>
      </c>
      <c r="BI97" s="504">
        <v>36.81</v>
      </c>
      <c r="BJ97" s="518">
        <v>0.38250000000000001</v>
      </c>
      <c r="BK97" s="504">
        <v>973</v>
      </c>
      <c r="BL97" s="504">
        <v>45.59</v>
      </c>
      <c r="BM97" s="504">
        <v>0.36249999999999999</v>
      </c>
      <c r="BN97" s="504">
        <v>972</v>
      </c>
      <c r="BO97" s="504">
        <v>48.31</v>
      </c>
      <c r="BP97" s="504">
        <v>0.36249999999999999</v>
      </c>
      <c r="BQ97" s="504">
        <v>971</v>
      </c>
      <c r="BR97" s="504">
        <v>47.94</v>
      </c>
      <c r="BS97" s="504">
        <v>0.36249999999999999</v>
      </c>
      <c r="BT97" s="504">
        <v>967</v>
      </c>
      <c r="BU97" s="504">
        <v>50.13</v>
      </c>
      <c r="BV97" s="507">
        <v>0.36249999999999999</v>
      </c>
      <c r="BW97" s="504">
        <v>968</v>
      </c>
      <c r="BX97" s="504">
        <v>45.1</v>
      </c>
      <c r="BY97" s="504">
        <v>0.34499999999999997</v>
      </c>
      <c r="BZ97" s="504">
        <v>967</v>
      </c>
      <c r="CA97" s="504">
        <v>43.66</v>
      </c>
      <c r="CB97" s="504">
        <v>0.34499999999999997</v>
      </c>
      <c r="CC97" s="503">
        <v>966</v>
      </c>
      <c r="CD97" s="503">
        <v>42.6</v>
      </c>
      <c r="CE97" s="503">
        <v>0.34499999999999997</v>
      </c>
      <c r="CF97" s="503">
        <v>964</v>
      </c>
      <c r="CG97" s="503">
        <v>39.01</v>
      </c>
      <c r="CH97" s="508">
        <v>0.34499999999999997</v>
      </c>
      <c r="CI97" s="503">
        <v>962</v>
      </c>
      <c r="CJ97" s="503">
        <v>39.409999999999997</v>
      </c>
      <c r="CK97" s="503">
        <v>0.32750000000000001</v>
      </c>
      <c r="CL97" s="503">
        <v>934</v>
      </c>
      <c r="CM97" s="503">
        <v>37.67</v>
      </c>
      <c r="CN97" s="503">
        <v>0.32750000000000001</v>
      </c>
      <c r="CO97" s="503">
        <v>928</v>
      </c>
      <c r="CP97" s="503">
        <v>36.07</v>
      </c>
      <c r="CQ97" s="503">
        <v>0.32750000000000001</v>
      </c>
      <c r="CR97" s="504">
        <v>924</v>
      </c>
      <c r="CS97" s="504">
        <v>35.979999999999997</v>
      </c>
      <c r="CT97" s="514">
        <v>0.32750000000000001</v>
      </c>
      <c r="CU97" s="503">
        <v>925</v>
      </c>
      <c r="CV97" s="503">
        <v>35.49</v>
      </c>
      <c r="CW97" s="503">
        <v>0.318</v>
      </c>
      <c r="CX97" s="339">
        <v>924</v>
      </c>
      <c r="CY97" s="339">
        <v>33.29</v>
      </c>
      <c r="CZ97" s="339">
        <v>0.318</v>
      </c>
      <c r="DA97" s="339">
        <v>923</v>
      </c>
      <c r="DB97" s="339">
        <v>36.36</v>
      </c>
      <c r="DC97" s="339">
        <v>0.318</v>
      </c>
      <c r="DD97" s="339">
        <v>890</v>
      </c>
      <c r="DE97" s="339">
        <v>35.86</v>
      </c>
      <c r="DF97" s="339">
        <v>0.31</v>
      </c>
      <c r="DG97" s="339">
        <v>913</v>
      </c>
      <c r="DH97" s="339">
        <v>27.77</v>
      </c>
      <c r="DI97" s="339">
        <v>0.31</v>
      </c>
      <c r="DJ97" s="339">
        <v>863</v>
      </c>
      <c r="DK97" s="339">
        <v>29.7</v>
      </c>
      <c r="DL97" s="339">
        <v>0.31</v>
      </c>
      <c r="DM97" s="339">
        <v>862</v>
      </c>
      <c r="DN97" s="339">
        <v>31.42</v>
      </c>
      <c r="DO97" s="339">
        <v>0.31</v>
      </c>
      <c r="DP97" s="340">
        <v>861</v>
      </c>
      <c r="DQ97" s="340">
        <v>33.61</v>
      </c>
      <c r="DR97" s="340">
        <v>0.31</v>
      </c>
      <c r="DS97" s="339">
        <v>861</v>
      </c>
      <c r="DT97" s="339">
        <v>37.08</v>
      </c>
      <c r="DU97" s="339">
        <v>0.31</v>
      </c>
      <c r="DV97" s="339">
        <v>860</v>
      </c>
      <c r="DW97" s="339">
        <v>34.090000000000003</v>
      </c>
      <c r="DX97" s="339">
        <v>0.31</v>
      </c>
      <c r="DY97" s="339">
        <v>858</v>
      </c>
      <c r="DZ97" s="339">
        <v>36.479999999999997</v>
      </c>
      <c r="EA97" s="339">
        <v>0.31</v>
      </c>
      <c r="EB97" s="340">
        <v>856</v>
      </c>
      <c r="EC97" s="340">
        <v>33.56</v>
      </c>
      <c r="ED97" s="340">
        <v>0.31</v>
      </c>
      <c r="EE97" s="339">
        <v>857</v>
      </c>
      <c r="EF97" s="339">
        <v>27.39</v>
      </c>
      <c r="EG97" s="339">
        <v>0.31</v>
      </c>
      <c r="EH97" s="339">
        <v>856</v>
      </c>
      <c r="EI97" s="339">
        <v>29.64</v>
      </c>
      <c r="EJ97" s="339">
        <v>0.31</v>
      </c>
      <c r="EK97" s="339">
        <v>855</v>
      </c>
      <c r="EL97" s="339">
        <v>30.88</v>
      </c>
      <c r="EM97" s="516">
        <v>0.31</v>
      </c>
      <c r="EN97" s="340">
        <v>816</v>
      </c>
      <c r="EO97" s="340">
        <v>34.479999999999997</v>
      </c>
      <c r="EP97" s="340">
        <v>0.52500000000000002</v>
      </c>
      <c r="EQ97" s="339">
        <v>854</v>
      </c>
      <c r="ER97" s="339">
        <v>29.74</v>
      </c>
      <c r="ES97" s="339">
        <v>0.52500000000000002</v>
      </c>
      <c r="ET97" s="339">
        <v>853</v>
      </c>
      <c r="EU97" s="339">
        <v>35.58</v>
      </c>
      <c r="EV97" s="339">
        <v>0.52500000000000002</v>
      </c>
      <c r="EW97" s="339">
        <v>705</v>
      </c>
      <c r="EX97" s="339">
        <v>37.625</v>
      </c>
      <c r="EY97" s="339">
        <v>0.52429999999999999</v>
      </c>
      <c r="EZ97" s="340">
        <v>663</v>
      </c>
      <c r="FA97" s="340">
        <v>39.21</v>
      </c>
      <c r="FB97" s="340">
        <v>0.52500000000000002</v>
      </c>
      <c r="FC97" s="339">
        <v>663</v>
      </c>
      <c r="FD97" s="339">
        <v>43.37</v>
      </c>
      <c r="FE97" s="339">
        <v>0.52500000000000002</v>
      </c>
      <c r="FF97" s="339">
        <v>663</v>
      </c>
      <c r="FG97" s="339">
        <v>42.61</v>
      </c>
      <c r="FH97" s="339">
        <v>0.52500000000000002</v>
      </c>
      <c r="FI97" s="339">
        <v>662</v>
      </c>
      <c r="FJ97" s="339">
        <v>42.84</v>
      </c>
      <c r="FK97" s="339">
        <v>0.52500000000000002</v>
      </c>
      <c r="FL97" s="339">
        <v>662</v>
      </c>
      <c r="FM97" s="339">
        <v>41.24</v>
      </c>
      <c r="FN97" s="339">
        <v>0.52500000000000002</v>
      </c>
      <c r="FO97" s="339">
        <v>662</v>
      </c>
      <c r="FP97" s="339">
        <v>41.65</v>
      </c>
      <c r="FQ97" s="339">
        <v>0.52500000000000002</v>
      </c>
      <c r="FR97" s="339">
        <v>661</v>
      </c>
      <c r="FS97" s="339">
        <v>42.58</v>
      </c>
      <c r="FT97" s="339">
        <v>0.52500000000000002</v>
      </c>
      <c r="FU97" s="339">
        <v>661</v>
      </c>
      <c r="FV97" s="339">
        <v>37.97</v>
      </c>
      <c r="FW97" s="339">
        <v>0.52500000000000002</v>
      </c>
      <c r="FX97" s="339">
        <v>660</v>
      </c>
      <c r="FY97" s="339">
        <v>43.81</v>
      </c>
      <c r="FZ97" s="339">
        <v>0.52500000000000002</v>
      </c>
      <c r="GA97" s="339">
        <v>660</v>
      </c>
      <c r="GB97" s="339">
        <v>48.87</v>
      </c>
      <c r="GC97" s="339">
        <v>0.52500000000000002</v>
      </c>
      <c r="GD97" s="339">
        <v>659</v>
      </c>
      <c r="GE97" s="339">
        <v>49.62</v>
      </c>
      <c r="GF97" s="339">
        <v>0.52500000000000002</v>
      </c>
      <c r="GG97" s="339">
        <v>659</v>
      </c>
      <c r="GH97" s="339">
        <v>51.21</v>
      </c>
      <c r="GI97" s="339">
        <v>0.52500000000000002</v>
      </c>
      <c r="GJ97" s="339">
        <v>658</v>
      </c>
      <c r="GK97" s="339">
        <v>45.39</v>
      </c>
      <c r="GL97" s="339">
        <v>0.52500000000000002</v>
      </c>
      <c r="GM97" s="339">
        <v>658</v>
      </c>
      <c r="GN97" s="339">
        <v>55.61</v>
      </c>
      <c r="GO97" s="339">
        <v>0.52500000000000002</v>
      </c>
      <c r="GP97" s="339">
        <v>657</v>
      </c>
      <c r="GQ97" s="339">
        <v>62.62</v>
      </c>
      <c r="GR97" s="339">
        <v>0.5</v>
      </c>
      <c r="GS97" s="339">
        <v>659</v>
      </c>
      <c r="GT97" s="339">
        <v>89.96</v>
      </c>
      <c r="GU97" s="339">
        <v>0.5</v>
      </c>
      <c r="GV97" s="339">
        <v>670</v>
      </c>
      <c r="GW97" s="339">
        <v>81.27</v>
      </c>
      <c r="GX97" s="339">
        <v>0.5</v>
      </c>
      <c r="GY97" s="339">
        <v>673</v>
      </c>
      <c r="GZ97" s="339">
        <v>81.64</v>
      </c>
      <c r="HA97" s="339">
        <v>0.5</v>
      </c>
      <c r="HB97" s="339">
        <v>675</v>
      </c>
      <c r="HC97" s="339">
        <v>75.36</v>
      </c>
      <c r="HD97" s="339">
        <v>0.44</v>
      </c>
      <c r="HE97" s="339">
        <v>672</v>
      </c>
      <c r="HF97" s="339">
        <v>72.599999999999994</v>
      </c>
      <c r="HG97" s="339">
        <v>0.44</v>
      </c>
      <c r="HH97" s="339">
        <v>670</v>
      </c>
      <c r="HI97" s="505">
        <v>68.709999999999994</v>
      </c>
      <c r="HJ97" s="339">
        <v>0.44</v>
      </c>
      <c r="HK97" s="339">
        <v>671</v>
      </c>
      <c r="HL97" s="339">
        <v>61.89</v>
      </c>
      <c r="HM97" s="512">
        <v>0.44</v>
      </c>
      <c r="HN97" s="339">
        <v>670</v>
      </c>
      <c r="HO97" s="339">
        <v>60.54</v>
      </c>
      <c r="HP97" s="339">
        <v>0.4</v>
      </c>
      <c r="HQ97" s="339">
        <v>669</v>
      </c>
      <c r="HR97" s="339">
        <v>56.83</v>
      </c>
      <c r="HS97" s="339">
        <v>0.4</v>
      </c>
      <c r="HT97" s="339">
        <v>668</v>
      </c>
      <c r="HU97" s="339">
        <v>52.9</v>
      </c>
      <c r="HV97" s="339">
        <v>0.4</v>
      </c>
      <c r="HW97" s="339">
        <v>670</v>
      </c>
      <c r="HX97" s="506">
        <v>53.14</v>
      </c>
      <c r="HY97" s="513">
        <f>1.6/4</f>
        <v>0.4</v>
      </c>
      <c r="HZ97" s="339">
        <v>670</v>
      </c>
      <c r="IA97" s="339">
        <v>53.44</v>
      </c>
      <c r="IB97" s="339">
        <v>0.4</v>
      </c>
      <c r="IC97" s="339">
        <v>666</v>
      </c>
      <c r="ID97" s="339">
        <v>51.33</v>
      </c>
      <c r="IE97" s="339">
        <v>0.4</v>
      </c>
      <c r="IF97" s="339">
        <v>661</v>
      </c>
      <c r="IG97" s="339">
        <v>45.89</v>
      </c>
      <c r="IH97" s="339">
        <v>0.4</v>
      </c>
      <c r="II97" s="339">
        <v>661</v>
      </c>
      <c r="IJ97" s="505">
        <v>44.07</v>
      </c>
      <c r="IK97" s="339">
        <v>0.4</v>
      </c>
      <c r="IL97" s="339">
        <v>661</v>
      </c>
      <c r="IM97" s="339">
        <v>36.69</v>
      </c>
      <c r="IN97" s="339">
        <v>0.30499999999999999</v>
      </c>
      <c r="IO97" s="339">
        <v>660</v>
      </c>
      <c r="IP97" s="339">
        <v>33.29</v>
      </c>
      <c r="IQ97" s="339">
        <v>0.27500000000000002</v>
      </c>
      <c r="IR97" s="339">
        <v>656</v>
      </c>
      <c r="IS97" s="339">
        <v>34.435000000000002</v>
      </c>
      <c r="IT97" s="339">
        <v>0.27500000000000002</v>
      </c>
      <c r="IU97" s="339">
        <v>652</v>
      </c>
      <c r="IV97" s="339">
        <v>33.18</v>
      </c>
      <c r="IW97" s="339">
        <v>0.25</v>
      </c>
      <c r="IX97" s="339">
        <v>650</v>
      </c>
      <c r="IY97" s="339">
        <v>31.75</v>
      </c>
      <c r="IZ97" s="339">
        <v>0.25</v>
      </c>
      <c r="JA97" s="339">
        <v>648</v>
      </c>
      <c r="JB97" s="339">
        <v>29.905000000000001</v>
      </c>
      <c r="JC97" s="339">
        <v>0.23</v>
      </c>
      <c r="JD97" s="339">
        <v>646</v>
      </c>
      <c r="JE97" s="339">
        <v>25.204999999999998</v>
      </c>
      <c r="JF97" s="339">
        <v>0.23</v>
      </c>
      <c r="JG97" s="339">
        <v>646</v>
      </c>
      <c r="JH97" s="339">
        <v>26.385000000000002</v>
      </c>
      <c r="JI97" s="339">
        <v>0.22</v>
      </c>
      <c r="JJ97" s="339">
        <v>644</v>
      </c>
      <c r="JK97" s="339">
        <v>23.75</v>
      </c>
      <c r="JL97" s="339">
        <v>0.22</v>
      </c>
      <c r="JM97" s="339">
        <v>642</v>
      </c>
      <c r="JN97" s="339">
        <v>26.15</v>
      </c>
      <c r="JO97" s="339">
        <v>0.22</v>
      </c>
      <c r="JP97" s="339">
        <v>642</v>
      </c>
      <c r="JQ97" s="339">
        <v>26.484999999999999</v>
      </c>
      <c r="JR97" s="339">
        <v>0.22</v>
      </c>
      <c r="JS97" s="339">
        <v>642</v>
      </c>
      <c r="JT97" s="339">
        <v>23.94</v>
      </c>
      <c r="JU97" s="339">
        <v>0.21124999999999999</v>
      </c>
      <c r="JV97" s="339">
        <v>642</v>
      </c>
      <c r="JW97" s="339">
        <v>22.3</v>
      </c>
      <c r="JX97" s="339">
        <v>0.21124999999999999</v>
      </c>
      <c r="JY97" s="339">
        <v>640</v>
      </c>
      <c r="JZ97" s="339">
        <v>32.06</v>
      </c>
      <c r="KA97" s="339">
        <v>0.21124999999999999</v>
      </c>
      <c r="KB97" s="339">
        <v>638.13</v>
      </c>
      <c r="KC97" s="339">
        <v>32.799999999999997</v>
      </c>
      <c r="KD97" s="339">
        <v>0.15125</v>
      </c>
      <c r="KE97" s="340">
        <v>340</v>
      </c>
      <c r="KF97" s="340">
        <v>35.104999999999997</v>
      </c>
      <c r="KG97" s="340">
        <v>0.21124999999999999</v>
      </c>
      <c r="KH97" s="339">
        <v>348</v>
      </c>
      <c r="KI97" s="339">
        <v>30.28125</v>
      </c>
      <c r="KJ97" s="339">
        <v>0.125</v>
      </c>
      <c r="KK97" s="339">
        <v>362</v>
      </c>
      <c r="KL97" s="339">
        <v>20.15625</v>
      </c>
      <c r="KM97" s="339">
        <v>0.125</v>
      </c>
      <c r="KN97" s="339">
        <v>371.6</v>
      </c>
      <c r="KO97" s="339">
        <v>18.4375</v>
      </c>
      <c r="KP97" s="339">
        <v>0.125</v>
      </c>
      <c r="KQ97" s="339">
        <v>373.2</v>
      </c>
      <c r="KR97" s="339">
        <v>17.375</v>
      </c>
      <c r="KS97" s="339">
        <v>0.125</v>
      </c>
      <c r="KT97" s="339">
        <v>384</v>
      </c>
      <c r="KU97" s="339">
        <v>18.75</v>
      </c>
      <c r="KV97" s="339">
        <v>0.125</v>
      </c>
      <c r="KW97" s="334">
        <v>446.44</v>
      </c>
      <c r="KX97" s="334">
        <v>41.875</v>
      </c>
      <c r="KY97" s="334">
        <v>0.125</v>
      </c>
      <c r="KZ97" s="334">
        <v>223.1</v>
      </c>
      <c r="LA97" s="334">
        <v>46.25</v>
      </c>
      <c r="LB97" s="334">
        <v>0.125</v>
      </c>
      <c r="LC97" s="334">
        <v>223.1</v>
      </c>
      <c r="LD97" s="334">
        <v>41.75</v>
      </c>
      <c r="LE97" s="334">
        <v>0.125</v>
      </c>
      <c r="LF97" s="334">
        <v>222.5</v>
      </c>
      <c r="LG97" s="334">
        <v>36.75</v>
      </c>
      <c r="LH97" s="334">
        <v>0.125</v>
      </c>
      <c r="LI97" s="334">
        <v>222.5</v>
      </c>
      <c r="LJ97" s="334">
        <v>29.187999999999999</v>
      </c>
      <c r="LK97" s="334">
        <v>0.125</v>
      </c>
      <c r="LL97" s="334">
        <v>222.5</v>
      </c>
      <c r="LM97" s="334">
        <v>22.125</v>
      </c>
      <c r="LN97" s="334">
        <v>0.45</v>
      </c>
      <c r="LO97" s="334">
        <v>222.5</v>
      </c>
      <c r="LP97" s="334">
        <v>24.25</v>
      </c>
      <c r="LQ97" s="334">
        <v>0.45</v>
      </c>
      <c r="LR97" s="334">
        <v>222.5</v>
      </c>
      <c r="LS97" s="334">
        <v>23.4375</v>
      </c>
      <c r="LT97" s="334">
        <v>0.45</v>
      </c>
      <c r="LU97" s="334">
        <v>222.5</v>
      </c>
      <c r="LV97" s="334">
        <v>21</v>
      </c>
      <c r="LW97" s="334">
        <v>0.45</v>
      </c>
      <c r="LX97" s="334">
        <v>221.5</v>
      </c>
      <c r="LY97" s="334">
        <v>20.375</v>
      </c>
      <c r="LZ97" s="334">
        <v>0.45</v>
      </c>
      <c r="MA97" s="334">
        <v>221.5</v>
      </c>
      <c r="MB97" s="334">
        <v>25.25</v>
      </c>
      <c r="MC97" s="334">
        <v>0.435</v>
      </c>
      <c r="MD97" s="334">
        <v>221.5</v>
      </c>
      <c r="ME97" s="334">
        <v>23.75</v>
      </c>
      <c r="MF97" s="334">
        <v>0.435</v>
      </c>
      <c r="MG97" s="334">
        <v>221.5</v>
      </c>
      <c r="MH97" s="334">
        <v>26</v>
      </c>
      <c r="MI97" s="334">
        <v>0.435</v>
      </c>
      <c r="MJ97" s="334">
        <v>221.5</v>
      </c>
      <c r="MK97" s="334">
        <v>26.625</v>
      </c>
      <c r="ML97" s="334">
        <v>0.435</v>
      </c>
      <c r="MM97" s="334">
        <v>221.5</v>
      </c>
      <c r="MN97" s="334">
        <v>30.125</v>
      </c>
      <c r="MO97" s="334">
        <v>0.435</v>
      </c>
      <c r="MP97" s="334">
        <v>221.5</v>
      </c>
      <c r="MQ97" s="334">
        <v>28.625</v>
      </c>
      <c r="MR97" s="334">
        <v>0.40500000000000003</v>
      </c>
      <c r="MS97" s="334">
        <v>221.5</v>
      </c>
      <c r="MT97" s="334">
        <v>27.625</v>
      </c>
      <c r="MU97" s="334">
        <v>0.40500000000000003</v>
      </c>
      <c r="MV97" s="334">
        <v>221.5</v>
      </c>
      <c r="MW97" s="334">
        <v>25.125</v>
      </c>
      <c r="MX97" s="334">
        <v>0.40500000000000003</v>
      </c>
      <c r="MY97" s="334">
        <v>221.5</v>
      </c>
      <c r="MZ97" s="334">
        <v>24.5</v>
      </c>
      <c r="NA97" s="334">
        <v>0.40500000000000003</v>
      </c>
      <c r="NB97" s="334">
        <v>221.5</v>
      </c>
      <c r="NC97" s="334">
        <v>25.375</v>
      </c>
      <c r="ND97" s="334">
        <v>0.38</v>
      </c>
      <c r="NE97" s="334">
        <v>221.5</v>
      </c>
      <c r="NF97" s="334">
        <v>26.25</v>
      </c>
      <c r="NG97" s="334">
        <v>0.38</v>
      </c>
      <c r="NH97" s="334">
        <v>221.31800000000001</v>
      </c>
      <c r="NI97" s="334">
        <v>27.75</v>
      </c>
      <c r="NJ97" s="334">
        <v>0.38</v>
      </c>
      <c r="NK97" s="334">
        <v>221.31800000000001</v>
      </c>
      <c r="NL97" s="334">
        <v>30.125</v>
      </c>
      <c r="NM97" s="334">
        <v>0.38</v>
      </c>
      <c r="NN97" s="334">
        <v>221.31800000000001</v>
      </c>
      <c r="NO97" s="334">
        <v>32.75</v>
      </c>
      <c r="NP97" s="334">
        <v>0.35</v>
      </c>
      <c r="NQ97" s="334">
        <v>220.85599999999999</v>
      </c>
      <c r="NR97" s="334">
        <v>30.625</v>
      </c>
      <c r="NS97" s="334">
        <v>0.35</v>
      </c>
      <c r="NT97" s="334">
        <v>220.60900000000001</v>
      </c>
      <c r="NU97" s="334">
        <v>30</v>
      </c>
      <c r="NV97" s="334">
        <v>0.35</v>
      </c>
      <c r="NW97" s="334">
        <v>220.18899999999999</v>
      </c>
      <c r="NX97" s="334">
        <v>26.13</v>
      </c>
      <c r="NY97" s="334">
        <v>0.33</v>
      </c>
      <c r="NZ97" s="334">
        <v>220.18899999999999</v>
      </c>
      <c r="OA97" s="334">
        <v>26.38</v>
      </c>
      <c r="OB97" s="334">
        <v>0.33</v>
      </c>
      <c r="OC97" s="334">
        <v>220.119</v>
      </c>
      <c r="OD97" s="334">
        <v>26.38</v>
      </c>
      <c r="OE97" s="334">
        <v>0.33</v>
      </c>
      <c r="OF97" s="334">
        <v>220.06800000000001</v>
      </c>
      <c r="OG97" s="334">
        <v>24.63</v>
      </c>
      <c r="OH97" s="334">
        <v>0.33</v>
      </c>
      <c r="OI97" s="334">
        <v>218.23400000000001</v>
      </c>
      <c r="OJ97" s="334">
        <v>25.88</v>
      </c>
      <c r="OK97" s="334">
        <v>0.33</v>
      </c>
      <c r="OL97" s="334">
        <v>217.81800000000001</v>
      </c>
      <c r="OM97" s="334">
        <v>22.63</v>
      </c>
      <c r="ON97" s="334">
        <v>0.3</v>
      </c>
      <c r="OO97" s="334">
        <v>217.41499999999999</v>
      </c>
      <c r="OP97" s="334">
        <v>20.13</v>
      </c>
      <c r="OQ97" s="334">
        <v>0.3</v>
      </c>
      <c r="OR97" s="334">
        <v>217.01400000000001</v>
      </c>
      <c r="OS97" s="334">
        <v>19.75</v>
      </c>
      <c r="OT97" s="334">
        <v>0.3</v>
      </c>
      <c r="OU97" s="334">
        <v>214.35599999999999</v>
      </c>
      <c r="OV97" s="334">
        <v>18</v>
      </c>
    </row>
    <row r="98" spans="1:412">
      <c r="B98" s="333" t="s">
        <v>269</v>
      </c>
      <c r="C98" s="333"/>
      <c r="D98" s="333"/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Q98" s="333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503"/>
      <c r="AZ98" s="503"/>
      <c r="BA98" s="503"/>
      <c r="BB98" s="503"/>
      <c r="BC98" s="503"/>
      <c r="BD98" s="503"/>
      <c r="BE98" s="503"/>
      <c r="BF98" s="503"/>
      <c r="BG98" s="503"/>
      <c r="BH98" s="503"/>
      <c r="BI98" s="503"/>
      <c r="BJ98" s="503"/>
      <c r="BK98" s="503"/>
      <c r="BL98" s="503"/>
      <c r="BM98" s="503"/>
      <c r="BN98" s="503"/>
      <c r="BO98" s="503"/>
      <c r="BP98" s="503"/>
      <c r="BQ98" s="504"/>
      <c r="BR98" s="504"/>
      <c r="BS98" s="504"/>
      <c r="BT98" s="504"/>
      <c r="BU98" s="504"/>
      <c r="BV98" s="504"/>
      <c r="BW98" s="504"/>
      <c r="BX98" s="504"/>
      <c r="BY98" s="504"/>
      <c r="BZ98" s="503"/>
      <c r="CA98" s="503"/>
      <c r="CB98" s="503"/>
      <c r="CC98" s="503"/>
      <c r="CD98" s="503"/>
      <c r="CE98" s="503"/>
      <c r="CF98" s="503"/>
      <c r="CG98" s="503"/>
      <c r="CH98" s="503"/>
      <c r="CI98" s="503"/>
      <c r="CJ98" s="503"/>
      <c r="CK98" s="503"/>
      <c r="CL98" s="503"/>
      <c r="CM98" s="503"/>
      <c r="CN98" s="503"/>
      <c r="CO98" s="503"/>
      <c r="CP98" s="503"/>
      <c r="CQ98" s="503"/>
      <c r="CR98" s="504"/>
      <c r="CS98" s="504"/>
      <c r="CT98" s="504"/>
      <c r="CU98" s="503"/>
      <c r="CV98" s="503"/>
      <c r="CW98" s="503"/>
      <c r="CX98" s="339"/>
      <c r="CY98" s="339"/>
      <c r="CZ98" s="339"/>
      <c r="DA98" s="339"/>
      <c r="DB98" s="339"/>
      <c r="DC98" s="339"/>
      <c r="DD98" s="339"/>
      <c r="DE98" s="339"/>
      <c r="DF98" s="339"/>
      <c r="DG98" s="339"/>
      <c r="DH98" s="339"/>
      <c r="DI98" s="339"/>
      <c r="DJ98" s="339"/>
      <c r="DK98" s="339"/>
      <c r="DL98" s="339"/>
      <c r="DM98" s="339"/>
      <c r="DN98" s="339"/>
      <c r="DO98" s="339"/>
      <c r="DP98" s="339"/>
      <c r="DQ98" s="339"/>
      <c r="DR98" s="339"/>
      <c r="DS98" s="339"/>
      <c r="DT98" s="339"/>
      <c r="DU98" s="339"/>
      <c r="DV98" s="339"/>
      <c r="DW98" s="339"/>
      <c r="DX98" s="339"/>
      <c r="DY98" s="339"/>
      <c r="DZ98" s="339"/>
      <c r="EA98" s="339"/>
      <c r="EB98" s="340"/>
      <c r="EC98" s="340"/>
      <c r="ED98" s="340"/>
      <c r="EE98" s="339"/>
      <c r="EF98" s="339"/>
      <c r="EG98" s="339"/>
      <c r="EH98" s="339"/>
      <c r="EI98" s="339"/>
      <c r="EJ98" s="339"/>
      <c r="EK98" s="339"/>
      <c r="EL98" s="339"/>
      <c r="EM98" s="339"/>
      <c r="EN98" s="339"/>
      <c r="EO98" s="339"/>
      <c r="EP98" s="339"/>
      <c r="EQ98" s="339"/>
      <c r="ER98" s="339"/>
      <c r="ES98" s="339"/>
      <c r="ET98" s="339"/>
      <c r="EU98" s="339"/>
      <c r="EV98" s="339"/>
      <c r="EW98" s="339"/>
      <c r="EX98" s="339"/>
      <c r="EY98" s="339"/>
      <c r="EZ98" s="339"/>
      <c r="FA98" s="339"/>
      <c r="FB98" s="339"/>
      <c r="FC98" s="339"/>
      <c r="FD98" s="339"/>
      <c r="FE98" s="339"/>
      <c r="FF98" s="339"/>
      <c r="FG98" s="339"/>
      <c r="FH98" s="342"/>
      <c r="FI98" s="339"/>
      <c r="FJ98" s="339"/>
      <c r="FK98" s="339"/>
      <c r="FL98" s="339"/>
      <c r="FM98" s="339"/>
      <c r="FN98" s="339"/>
      <c r="FO98" s="339"/>
      <c r="FP98" s="339"/>
      <c r="FQ98" s="339"/>
      <c r="FR98" s="339"/>
      <c r="FS98" s="339"/>
      <c r="FT98" s="339"/>
      <c r="FU98" s="339"/>
      <c r="FV98" s="339"/>
      <c r="FW98" s="339"/>
      <c r="FX98" s="339"/>
      <c r="FY98" s="339"/>
      <c r="FZ98" s="339"/>
      <c r="GA98" s="339"/>
      <c r="GB98" s="339"/>
      <c r="GC98" s="339"/>
      <c r="GD98" s="339"/>
      <c r="GE98" s="339"/>
      <c r="GF98" s="339"/>
      <c r="GG98" s="339"/>
      <c r="GH98" s="339"/>
      <c r="GI98" s="339"/>
      <c r="GJ98" s="339"/>
      <c r="GK98" s="339"/>
      <c r="GL98" s="339"/>
      <c r="GM98" s="339"/>
      <c r="GN98" s="339"/>
      <c r="GO98" s="339"/>
      <c r="GP98" s="339"/>
      <c r="GQ98" s="339"/>
      <c r="GR98" s="339"/>
      <c r="GS98" s="339"/>
      <c r="GT98" s="339"/>
      <c r="GU98" s="339"/>
      <c r="GV98" s="339"/>
      <c r="GW98" s="339"/>
      <c r="GX98" s="339"/>
      <c r="GY98" s="339"/>
      <c r="GZ98" s="339"/>
      <c r="HA98" s="339"/>
      <c r="HB98" s="339"/>
      <c r="HC98" s="339"/>
      <c r="HD98" s="339"/>
      <c r="HE98" s="339"/>
      <c r="HF98" s="339"/>
      <c r="HG98" s="339"/>
      <c r="HH98" s="339"/>
      <c r="HI98" s="505"/>
      <c r="HJ98" s="339"/>
      <c r="HK98" s="339"/>
      <c r="HL98" s="339"/>
      <c r="HM98" s="339"/>
      <c r="HN98" s="339"/>
      <c r="HO98" s="339"/>
      <c r="HP98" s="339"/>
      <c r="HQ98" s="339"/>
      <c r="HR98" s="339"/>
      <c r="HS98" s="339"/>
      <c r="HT98" s="339"/>
      <c r="HU98" s="339"/>
      <c r="HV98" s="339"/>
      <c r="HW98" s="339"/>
      <c r="HX98" s="506"/>
      <c r="HY98" s="513"/>
      <c r="HZ98" s="339"/>
      <c r="IA98" s="339"/>
      <c r="IB98" s="339"/>
      <c r="IC98" s="339"/>
      <c r="ID98" s="339"/>
      <c r="IE98" s="339"/>
      <c r="IF98" s="339"/>
      <c r="IG98" s="339"/>
      <c r="IH98" s="339"/>
      <c r="II98" s="339"/>
      <c r="IJ98" s="505"/>
      <c r="IK98" s="339"/>
      <c r="IL98" s="339"/>
      <c r="IM98" s="339"/>
      <c r="IN98" s="339"/>
      <c r="IO98" s="339"/>
      <c r="IP98" s="339"/>
      <c r="IQ98" s="339"/>
      <c r="IR98" s="339"/>
      <c r="IS98" s="339"/>
      <c r="IT98" s="339"/>
      <c r="IU98" s="339"/>
      <c r="IV98" s="339"/>
      <c r="IW98" s="339"/>
      <c r="IX98" s="339"/>
      <c r="IY98" s="339"/>
      <c r="IZ98" s="342"/>
      <c r="JA98" s="339"/>
      <c r="JB98" s="339"/>
      <c r="JC98" s="339"/>
      <c r="JD98" s="339"/>
      <c r="JE98" s="339"/>
      <c r="JF98" s="339"/>
      <c r="JG98" s="339"/>
      <c r="JH98" s="339"/>
      <c r="JI98" s="339"/>
      <c r="JJ98" s="339"/>
      <c r="JK98" s="339"/>
      <c r="JL98" s="339"/>
      <c r="JM98" s="339"/>
      <c r="JN98" s="339"/>
      <c r="JO98" s="339"/>
      <c r="JP98" s="339"/>
      <c r="JQ98" s="339"/>
      <c r="JR98" s="339"/>
      <c r="JS98" s="339"/>
      <c r="JT98" s="342"/>
      <c r="JU98" s="342"/>
      <c r="JV98" s="339"/>
      <c r="JW98" s="339"/>
      <c r="JX98" s="339"/>
      <c r="JY98" s="339"/>
      <c r="JZ98" s="339"/>
      <c r="KA98" s="339"/>
      <c r="KB98" s="339"/>
      <c r="KC98" s="339"/>
      <c r="KD98" s="339"/>
      <c r="KE98" s="339"/>
      <c r="KF98" s="339"/>
      <c r="KG98" s="339"/>
      <c r="KH98" s="339"/>
      <c r="KI98" s="339"/>
      <c r="KJ98" s="339"/>
      <c r="KK98" s="339">
        <v>116.1</v>
      </c>
      <c r="KL98" s="339">
        <v>30</v>
      </c>
      <c r="KM98" s="339">
        <v>0.57999999999999996</v>
      </c>
      <c r="KN98" s="339">
        <v>115.8</v>
      </c>
      <c r="KO98" s="339">
        <v>30.0625</v>
      </c>
      <c r="KP98" s="339">
        <v>0.57999999999999996</v>
      </c>
      <c r="KQ98" s="339">
        <v>115.3</v>
      </c>
      <c r="KR98" s="339">
        <v>30.375</v>
      </c>
      <c r="KS98" s="339">
        <v>0.57999999999999996</v>
      </c>
      <c r="KT98" s="339">
        <v>114.881</v>
      </c>
      <c r="KU98" s="339">
        <v>33.4375</v>
      </c>
      <c r="KV98" s="339">
        <v>0.57999999999999996</v>
      </c>
      <c r="KW98" s="334">
        <v>111.86</v>
      </c>
      <c r="KX98" s="334">
        <v>38.8125</v>
      </c>
      <c r="KY98" s="334">
        <v>0.57999999999999996</v>
      </c>
      <c r="KZ98" s="334">
        <v>111.61</v>
      </c>
      <c r="LA98" s="334">
        <v>34.0625</v>
      </c>
      <c r="LB98" s="334">
        <v>0.57999999999999996</v>
      </c>
      <c r="LC98" s="334">
        <v>111.61</v>
      </c>
      <c r="LD98" s="334">
        <v>48.75</v>
      </c>
      <c r="LE98" s="334">
        <v>0.57999999999999996</v>
      </c>
      <c r="LF98" s="334">
        <v>110.97</v>
      </c>
      <c r="LG98" s="334">
        <v>48.688000000000002</v>
      </c>
      <c r="LH98" s="334">
        <v>0.57999999999999996</v>
      </c>
      <c r="LI98" s="334">
        <v>110.97</v>
      </c>
      <c r="LJ98" s="334">
        <v>45.438000000000002</v>
      </c>
      <c r="LK98" s="334">
        <v>0.57999999999999996</v>
      </c>
      <c r="LL98" s="334">
        <v>104.25</v>
      </c>
      <c r="LM98" s="334">
        <v>50.375</v>
      </c>
      <c r="LN98" s="334">
        <v>0.57999999999999996</v>
      </c>
      <c r="LO98" s="334">
        <v>104.247</v>
      </c>
      <c r="LP98" s="334">
        <v>47.9375</v>
      </c>
      <c r="LQ98" s="334">
        <v>0.57999999999999996</v>
      </c>
      <c r="LR98" s="334">
        <v>109</v>
      </c>
      <c r="LS98" s="334">
        <v>41.5625</v>
      </c>
      <c r="LT98" s="334">
        <v>0.57999999999999996</v>
      </c>
      <c r="LU98" s="334">
        <v>65.122</v>
      </c>
      <c r="LV98" s="334">
        <v>41.563000000000002</v>
      </c>
      <c r="LW98" s="334">
        <v>0.52500000000000002</v>
      </c>
      <c r="LX98" s="334">
        <v>62.512999999999998</v>
      </c>
      <c r="LY98" s="334">
        <v>38.75</v>
      </c>
      <c r="LZ98" s="334">
        <v>0.52500000000000002</v>
      </c>
      <c r="MA98" s="334">
        <v>62.512999999999998</v>
      </c>
      <c r="MB98" s="334">
        <v>38.875</v>
      </c>
      <c r="MC98" s="334">
        <v>0.52500000000000002</v>
      </c>
      <c r="MD98" s="334">
        <v>62.512999999999998</v>
      </c>
      <c r="ME98" s="334">
        <v>35.5</v>
      </c>
      <c r="MF98" s="334">
        <v>0.52500000000000002</v>
      </c>
      <c r="MG98" s="334">
        <v>62.512999999999998</v>
      </c>
      <c r="MH98" s="334">
        <v>36.75</v>
      </c>
      <c r="MI98" s="334">
        <v>0.52500000000000002</v>
      </c>
      <c r="MJ98" s="334">
        <v>62.512999999999998</v>
      </c>
      <c r="MK98" s="334">
        <v>35.125</v>
      </c>
      <c r="ML98" s="334">
        <v>0.51</v>
      </c>
      <c r="MM98" s="334">
        <v>62.512999999999998</v>
      </c>
      <c r="MN98" s="334">
        <v>35.375</v>
      </c>
      <c r="MO98" s="334">
        <v>0.51</v>
      </c>
      <c r="MP98" s="334">
        <v>62.512999999999998</v>
      </c>
      <c r="MQ98" s="334">
        <v>34.25</v>
      </c>
      <c r="MR98" s="334">
        <v>0.51</v>
      </c>
      <c r="MS98" s="334">
        <v>62.512999999999998</v>
      </c>
      <c r="MT98" s="334">
        <v>32.5</v>
      </c>
      <c r="MU98" s="334">
        <v>0.51</v>
      </c>
      <c r="MV98" s="334">
        <v>62.512999999999998</v>
      </c>
      <c r="MW98" s="334">
        <v>30.75</v>
      </c>
      <c r="MX98" s="334">
        <v>0.51</v>
      </c>
      <c r="MY98" s="334">
        <v>61.171999999999997</v>
      </c>
      <c r="MZ98" s="334">
        <v>29.375</v>
      </c>
      <c r="NA98" s="334">
        <v>0.5</v>
      </c>
      <c r="NB98" s="334">
        <v>61.171999999999997</v>
      </c>
      <c r="NC98" s="334">
        <v>27</v>
      </c>
      <c r="ND98" s="334">
        <v>0.5</v>
      </c>
      <c r="NE98" s="334">
        <v>61.171999999999997</v>
      </c>
      <c r="NF98" s="334">
        <v>26.125</v>
      </c>
      <c r="NG98" s="334">
        <v>0.5</v>
      </c>
      <c r="NH98" s="334">
        <v>59.924999999999997</v>
      </c>
      <c r="NI98" s="334">
        <v>29.125</v>
      </c>
      <c r="NJ98" s="334">
        <v>0.5</v>
      </c>
      <c r="NK98" s="334">
        <v>59.924999999999997</v>
      </c>
      <c r="NL98" s="334">
        <v>32.125</v>
      </c>
      <c r="NM98" s="334">
        <v>0.5</v>
      </c>
      <c r="NN98" s="334">
        <v>59.924999999999997</v>
      </c>
      <c r="NO98" s="334">
        <v>31.75</v>
      </c>
      <c r="NP98" s="334">
        <v>0.5</v>
      </c>
      <c r="NQ98" s="334">
        <v>59.534999999999997</v>
      </c>
      <c r="NR98" s="334">
        <v>32.875</v>
      </c>
      <c r="NS98" s="334">
        <v>0.5</v>
      </c>
      <c r="NT98" s="334">
        <v>58.997</v>
      </c>
      <c r="NU98" s="334">
        <v>30.25</v>
      </c>
      <c r="NV98" s="334">
        <v>0.5</v>
      </c>
      <c r="NW98" s="334">
        <v>57.308</v>
      </c>
      <c r="NX98" s="334">
        <v>28.63</v>
      </c>
      <c r="NY98" s="334">
        <v>0.5</v>
      </c>
      <c r="NZ98" s="334">
        <v>57.308</v>
      </c>
      <c r="OA98" s="334">
        <v>29.13</v>
      </c>
      <c r="OB98" s="334">
        <v>0.5</v>
      </c>
      <c r="OC98" s="334">
        <v>57.040999999999997</v>
      </c>
      <c r="OD98" s="334">
        <v>26.88</v>
      </c>
      <c r="OE98" s="334">
        <v>0.5</v>
      </c>
      <c r="OF98" s="334">
        <v>56.701000000000001</v>
      </c>
      <c r="OG98" s="334">
        <v>26.25</v>
      </c>
      <c r="OH98" s="334">
        <v>0.5</v>
      </c>
      <c r="OI98" s="334">
        <v>55.470999999999997</v>
      </c>
      <c r="OJ98" s="334">
        <v>27</v>
      </c>
      <c r="OK98" s="334">
        <v>0.5</v>
      </c>
      <c r="OL98" s="334">
        <v>55.244999999999997</v>
      </c>
      <c r="OM98" s="334">
        <v>24.88</v>
      </c>
      <c r="ON98" s="334">
        <v>0.5</v>
      </c>
      <c r="OO98" s="334">
        <v>55.006</v>
      </c>
      <c r="OP98" s="334">
        <v>22.63</v>
      </c>
      <c r="OQ98" s="334">
        <v>0.5</v>
      </c>
      <c r="OR98" s="334">
        <v>54.746000000000002</v>
      </c>
      <c r="OS98" s="334">
        <v>23.25</v>
      </c>
      <c r="OT98" s="334">
        <v>0.5</v>
      </c>
      <c r="OU98" s="334">
        <v>53.625999999999998</v>
      </c>
      <c r="OV98" s="334">
        <v>23.25</v>
      </c>
    </row>
    <row r="99" spans="1:412">
      <c r="A99" s="294" t="s">
        <v>655</v>
      </c>
      <c r="B99" s="335" t="s">
        <v>653</v>
      </c>
      <c r="C99" s="335">
        <v>90.53</v>
      </c>
      <c r="D99" s="335">
        <v>49.17</v>
      </c>
      <c r="E99" s="335">
        <v>0.40749999999999997</v>
      </c>
      <c r="F99" s="335">
        <v>90.504000000000005</v>
      </c>
      <c r="G99" s="335">
        <v>43.77</v>
      </c>
      <c r="H99" s="335">
        <v>0.38750000000000001</v>
      </c>
      <c r="I99" s="335">
        <v>90.483000000000004</v>
      </c>
      <c r="J99" s="335">
        <v>36.96</v>
      </c>
      <c r="K99" s="335">
        <v>0.38750000000000001</v>
      </c>
      <c r="L99" s="335">
        <v>86.908000000000001</v>
      </c>
      <c r="M99" s="335">
        <v>37.64</v>
      </c>
      <c r="N99" s="335">
        <v>0.38750000000000001</v>
      </c>
      <c r="O99" s="335">
        <v>86.088999999999999</v>
      </c>
      <c r="P99" s="335">
        <v>41.6</v>
      </c>
      <c r="Q99" s="335">
        <v>0.38750000000000001</v>
      </c>
      <c r="R99" s="340">
        <v>86.084999999999994</v>
      </c>
      <c r="S99" s="340">
        <v>44.61</v>
      </c>
      <c r="T99" s="340">
        <v>0.36749999999999999</v>
      </c>
      <c r="U99" s="340">
        <v>86.100999999999999</v>
      </c>
      <c r="V99" s="340">
        <v>45.1</v>
      </c>
      <c r="W99" s="340">
        <v>0.36749999999999999</v>
      </c>
      <c r="X99" s="340">
        <v>86.122</v>
      </c>
      <c r="Y99" s="340">
        <v>48.68</v>
      </c>
      <c r="Z99" s="340">
        <v>0.36749999999999999</v>
      </c>
      <c r="AA99" s="340">
        <v>86.100999999999999</v>
      </c>
      <c r="AB99" s="340">
        <v>48.79</v>
      </c>
      <c r="AC99" s="340">
        <v>0.36749999999999999</v>
      </c>
      <c r="AD99" s="340">
        <v>86.186000000000007</v>
      </c>
      <c r="AE99" s="340">
        <v>45.73</v>
      </c>
      <c r="AF99" s="340">
        <v>0.34749999999999998</v>
      </c>
      <c r="AG99" s="340">
        <v>86.090999999999994</v>
      </c>
      <c r="AH99" s="340">
        <v>47.78</v>
      </c>
      <c r="AI99" s="340">
        <v>0.34749999999999998</v>
      </c>
      <c r="AJ99" s="340">
        <v>86.07</v>
      </c>
      <c r="AK99" s="340">
        <v>47.67</v>
      </c>
      <c r="AL99" s="340">
        <v>0.34749999999999998</v>
      </c>
      <c r="AM99" s="340">
        <v>86.072000000000003</v>
      </c>
      <c r="AN99" s="340">
        <v>45.61</v>
      </c>
      <c r="AO99" s="340">
        <v>0.32750000000000001</v>
      </c>
      <c r="AP99" s="340">
        <v>86.066000000000003</v>
      </c>
      <c r="AQ99" s="340">
        <v>49.48</v>
      </c>
      <c r="AR99" s="340">
        <v>0.32750000000000001</v>
      </c>
      <c r="AS99" s="340">
        <v>86.031000000000006</v>
      </c>
      <c r="AT99" s="340">
        <v>48.77</v>
      </c>
      <c r="AU99" s="340">
        <v>0.32750000000000001</v>
      </c>
      <c r="AV99" s="340">
        <v>80.156999999999996</v>
      </c>
      <c r="AW99" s="340">
        <v>49.05</v>
      </c>
      <c r="AX99" s="340">
        <v>0.32750000000000001</v>
      </c>
      <c r="AY99" s="503">
        <v>79.867000000000004</v>
      </c>
      <c r="AZ99" s="503">
        <v>48.53</v>
      </c>
      <c r="BA99" s="503">
        <v>0.32750000000000001</v>
      </c>
      <c r="BB99" s="504">
        <v>79.84</v>
      </c>
      <c r="BC99" s="504">
        <v>41.33</v>
      </c>
      <c r="BD99" s="504">
        <v>0.3075</v>
      </c>
      <c r="BE99" s="504">
        <v>79.870999999999995</v>
      </c>
      <c r="BF99" s="504">
        <v>38.44</v>
      </c>
      <c r="BG99" s="504">
        <v>0.3075</v>
      </c>
      <c r="BH99" s="504">
        <v>79.930999999999997</v>
      </c>
      <c r="BI99" s="504">
        <v>38</v>
      </c>
      <c r="BJ99" s="504">
        <v>0.3075</v>
      </c>
      <c r="BK99" s="504">
        <v>80.000506000000001</v>
      </c>
      <c r="BL99" s="504">
        <v>50.71</v>
      </c>
      <c r="BM99" s="504">
        <v>0.3075</v>
      </c>
      <c r="BN99" s="504">
        <v>79.917269000000005</v>
      </c>
      <c r="BO99" s="504">
        <v>52.08</v>
      </c>
      <c r="BP99" s="504">
        <v>0.28999999999999998</v>
      </c>
      <c r="BQ99" s="504">
        <v>79.893000000000001</v>
      </c>
      <c r="BR99" s="504">
        <v>50.91</v>
      </c>
      <c r="BS99" s="504">
        <v>0.28999999999999998</v>
      </c>
      <c r="BT99" s="504">
        <v>79.89</v>
      </c>
      <c r="BU99" s="504">
        <v>47.34</v>
      </c>
      <c r="BV99" s="504">
        <v>0.28999999999999998</v>
      </c>
      <c r="BW99" s="504">
        <v>79.869</v>
      </c>
      <c r="BX99" s="504">
        <v>41.09</v>
      </c>
      <c r="BY99" s="507">
        <v>0.28999999999999998</v>
      </c>
      <c r="BZ99" s="504">
        <v>79.864999999999995</v>
      </c>
      <c r="CA99" s="504">
        <v>39.450000000000003</v>
      </c>
      <c r="CB99" s="504">
        <v>0.26500000000000001</v>
      </c>
      <c r="CC99" s="503">
        <v>79.858999999999995</v>
      </c>
      <c r="CD99" s="503">
        <v>38.9</v>
      </c>
      <c r="CE99" s="503">
        <v>0.26500000000000001</v>
      </c>
      <c r="CF99" s="503">
        <v>80.169385000000005</v>
      </c>
      <c r="CG99" s="503">
        <v>38.25</v>
      </c>
      <c r="CH99" s="508">
        <v>0.26500000000000001</v>
      </c>
      <c r="CI99" s="503">
        <v>79.938000000000002</v>
      </c>
      <c r="CJ99" s="503">
        <v>40.450000000000003</v>
      </c>
      <c r="CK99" s="503">
        <v>0.24249999999999999</v>
      </c>
      <c r="CL99" s="503">
        <v>79.905000000000001</v>
      </c>
      <c r="CM99" s="503">
        <v>40.299999999999997</v>
      </c>
      <c r="CN99" s="503">
        <v>0.24249999999999999</v>
      </c>
      <c r="CO99" s="503">
        <v>79.766000000000005</v>
      </c>
      <c r="CP99" s="503">
        <v>38.25</v>
      </c>
      <c r="CQ99" s="503">
        <v>0.24249999999999999</v>
      </c>
      <c r="CR99" s="504">
        <v>79.757999999999996</v>
      </c>
      <c r="CS99" s="504">
        <v>37</v>
      </c>
      <c r="CT99" s="504">
        <v>0.24249999999999999</v>
      </c>
      <c r="CU99" s="503">
        <v>79.75</v>
      </c>
      <c r="CV99" s="503">
        <v>34.299999999999997</v>
      </c>
      <c r="CW99" s="509">
        <v>0.24249999999999999</v>
      </c>
      <c r="CX99" s="339">
        <v>79.751000000000005</v>
      </c>
      <c r="CY99" s="339">
        <v>32.72</v>
      </c>
      <c r="CZ99" s="339">
        <v>0.22</v>
      </c>
      <c r="DA99" s="339">
        <v>79.757999999999996</v>
      </c>
      <c r="DB99" s="339">
        <v>35.44</v>
      </c>
      <c r="DC99" s="339">
        <v>0.22</v>
      </c>
      <c r="DD99" s="339">
        <v>79.759</v>
      </c>
      <c r="DE99" s="339">
        <v>33.72</v>
      </c>
      <c r="DF99" s="339">
        <v>0.22</v>
      </c>
      <c r="DG99" s="339">
        <v>79.754000000000005</v>
      </c>
      <c r="DH99" s="339">
        <v>30.57</v>
      </c>
      <c r="DI99" s="339">
        <v>0.22</v>
      </c>
      <c r="DJ99" s="339">
        <v>79.753</v>
      </c>
      <c r="DK99" s="339">
        <v>28.05</v>
      </c>
      <c r="DL99" s="339">
        <v>0.2</v>
      </c>
      <c r="DM99" s="339">
        <v>79.766000000000005</v>
      </c>
      <c r="DN99" s="339">
        <v>24.6</v>
      </c>
      <c r="DO99" s="339">
        <v>0.2</v>
      </c>
      <c r="DP99" s="340">
        <v>79.787999999999997</v>
      </c>
      <c r="DQ99" s="340">
        <v>29.2</v>
      </c>
      <c r="DR99" s="340">
        <v>0.2</v>
      </c>
      <c r="DS99" s="339">
        <v>79.766000000000005</v>
      </c>
      <c r="DT99" s="339">
        <v>29.63</v>
      </c>
      <c r="DU99" s="510">
        <v>0.2</v>
      </c>
      <c r="DV99" s="339">
        <v>79.763999999999996</v>
      </c>
      <c r="DW99" s="339">
        <v>24.91</v>
      </c>
      <c r="DX99" s="339">
        <v>0.185</v>
      </c>
      <c r="DY99" s="339">
        <v>79.835999999999999</v>
      </c>
      <c r="DZ99" s="339">
        <v>29.33</v>
      </c>
      <c r="EA99" s="339">
        <v>0.185</v>
      </c>
      <c r="EB99" s="340">
        <v>79.844999999999999</v>
      </c>
      <c r="EC99" s="340">
        <v>27.03</v>
      </c>
      <c r="ED99" s="340">
        <v>0.185</v>
      </c>
      <c r="EE99" s="339">
        <v>79.831000000000003</v>
      </c>
      <c r="EF99" s="339">
        <v>24.12</v>
      </c>
      <c r="EG99" s="510">
        <v>0.185</v>
      </c>
      <c r="EH99" s="339">
        <v>79.847999999999999</v>
      </c>
      <c r="EI99" s="339">
        <v>22.63</v>
      </c>
      <c r="EJ99" s="339">
        <v>0.16500000000000001</v>
      </c>
      <c r="EK99" s="339">
        <v>79.864999999999995</v>
      </c>
      <c r="EL99" s="339">
        <v>22.19</v>
      </c>
      <c r="EM99" s="339">
        <v>0.16500000000000001</v>
      </c>
      <c r="EN99" s="340">
        <v>79.799000000000007</v>
      </c>
      <c r="EO99" s="340">
        <v>23.29</v>
      </c>
      <c r="EP99" s="515">
        <v>0.16500000000000001</v>
      </c>
      <c r="EQ99" s="339">
        <v>79.768000000000001</v>
      </c>
      <c r="ER99" s="339">
        <v>20.51</v>
      </c>
      <c r="ES99" s="339">
        <v>0.14499999999999999</v>
      </c>
      <c r="ET99" s="339">
        <v>79.808000000000007</v>
      </c>
      <c r="EU99" s="339">
        <v>21.03</v>
      </c>
      <c r="EV99" s="339">
        <v>0.14499999999999999</v>
      </c>
      <c r="EW99" s="339">
        <v>79.853999999999999</v>
      </c>
      <c r="EX99" s="339">
        <v>19.54</v>
      </c>
      <c r="EY99" s="339">
        <v>0.14499999999999999</v>
      </c>
      <c r="EZ99" s="340">
        <v>89.200999999999993</v>
      </c>
      <c r="FA99" s="340">
        <v>18.3</v>
      </c>
      <c r="FB99" s="515">
        <v>0.14499999999999999</v>
      </c>
      <c r="FC99" s="339">
        <v>91.2</v>
      </c>
      <c r="FD99" s="339">
        <v>18.239999999999998</v>
      </c>
      <c r="FE99" s="339">
        <v>0.125</v>
      </c>
      <c r="FF99" s="339">
        <v>91.589994000000004</v>
      </c>
      <c r="FG99" s="339">
        <v>16.43</v>
      </c>
      <c r="FH99" s="339">
        <v>0.125</v>
      </c>
      <c r="FI99" s="339">
        <v>91.632999999999996</v>
      </c>
      <c r="FJ99" s="339">
        <v>16.739999999999998</v>
      </c>
      <c r="FK99" s="339">
        <v>0.125</v>
      </c>
      <c r="FL99" s="339">
        <v>91.571920000000006</v>
      </c>
      <c r="FM99" s="339">
        <v>14.92</v>
      </c>
      <c r="FN99" s="339">
        <v>0.125</v>
      </c>
      <c r="FO99" s="339">
        <v>91.561999999999998</v>
      </c>
      <c r="FP99" s="339">
        <v>13.02</v>
      </c>
      <c r="FQ99" s="339">
        <v>0.125</v>
      </c>
      <c r="FR99" s="339">
        <v>91.56</v>
      </c>
      <c r="FS99" s="339">
        <v>11.37</v>
      </c>
      <c r="FT99" s="339">
        <v>0.125</v>
      </c>
      <c r="FU99" s="339">
        <v>91.546000000000006</v>
      </c>
      <c r="FV99" s="339">
        <v>11.18</v>
      </c>
      <c r="FW99" s="339">
        <v>0.125</v>
      </c>
      <c r="FX99" s="339">
        <v>91.546000000000006</v>
      </c>
      <c r="FY99" s="339">
        <v>12.53</v>
      </c>
      <c r="FZ99" s="339">
        <v>0.125</v>
      </c>
      <c r="GA99" s="339">
        <v>91.450999999999993</v>
      </c>
      <c r="GB99" s="339">
        <v>12.65</v>
      </c>
      <c r="GC99" s="339">
        <v>0.125</v>
      </c>
      <c r="GD99" s="339">
        <v>91.41</v>
      </c>
      <c r="GE99" s="339">
        <v>11.68</v>
      </c>
      <c r="GF99" s="339">
        <v>0.125</v>
      </c>
      <c r="GG99" s="339">
        <v>91.331999999999994</v>
      </c>
      <c r="GH99" s="339">
        <v>10.71</v>
      </c>
      <c r="GI99" s="339">
        <v>0.125</v>
      </c>
      <c r="GJ99" s="339">
        <v>88.87</v>
      </c>
      <c r="GK99" s="339">
        <v>8.26</v>
      </c>
      <c r="GL99" s="339">
        <v>0.125</v>
      </c>
      <c r="GM99" s="519">
        <v>86.408000000000001</v>
      </c>
      <c r="GN99" s="339">
        <v>10.08</v>
      </c>
      <c r="GO99" s="339">
        <v>0.125</v>
      </c>
      <c r="GP99" s="339">
        <v>81.697999999999993</v>
      </c>
      <c r="GQ99" s="339">
        <v>10.24</v>
      </c>
      <c r="GR99" s="339">
        <v>0.125</v>
      </c>
      <c r="GS99" s="339">
        <v>76.849999999999994</v>
      </c>
      <c r="GT99" s="339">
        <v>11.96</v>
      </c>
      <c r="GU99" s="339">
        <v>0.23</v>
      </c>
      <c r="GV99" s="339">
        <v>76.718999999999994</v>
      </c>
      <c r="GW99" s="339">
        <v>12.47</v>
      </c>
      <c r="GX99" s="339">
        <v>0.23</v>
      </c>
      <c r="GY99" s="339">
        <v>76.736000000000004</v>
      </c>
      <c r="GZ99" s="339">
        <v>21.45</v>
      </c>
      <c r="HA99" s="339">
        <v>0.23</v>
      </c>
      <c r="HB99" s="339">
        <v>76.694999999999993</v>
      </c>
      <c r="HC99" s="339">
        <v>23.28</v>
      </c>
      <c r="HD99" s="339">
        <v>0.23</v>
      </c>
      <c r="HE99" s="339">
        <v>76.659000000000006</v>
      </c>
      <c r="HF99" s="339">
        <v>27.79</v>
      </c>
      <c r="HG99" s="339">
        <v>0.23</v>
      </c>
      <c r="HH99" s="339">
        <v>69.828999999999994</v>
      </c>
      <c r="HI99" s="505">
        <v>32.299999999999997</v>
      </c>
      <c r="HJ99" s="339">
        <v>0.23</v>
      </c>
      <c r="HK99" s="339">
        <v>69.725999999999999</v>
      </c>
      <c r="HL99" s="339">
        <v>31.1</v>
      </c>
      <c r="HM99" s="339">
        <v>0.22</v>
      </c>
      <c r="HN99" s="339">
        <v>68.852000000000004</v>
      </c>
      <c r="HO99" s="339">
        <v>27.57</v>
      </c>
      <c r="HP99" s="339">
        <v>0.22</v>
      </c>
      <c r="HQ99" s="339">
        <v>68.787000000000006</v>
      </c>
      <c r="HR99" s="339">
        <v>24.96</v>
      </c>
      <c r="HS99" s="339">
        <v>0.22</v>
      </c>
      <c r="HT99" s="339">
        <v>68.742000000000004</v>
      </c>
      <c r="HU99" s="339">
        <v>24.4</v>
      </c>
      <c r="HV99" s="339">
        <v>0.22</v>
      </c>
      <c r="HW99" s="339">
        <v>68.742000000000004</v>
      </c>
      <c r="HX99" s="506">
        <v>24.49</v>
      </c>
      <c r="HY99" s="513">
        <f>0.8/4</f>
        <v>0.2</v>
      </c>
      <c r="HZ99" s="339">
        <v>65.534000000000006</v>
      </c>
      <c r="IA99" s="339">
        <v>28.67</v>
      </c>
      <c r="IB99" s="512">
        <v>0.2</v>
      </c>
      <c r="IC99" s="339">
        <v>60.551000000000002</v>
      </c>
      <c r="ID99" s="339">
        <v>28.81</v>
      </c>
      <c r="IE99" s="339">
        <v>0.185</v>
      </c>
      <c r="IF99" s="339">
        <v>60.421999999999997</v>
      </c>
      <c r="IG99" s="339">
        <v>26.68</v>
      </c>
      <c r="IH99" s="339">
        <v>0.185</v>
      </c>
      <c r="II99" s="339">
        <v>60.421999999999997</v>
      </c>
      <c r="IJ99" s="505">
        <v>25.29</v>
      </c>
      <c r="IK99" s="339">
        <v>0.185</v>
      </c>
      <c r="IL99" s="339">
        <v>60.404000000000003</v>
      </c>
      <c r="IM99" s="339">
        <v>22.51</v>
      </c>
      <c r="IN99" s="339">
        <v>0.16</v>
      </c>
      <c r="IO99" s="339">
        <v>60.388500000000001</v>
      </c>
      <c r="IP99" s="339">
        <v>20.77</v>
      </c>
      <c r="IQ99" s="339">
        <v>0.16</v>
      </c>
      <c r="IR99" s="339">
        <v>61.099499999999999</v>
      </c>
      <c r="IS99" s="339">
        <v>20.03</v>
      </c>
      <c r="IT99" s="339">
        <v>0.16</v>
      </c>
      <c r="IU99" s="339">
        <v>60.358499999999999</v>
      </c>
      <c r="IV99" s="339">
        <v>18.73</v>
      </c>
      <c r="IW99" s="339">
        <v>0.15329999999999999</v>
      </c>
      <c r="IX99" s="339">
        <v>59.045999999999999</v>
      </c>
      <c r="IY99" s="339">
        <v>18.690000000000001</v>
      </c>
      <c r="IZ99" s="339">
        <v>0.15329999999999999</v>
      </c>
      <c r="JA99" s="339">
        <v>58.677</v>
      </c>
      <c r="JB99" s="339">
        <v>17.829999999999998</v>
      </c>
      <c r="JC99" s="339">
        <v>0.15329999999999999</v>
      </c>
      <c r="JD99" s="339">
        <v>59.085000000000001</v>
      </c>
      <c r="JE99" s="339">
        <v>14.99</v>
      </c>
      <c r="JF99" s="339">
        <v>0.15329999999999999</v>
      </c>
      <c r="JG99" s="339">
        <v>58.677</v>
      </c>
      <c r="JH99" s="339">
        <v>15.88</v>
      </c>
      <c r="JI99" s="339">
        <v>0.14660000000000001</v>
      </c>
      <c r="JJ99" s="339">
        <v>58.677</v>
      </c>
      <c r="JK99" s="339">
        <v>13.2</v>
      </c>
      <c r="JL99" s="339">
        <v>0.14660000000000001</v>
      </c>
      <c r="JM99" s="339">
        <v>58.677</v>
      </c>
      <c r="JN99" s="339">
        <v>16.132999999999999</v>
      </c>
      <c r="JO99" s="339">
        <v>0.14660000000000001</v>
      </c>
      <c r="JP99" s="339">
        <v>58.677</v>
      </c>
      <c r="JQ99" s="339">
        <v>20.440000000000001</v>
      </c>
      <c r="JR99" s="339">
        <v>0.14660000000000001</v>
      </c>
      <c r="JS99" s="339">
        <v>58.677</v>
      </c>
      <c r="JT99" s="339">
        <v>18.63</v>
      </c>
      <c r="JU99" s="339">
        <v>0.1333</v>
      </c>
      <c r="JV99" s="339">
        <v>58.677</v>
      </c>
      <c r="JW99" s="339">
        <v>16.806999999999999</v>
      </c>
      <c r="JX99" s="339">
        <v>0.1333</v>
      </c>
      <c r="JY99" s="339">
        <v>58.65</v>
      </c>
      <c r="JZ99" s="339">
        <v>21.4</v>
      </c>
      <c r="KA99" s="339">
        <v>0.1333</v>
      </c>
      <c r="KB99" s="339">
        <v>58.624499999999998</v>
      </c>
      <c r="KC99" s="339">
        <v>19.34</v>
      </c>
      <c r="KD99" s="339">
        <v>0.1333</v>
      </c>
      <c r="KE99" s="339">
        <v>59.044499999999999</v>
      </c>
      <c r="KF99" s="339">
        <v>17.875</v>
      </c>
      <c r="KG99" s="339">
        <v>0.1333</v>
      </c>
      <c r="KH99" s="339">
        <v>59.304000000000002</v>
      </c>
      <c r="KI99" s="339">
        <v>17.25</v>
      </c>
      <c r="KJ99" s="339">
        <v>0.1333</v>
      </c>
      <c r="KK99" s="339">
        <v>59.959499999999998</v>
      </c>
      <c r="KL99" s="339">
        <v>10.291700000000001</v>
      </c>
      <c r="KM99" s="339">
        <v>0.1333</v>
      </c>
      <c r="KN99" s="339">
        <v>61.158000000000001</v>
      </c>
      <c r="KO99" s="339">
        <v>10.5</v>
      </c>
      <c r="KP99" s="339">
        <v>0.1333</v>
      </c>
      <c r="KQ99" s="339">
        <v>61.2</v>
      </c>
      <c r="KR99" s="339">
        <v>10.83</v>
      </c>
      <c r="KS99" s="339">
        <v>0.1333</v>
      </c>
      <c r="KT99" s="339">
        <v>61.277999999999999</v>
      </c>
      <c r="KU99" s="339">
        <v>12.17</v>
      </c>
      <c r="KV99" s="339">
        <v>0.1333</v>
      </c>
      <c r="KW99" s="334">
        <v>62.655000000000001</v>
      </c>
      <c r="KX99" s="334">
        <v>13.25</v>
      </c>
      <c r="KY99" s="334">
        <v>0.1333</v>
      </c>
      <c r="KZ99" s="334">
        <v>41.77</v>
      </c>
      <c r="LA99" s="334">
        <v>17</v>
      </c>
      <c r="LB99" s="334">
        <v>0.2</v>
      </c>
      <c r="LC99" s="334">
        <v>41.77</v>
      </c>
      <c r="LD99" s="334">
        <v>20.437999999999999</v>
      </c>
      <c r="LE99" s="334">
        <v>0.2</v>
      </c>
      <c r="LF99" s="334">
        <v>41.77</v>
      </c>
      <c r="LG99" s="334">
        <v>22.187999999999999</v>
      </c>
      <c r="LH99" s="334">
        <v>0.2</v>
      </c>
      <c r="LI99" s="334">
        <v>41.77</v>
      </c>
      <c r="LJ99" s="334">
        <v>22.687999999999999</v>
      </c>
      <c r="LK99" s="334">
        <v>0.2</v>
      </c>
      <c r="LL99" s="334">
        <v>41.77</v>
      </c>
      <c r="LM99" s="334">
        <v>24.4175</v>
      </c>
      <c r="LN99" s="334">
        <v>0.17</v>
      </c>
      <c r="LO99" s="334">
        <v>41.774000000000001</v>
      </c>
      <c r="LP99" s="334">
        <v>23.6875</v>
      </c>
      <c r="LQ99" s="334">
        <v>0.17</v>
      </c>
      <c r="LR99" s="334">
        <v>41.774000000000001</v>
      </c>
      <c r="LS99" s="334">
        <v>19.3125</v>
      </c>
      <c r="LT99" s="334">
        <v>0.17</v>
      </c>
      <c r="LU99" s="334">
        <v>41.774000000000001</v>
      </c>
      <c r="LV99" s="334">
        <v>17.875</v>
      </c>
      <c r="LW99" s="334">
        <v>0.17</v>
      </c>
      <c r="LX99" s="334">
        <v>41.774000000000001</v>
      </c>
      <c r="LY99" s="334">
        <v>17.25</v>
      </c>
      <c r="LZ99" s="334">
        <v>0.17</v>
      </c>
      <c r="MA99" s="334">
        <v>41.774000000000001</v>
      </c>
      <c r="MB99" s="334">
        <v>19.625</v>
      </c>
      <c r="MC99" s="334">
        <v>0.12</v>
      </c>
      <c r="MD99" s="334">
        <v>41.774000000000001</v>
      </c>
      <c r="ME99" s="334">
        <v>19.5</v>
      </c>
      <c r="MF99" s="334">
        <v>0.12</v>
      </c>
      <c r="MG99" s="334">
        <v>41.774000000000001</v>
      </c>
      <c r="MH99" s="334">
        <v>20.5</v>
      </c>
      <c r="MI99" s="334">
        <v>0.12</v>
      </c>
      <c r="MJ99" s="334">
        <v>41.774000000000001</v>
      </c>
      <c r="MK99" s="334">
        <v>18.625</v>
      </c>
      <c r="ML99" s="334">
        <v>0.12</v>
      </c>
      <c r="MM99" s="334">
        <v>41.774000000000001</v>
      </c>
      <c r="MN99" s="334">
        <v>17.625</v>
      </c>
      <c r="MO99" s="334">
        <v>0</v>
      </c>
      <c r="MP99" s="334">
        <v>41.774000000000001</v>
      </c>
      <c r="MQ99" s="334">
        <v>16.375</v>
      </c>
      <c r="MR99" s="334">
        <v>0</v>
      </c>
      <c r="MS99" s="334">
        <v>41.774000000000001</v>
      </c>
      <c r="MT99" s="334">
        <v>14.25</v>
      </c>
      <c r="MU99" s="334">
        <v>0</v>
      </c>
      <c r="MV99" s="334">
        <v>41.774000000000001</v>
      </c>
      <c r="MW99" s="334">
        <v>12.5</v>
      </c>
      <c r="MX99" s="334">
        <v>0</v>
      </c>
      <c r="MY99" s="334">
        <v>41.774000000000001</v>
      </c>
      <c r="MZ99" s="334">
        <v>12.921875</v>
      </c>
      <c r="NA99" s="334">
        <v>0</v>
      </c>
      <c r="NB99" s="334">
        <v>41.774000000000001</v>
      </c>
      <c r="NC99" s="334">
        <v>12.25</v>
      </c>
      <c r="ND99" s="334">
        <v>0</v>
      </c>
      <c r="NE99" s="334">
        <v>41.774000000000001</v>
      </c>
      <c r="NF99" s="334">
        <v>11.5</v>
      </c>
      <c r="NG99" s="334">
        <v>0</v>
      </c>
      <c r="NH99" s="334">
        <v>41.774000000000001</v>
      </c>
      <c r="NI99" s="334">
        <v>13.125</v>
      </c>
      <c r="NJ99" s="334">
        <v>0</v>
      </c>
      <c r="NK99" s="334">
        <v>41.774000000000001</v>
      </c>
      <c r="NL99" s="334">
        <v>11.25</v>
      </c>
      <c r="NM99" s="334">
        <v>0</v>
      </c>
      <c r="NN99" s="334">
        <v>41.774000000000001</v>
      </c>
      <c r="NO99" s="334">
        <v>11.5</v>
      </c>
      <c r="NP99" s="334">
        <v>0</v>
      </c>
      <c r="NQ99" s="334">
        <v>41.774000000000001</v>
      </c>
      <c r="NR99" s="334">
        <v>13.625</v>
      </c>
      <c r="NS99" s="334">
        <v>0</v>
      </c>
      <c r="NT99" s="334">
        <v>41.774000000000001</v>
      </c>
      <c r="NU99" s="334">
        <v>12</v>
      </c>
      <c r="NV99" s="334">
        <v>0</v>
      </c>
      <c r="NW99" s="334">
        <v>41.774000000000001</v>
      </c>
      <c r="NX99" s="334">
        <v>12.38</v>
      </c>
      <c r="NY99" s="334">
        <v>0</v>
      </c>
      <c r="NZ99" s="334">
        <v>41.774000000000001</v>
      </c>
      <c r="OA99" s="334">
        <v>13.5</v>
      </c>
      <c r="OB99" s="334">
        <v>0</v>
      </c>
      <c r="OC99" s="334">
        <v>41.774000000000001</v>
      </c>
      <c r="OD99" s="334">
        <v>12.88</v>
      </c>
      <c r="OE99" s="334">
        <v>0</v>
      </c>
      <c r="OF99" s="334">
        <v>41.774000000000001</v>
      </c>
      <c r="OG99" s="334">
        <v>11.38</v>
      </c>
      <c r="OH99" s="334">
        <v>0</v>
      </c>
      <c r="OI99" s="334">
        <v>41.774000000000001</v>
      </c>
      <c r="OJ99" s="334">
        <v>9.75</v>
      </c>
      <c r="OK99" s="334">
        <v>0</v>
      </c>
      <c r="OL99" s="334">
        <v>41.774000000000001</v>
      </c>
      <c r="OM99" s="334">
        <v>8.8800000000000008</v>
      </c>
      <c r="ON99" s="334">
        <v>0</v>
      </c>
      <c r="OO99" s="334">
        <v>41.774000000000001</v>
      </c>
      <c r="OP99" s="334">
        <v>10.25</v>
      </c>
      <c r="OQ99" s="334">
        <v>0</v>
      </c>
      <c r="OR99" s="334">
        <v>41.774000000000001</v>
      </c>
      <c r="OS99" s="334">
        <v>9.3800000000000008</v>
      </c>
      <c r="OT99" s="334">
        <v>0</v>
      </c>
      <c r="OU99" s="334">
        <v>41.774000000000001</v>
      </c>
      <c r="OV99" s="334">
        <v>8.3800000000000008</v>
      </c>
    </row>
    <row r="100" spans="1:412">
      <c r="A100" s="294" t="s">
        <v>16</v>
      </c>
      <c r="B100" s="335" t="s">
        <v>152</v>
      </c>
      <c r="C100" s="335">
        <v>498</v>
      </c>
      <c r="D100" s="335">
        <v>84.49</v>
      </c>
      <c r="E100" s="335">
        <v>0.6</v>
      </c>
      <c r="F100" s="335">
        <v>498</v>
      </c>
      <c r="G100" s="335">
        <v>89.21</v>
      </c>
      <c r="H100" s="335">
        <v>0.6</v>
      </c>
      <c r="I100" s="335">
        <v>499</v>
      </c>
      <c r="J100" s="335">
        <v>73.7</v>
      </c>
      <c r="K100" s="335">
        <v>0.6</v>
      </c>
      <c r="L100" s="335">
        <v>498</v>
      </c>
      <c r="M100" s="335">
        <v>66.78</v>
      </c>
      <c r="N100" s="335">
        <v>0.6</v>
      </c>
      <c r="O100" s="335">
        <v>498</v>
      </c>
      <c r="P100" s="335">
        <v>61.15</v>
      </c>
      <c r="Q100" s="335">
        <v>0.56999999999999995</v>
      </c>
      <c r="R100" s="340">
        <v>497</v>
      </c>
      <c r="S100" s="340">
        <v>56.91</v>
      </c>
      <c r="T100" s="340">
        <v>0.56999999999999995</v>
      </c>
      <c r="U100" s="340">
        <v>497</v>
      </c>
      <c r="V100" s="340">
        <v>62.61</v>
      </c>
      <c r="W100" s="340">
        <v>0.56999999999999995</v>
      </c>
      <c r="X100" s="340">
        <v>498</v>
      </c>
      <c r="Y100" s="340">
        <v>62.45</v>
      </c>
      <c r="Z100" s="340">
        <v>0.56999999999999995</v>
      </c>
      <c r="AA100" s="340">
        <v>497</v>
      </c>
      <c r="AB100" s="340">
        <v>61.27</v>
      </c>
      <c r="AC100" s="340">
        <v>0.54</v>
      </c>
      <c r="AD100" s="340">
        <v>497</v>
      </c>
      <c r="AE100" s="340">
        <v>56.23</v>
      </c>
      <c r="AF100" s="340">
        <v>0.54</v>
      </c>
      <c r="AG100" s="340">
        <v>501</v>
      </c>
      <c r="AH100" s="340">
        <v>63.28</v>
      </c>
      <c r="AI100" s="340">
        <v>0.54</v>
      </c>
      <c r="AJ100" s="340">
        <v>504</v>
      </c>
      <c r="AK100" s="340">
        <v>70</v>
      </c>
      <c r="AL100" s="340">
        <v>0.54</v>
      </c>
      <c r="AM100" s="340">
        <v>504</v>
      </c>
      <c r="AN100" s="340">
        <v>66.73</v>
      </c>
      <c r="AO100" s="340">
        <v>0.51</v>
      </c>
      <c r="AP100" s="340">
        <v>504</v>
      </c>
      <c r="AQ100" s="340">
        <v>60.9</v>
      </c>
      <c r="AR100" s="340">
        <v>0.51</v>
      </c>
      <c r="AS100" s="340">
        <v>504</v>
      </c>
      <c r="AT100" s="340">
        <v>59.74</v>
      </c>
      <c r="AU100" s="340">
        <v>0.51</v>
      </c>
      <c r="AV100" s="340">
        <v>504</v>
      </c>
      <c r="AW100" s="340">
        <v>60.21</v>
      </c>
      <c r="AX100" s="340">
        <v>0.51</v>
      </c>
      <c r="AY100" s="504">
        <v>504</v>
      </c>
      <c r="AZ100" s="504">
        <v>58.3</v>
      </c>
      <c r="BA100" s="504">
        <v>0.49</v>
      </c>
      <c r="BB100" s="504">
        <v>504</v>
      </c>
      <c r="BC100" s="504">
        <v>54.91</v>
      </c>
      <c r="BD100" s="504">
        <v>0.49</v>
      </c>
      <c r="BE100" s="504">
        <v>504</v>
      </c>
      <c r="BF100" s="504">
        <v>49.16</v>
      </c>
      <c r="BG100" s="504">
        <v>0.49</v>
      </c>
      <c r="BH100" s="504">
        <v>504</v>
      </c>
      <c r="BI100" s="504">
        <v>44.91</v>
      </c>
      <c r="BJ100" s="518">
        <v>0.49</v>
      </c>
      <c r="BK100" s="504">
        <v>504</v>
      </c>
      <c r="BL100" s="504">
        <v>59.05</v>
      </c>
      <c r="BM100" s="504">
        <v>0.47</v>
      </c>
      <c r="BN100" s="504">
        <v>504</v>
      </c>
      <c r="BO100" s="504">
        <v>62.08</v>
      </c>
      <c r="BP100" s="504">
        <v>0.47</v>
      </c>
      <c r="BQ100" s="504">
        <v>504</v>
      </c>
      <c r="BR100" s="504">
        <v>58.82</v>
      </c>
      <c r="BS100" s="504">
        <v>0.47</v>
      </c>
      <c r="BT100" s="504">
        <v>504</v>
      </c>
      <c r="BU100" s="504">
        <v>59.41</v>
      </c>
      <c r="BV100" s="507">
        <v>0.47</v>
      </c>
      <c r="BW100" s="504">
        <v>504</v>
      </c>
      <c r="BX100" s="504">
        <v>52.05</v>
      </c>
      <c r="BY100" s="504">
        <v>0.45</v>
      </c>
      <c r="BZ100" s="504">
        <v>504</v>
      </c>
      <c r="CA100" s="504">
        <v>52.79</v>
      </c>
      <c r="CB100" s="504">
        <v>0.45</v>
      </c>
      <c r="CC100" s="503">
        <v>504</v>
      </c>
      <c r="CD100" s="503">
        <v>54.14</v>
      </c>
      <c r="CE100" s="503">
        <v>0.45</v>
      </c>
      <c r="CF100" s="503">
        <v>505</v>
      </c>
      <c r="CG100" s="503">
        <v>50.24</v>
      </c>
      <c r="CH100" s="508">
        <v>0.45</v>
      </c>
      <c r="CI100" s="503">
        <v>505</v>
      </c>
      <c r="CJ100" s="503">
        <v>51.5</v>
      </c>
      <c r="CK100" s="503">
        <v>0.43</v>
      </c>
      <c r="CL100" s="503">
        <v>505</v>
      </c>
      <c r="CM100" s="503">
        <v>46.25</v>
      </c>
      <c r="CN100" s="503">
        <v>0.43</v>
      </c>
      <c r="CO100" s="503">
        <v>505</v>
      </c>
      <c r="CP100" s="503">
        <v>43.01</v>
      </c>
      <c r="CQ100" s="503">
        <v>0.43</v>
      </c>
      <c r="CR100" s="504">
        <v>505</v>
      </c>
      <c r="CS100" s="504">
        <v>44.35</v>
      </c>
      <c r="CT100" s="514">
        <v>0.43</v>
      </c>
      <c r="CU100" s="503">
        <v>505</v>
      </c>
      <c r="CV100" s="503">
        <v>43.88</v>
      </c>
      <c r="CW100" s="503">
        <v>0.41</v>
      </c>
      <c r="CX100" s="339">
        <v>505</v>
      </c>
      <c r="CY100" s="339">
        <v>41.87</v>
      </c>
      <c r="CZ100" s="339">
        <v>0.41</v>
      </c>
      <c r="DA100" s="339">
        <v>505</v>
      </c>
      <c r="DB100" s="339">
        <v>46.61</v>
      </c>
      <c r="DC100" s="339">
        <v>0.41</v>
      </c>
      <c r="DD100" s="339">
        <v>505</v>
      </c>
      <c r="DE100" s="339">
        <v>47.14</v>
      </c>
      <c r="DF100" s="511">
        <v>0.41</v>
      </c>
      <c r="DG100" s="339">
        <v>505</v>
      </c>
      <c r="DH100" s="339">
        <v>38.69</v>
      </c>
      <c r="DI100" s="339">
        <v>0.39</v>
      </c>
      <c r="DJ100" s="339">
        <v>506</v>
      </c>
      <c r="DK100" s="339">
        <v>42.16</v>
      </c>
      <c r="DL100" s="339">
        <v>0.39</v>
      </c>
      <c r="DM100" s="339">
        <v>506</v>
      </c>
      <c r="DN100" s="339">
        <v>39.28</v>
      </c>
      <c r="DO100" s="339">
        <v>0.39</v>
      </c>
      <c r="DP100" s="340">
        <v>506</v>
      </c>
      <c r="DQ100" s="340">
        <v>41.92</v>
      </c>
      <c r="DR100" s="515">
        <v>0.39</v>
      </c>
      <c r="DS100" s="339">
        <v>505.86200000000002</v>
      </c>
      <c r="DT100" s="339">
        <v>41.41</v>
      </c>
      <c r="DU100" s="339">
        <v>0.37</v>
      </c>
      <c r="DV100" s="339">
        <v>505.875</v>
      </c>
      <c r="DW100" s="339">
        <v>37.24</v>
      </c>
      <c r="DX100" s="339">
        <v>0.37</v>
      </c>
      <c r="DY100" s="339">
        <v>506.077</v>
      </c>
      <c r="DZ100" s="339">
        <v>40.79</v>
      </c>
      <c r="EA100" s="339">
        <v>0.37</v>
      </c>
      <c r="EB100" s="340">
        <v>505.88900000000001</v>
      </c>
      <c r="EC100" s="340">
        <v>38.14</v>
      </c>
      <c r="ED100" s="515">
        <v>0.37</v>
      </c>
      <c r="EE100" s="339">
        <v>505.858</v>
      </c>
      <c r="EF100" s="339">
        <v>32.04</v>
      </c>
      <c r="EG100" s="339">
        <v>0.36</v>
      </c>
      <c r="EH100" s="339">
        <v>505.9</v>
      </c>
      <c r="EI100" s="339">
        <v>32.93</v>
      </c>
      <c r="EJ100" s="339">
        <v>0.36</v>
      </c>
      <c r="EK100" s="339">
        <v>505.94200000000001</v>
      </c>
      <c r="EL100" s="339">
        <v>32.659999999999997</v>
      </c>
      <c r="EM100" s="339">
        <v>0.36</v>
      </c>
      <c r="EN100" s="340">
        <v>505.93299999999999</v>
      </c>
      <c r="EO100" s="340">
        <v>34.340000000000003</v>
      </c>
      <c r="EP100" s="515">
        <v>0.36</v>
      </c>
      <c r="EQ100" s="339">
        <v>505.91399999999999</v>
      </c>
      <c r="ER100" s="339">
        <v>30.6</v>
      </c>
      <c r="ES100" s="339">
        <v>0.35499999999999998</v>
      </c>
      <c r="ET100" s="339">
        <v>505.90300000000002</v>
      </c>
      <c r="EU100" s="339">
        <v>32.18</v>
      </c>
      <c r="EV100" s="339">
        <v>0.35499999999999998</v>
      </c>
      <c r="EW100" s="339">
        <v>506.01</v>
      </c>
      <c r="EX100" s="339">
        <v>32.5</v>
      </c>
      <c r="EY100" s="339">
        <v>0.35499999999999998</v>
      </c>
      <c r="EZ100" s="340">
        <v>505.94900000000001</v>
      </c>
      <c r="FA100" s="340">
        <v>30.61</v>
      </c>
      <c r="FB100" s="515">
        <v>0.35499999999999998</v>
      </c>
      <c r="FC100" s="339">
        <v>505.90899999999999</v>
      </c>
      <c r="FD100" s="339">
        <v>33.01</v>
      </c>
      <c r="FE100" s="339">
        <v>0.34250000000000003</v>
      </c>
      <c r="FF100" s="339">
        <v>505.988</v>
      </c>
      <c r="FG100" s="339">
        <v>33.369999999999997</v>
      </c>
      <c r="FH100" s="339">
        <v>0.34250000000000003</v>
      </c>
      <c r="FI100" s="339">
        <v>505.97899999999998</v>
      </c>
      <c r="FJ100" s="339">
        <v>32.64</v>
      </c>
      <c r="FK100" s="339">
        <v>0.34250000000000003</v>
      </c>
      <c r="FL100" s="339">
        <v>505.93799999999999</v>
      </c>
      <c r="FM100" s="339">
        <v>31.51</v>
      </c>
      <c r="FN100" s="339">
        <v>0.34250000000000003</v>
      </c>
      <c r="FO100" s="339">
        <v>505.94499999999999</v>
      </c>
      <c r="FP100" s="339">
        <v>31.83</v>
      </c>
      <c r="FQ100" s="339">
        <v>0.34250000000000003</v>
      </c>
      <c r="FR100" s="339">
        <v>506.10899999999998</v>
      </c>
      <c r="FS100" s="339">
        <v>33.08</v>
      </c>
      <c r="FT100" s="339">
        <v>0.34250000000000003</v>
      </c>
      <c r="FU100" s="339">
        <v>505.95</v>
      </c>
      <c r="FV100" s="339">
        <v>31.33</v>
      </c>
      <c r="FW100" s="339">
        <v>0.34250000000000003</v>
      </c>
      <c r="FX100" s="339">
        <v>505.98700000000002</v>
      </c>
      <c r="FY100" s="339">
        <v>29.52</v>
      </c>
      <c r="FZ100" s="339">
        <v>0.34250000000000003</v>
      </c>
      <c r="GA100" s="339">
        <v>505.98200000000003</v>
      </c>
      <c r="GB100" s="339">
        <v>33.25</v>
      </c>
      <c r="GC100" s="339">
        <v>0.33250000000000002</v>
      </c>
      <c r="GD100" s="339">
        <v>505.99</v>
      </c>
      <c r="GE100" s="339">
        <v>31.44</v>
      </c>
      <c r="GF100" s="339">
        <v>0.33250000000000002</v>
      </c>
      <c r="GG100" s="339">
        <v>505.98599999999999</v>
      </c>
      <c r="GH100" s="339">
        <v>32.630000000000003</v>
      </c>
      <c r="GI100" s="339">
        <v>0.33250000000000002</v>
      </c>
      <c r="GJ100" s="339">
        <v>506</v>
      </c>
      <c r="GK100" s="339">
        <v>29.47</v>
      </c>
      <c r="GL100" s="339">
        <v>0.33250000000000002</v>
      </c>
      <c r="GM100" s="339">
        <v>507.72399999999999</v>
      </c>
      <c r="GN100" s="339">
        <v>29.17</v>
      </c>
      <c r="GO100" s="339">
        <v>0.32250000000000001</v>
      </c>
      <c r="GP100" s="339">
        <v>508.49099999999999</v>
      </c>
      <c r="GQ100" s="339">
        <v>32.79</v>
      </c>
      <c r="GR100" s="339">
        <v>0.32250000000000001</v>
      </c>
      <c r="GS100" s="339">
        <v>508.49</v>
      </c>
      <c r="GT100" s="339">
        <v>45.93</v>
      </c>
      <c r="GU100" s="339">
        <v>0.32250000000000001</v>
      </c>
      <c r="GV100" s="339">
        <v>507.56</v>
      </c>
      <c r="GW100" s="339">
        <v>40.19</v>
      </c>
      <c r="GX100" s="339">
        <v>0.32250000000000001</v>
      </c>
      <c r="GY100" s="339">
        <f>254.272*2</f>
        <v>508.54399999999998</v>
      </c>
      <c r="GZ100" s="339">
        <f>98.24/2</f>
        <v>49.12</v>
      </c>
      <c r="HA100" s="339">
        <f>0.585/2</f>
        <v>0.29249999999999998</v>
      </c>
      <c r="HB100" s="339">
        <f>253.631*2</f>
        <v>507.262</v>
      </c>
      <c r="HC100" s="339">
        <f>87.99/2</f>
        <v>43.994999999999997</v>
      </c>
      <c r="HD100" s="339">
        <f>0.585/2</f>
        <v>0.29249999999999998</v>
      </c>
      <c r="HE100" s="339">
        <f>252.892*2</f>
        <v>505.78399999999999</v>
      </c>
      <c r="HF100" s="339">
        <f>87.78/2</f>
        <v>43.89</v>
      </c>
      <c r="HG100" s="339">
        <f>0.585/2</f>
        <v>0.29249999999999998</v>
      </c>
      <c r="HH100" s="339">
        <f>251.678*2</f>
        <v>503.35599999999999</v>
      </c>
      <c r="HI100" s="505">
        <f>83.04/2</f>
        <v>41.52</v>
      </c>
      <c r="HJ100" s="339">
        <f>0.585/2</f>
        <v>0.29249999999999998</v>
      </c>
      <c r="HK100" s="339">
        <f>251.747*2</f>
        <v>503.49400000000003</v>
      </c>
      <c r="HL100" s="339">
        <f>66.38/2</f>
        <v>33.19</v>
      </c>
      <c r="HM100" s="339">
        <f>0.57/2</f>
        <v>0.28499999999999998</v>
      </c>
      <c r="HN100" s="339">
        <f>251.474*2</f>
        <v>502.94799999999998</v>
      </c>
      <c r="HO100" s="339">
        <f>61.19/2</f>
        <v>30.594999999999999</v>
      </c>
      <c r="HP100" s="339">
        <f>0.57/2</f>
        <v>0.28499999999999998</v>
      </c>
      <c r="HQ100" s="339">
        <f>251.187*2</f>
        <v>502.37400000000002</v>
      </c>
      <c r="HR100" s="339">
        <f>66.12/2</f>
        <v>33.06</v>
      </c>
      <c r="HS100" s="339">
        <f>0.57/2</f>
        <v>0.28499999999999998</v>
      </c>
      <c r="HT100" s="339">
        <f>245.048*2</f>
        <v>490.096</v>
      </c>
      <c r="HU100" s="339">
        <f>64.04/2</f>
        <v>32.020000000000003</v>
      </c>
      <c r="HV100" s="339">
        <f>0.57/2</f>
        <v>0.28499999999999998</v>
      </c>
      <c r="HW100" s="339">
        <f>239.034*2</f>
        <v>478.06799999999998</v>
      </c>
      <c r="HX100" s="506">
        <f>64.97/2</f>
        <v>32.484999999999999</v>
      </c>
      <c r="HY100" s="513">
        <f>2.24/8</f>
        <v>0.28000000000000003</v>
      </c>
      <c r="HZ100" s="339">
        <f>238.732*2</f>
        <v>477.464</v>
      </c>
      <c r="IA100" s="339">
        <f>64.36/2</f>
        <v>32.18</v>
      </c>
      <c r="IB100" s="339">
        <f>0.56/2</f>
        <v>0.28000000000000003</v>
      </c>
      <c r="IC100" s="339">
        <f>238.314*2</f>
        <v>476.62799999999999</v>
      </c>
      <c r="ID100" s="339">
        <f>60.82/2</f>
        <v>30.41</v>
      </c>
      <c r="IE100" s="339">
        <f>0.56/2</f>
        <v>0.28000000000000003</v>
      </c>
      <c r="IF100" s="339">
        <f>237.269*2</f>
        <v>474.53800000000001</v>
      </c>
      <c r="IG100" s="339">
        <f>54.39/2</f>
        <v>27.195</v>
      </c>
      <c r="IH100" s="339">
        <f>0.56/2</f>
        <v>0.28000000000000003</v>
      </c>
      <c r="II100" s="339">
        <f>237.269*2</f>
        <v>474.53800000000001</v>
      </c>
      <c r="IJ100" s="505">
        <f>51.77/2</f>
        <v>25.885000000000002</v>
      </c>
      <c r="IK100" s="339">
        <f>0.55/2</f>
        <v>0.27500000000000002</v>
      </c>
      <c r="IL100" s="339">
        <f>236.705*2</f>
        <v>473.41</v>
      </c>
      <c r="IM100" s="339">
        <f>42.6/2</f>
        <v>21.3</v>
      </c>
      <c r="IN100" s="339">
        <f>0.55/2</f>
        <v>0.27500000000000002</v>
      </c>
      <c r="IO100" s="339">
        <f>236.193*2</f>
        <v>472.38600000000002</v>
      </c>
      <c r="IP100" s="339">
        <f>40.03/2</f>
        <v>20.015000000000001</v>
      </c>
      <c r="IQ100" s="339">
        <f>0.55/2</f>
        <v>0.27500000000000002</v>
      </c>
      <c r="IR100" s="339">
        <f>235*2</f>
        <v>470</v>
      </c>
      <c r="IS100" s="339">
        <f>46.98/2</f>
        <v>23.49</v>
      </c>
      <c r="IT100" s="339">
        <f>0.55/2</f>
        <v>0.27500000000000002</v>
      </c>
      <c r="IU100" s="339">
        <f>226.414*2</f>
        <v>452.82799999999997</v>
      </c>
      <c r="IV100" s="339">
        <f>43.8/2</f>
        <v>21.9</v>
      </c>
      <c r="IW100" s="339">
        <f>0.54/2</f>
        <v>0.27</v>
      </c>
      <c r="IX100" s="339">
        <f>225.91*2</f>
        <v>451.82</v>
      </c>
      <c r="IY100" s="339">
        <f>42/2</f>
        <v>21</v>
      </c>
      <c r="IZ100" s="339">
        <f>0.54/2</f>
        <v>0.27</v>
      </c>
      <c r="JA100" s="339">
        <f>225.714*2</f>
        <v>451.428</v>
      </c>
      <c r="JB100" s="339">
        <f>42.25/2</f>
        <v>21.125</v>
      </c>
      <c r="JC100" s="339">
        <f>0.54/2</f>
        <v>0.27</v>
      </c>
      <c r="JD100" s="339">
        <f>215.682*2</f>
        <v>431.36399999999998</v>
      </c>
      <c r="JE100" s="339">
        <f>36.69/2</f>
        <v>18.344999999999999</v>
      </c>
      <c r="JF100" s="339">
        <f>0.54/2</f>
        <v>0.27</v>
      </c>
      <c r="JG100" s="339">
        <f>206.782*2</f>
        <v>413.56400000000002</v>
      </c>
      <c r="JH100" s="339">
        <f>32.1/2</f>
        <v>16.05</v>
      </c>
      <c r="JI100" s="339">
        <f>0.54/2</f>
        <v>0.27</v>
      </c>
      <c r="JJ100" s="339">
        <f>206.927*2</f>
        <v>413.85399999999998</v>
      </c>
      <c r="JK100" s="339">
        <f>30.5/2</f>
        <v>15.25</v>
      </c>
      <c r="JL100" s="339">
        <f>0.54/2</f>
        <v>0.27</v>
      </c>
      <c r="JM100" s="339">
        <f>206.34*2</f>
        <v>412.68</v>
      </c>
      <c r="JN100" s="339">
        <f>43.3/2</f>
        <v>21.65</v>
      </c>
      <c r="JO100" s="339">
        <f>0.54/2</f>
        <v>0.27</v>
      </c>
      <c r="JP100" s="339">
        <f>207*2</f>
        <v>414</v>
      </c>
      <c r="JQ100" s="339">
        <f>45.8/2</f>
        <v>22.9</v>
      </c>
      <c r="JR100" s="339">
        <f>0.54/2</f>
        <v>0.27</v>
      </c>
      <c r="JS100" s="339">
        <f>208.495*2</f>
        <v>416.99</v>
      </c>
      <c r="JT100" s="339">
        <f>42.19/2</f>
        <v>21.094999999999999</v>
      </c>
      <c r="JU100" s="339">
        <f>0.54/2</f>
        <v>0.27</v>
      </c>
      <c r="JV100" s="339">
        <v>208.70099999999999</v>
      </c>
      <c r="JW100" s="339">
        <v>42.55</v>
      </c>
      <c r="JX100" s="339">
        <v>0.54</v>
      </c>
      <c r="JY100" s="339">
        <v>208</v>
      </c>
      <c r="JZ100" s="339">
        <v>48.9</v>
      </c>
      <c r="KA100" s="339">
        <v>0.54</v>
      </c>
      <c r="KB100" s="339">
        <v>214</v>
      </c>
      <c r="KC100" s="339">
        <v>43.16</v>
      </c>
      <c r="KD100" s="339">
        <v>0.54</v>
      </c>
      <c r="KE100" s="339">
        <v>214.62299999999999</v>
      </c>
      <c r="KF100" s="339">
        <v>48.625</v>
      </c>
      <c r="KG100" s="339">
        <v>0.54</v>
      </c>
      <c r="KH100" s="339">
        <v>215.39400000000001</v>
      </c>
      <c r="KI100" s="339">
        <v>44.6875</v>
      </c>
      <c r="KJ100" s="339">
        <v>0.54</v>
      </c>
      <c r="KK100" s="339">
        <v>216.434</v>
      </c>
      <c r="KL100" s="339">
        <v>34.625</v>
      </c>
      <c r="KM100" s="339">
        <v>0.54</v>
      </c>
      <c r="KN100" s="339">
        <v>219.81399999999999</v>
      </c>
      <c r="KO100" s="339">
        <v>29.625</v>
      </c>
      <c r="KP100" s="339">
        <v>0.54</v>
      </c>
      <c r="KQ100" s="339">
        <v>219.22499999999999</v>
      </c>
      <c r="KR100" s="339">
        <v>34.8125</v>
      </c>
      <c r="KS100" s="339">
        <v>0.54</v>
      </c>
      <c r="KT100" s="339">
        <v>219</v>
      </c>
      <c r="KU100" s="339">
        <v>38.625</v>
      </c>
      <c r="KV100" s="339">
        <v>0.54</v>
      </c>
      <c r="KW100" s="334">
        <v>230.97</v>
      </c>
      <c r="KX100" s="334">
        <v>40.8125</v>
      </c>
      <c r="KY100" s="334">
        <v>0.54</v>
      </c>
      <c r="KZ100" s="334">
        <v>231.72</v>
      </c>
      <c r="LA100" s="334">
        <v>38.1875</v>
      </c>
      <c r="LB100" s="334">
        <v>0.54</v>
      </c>
      <c r="LC100" s="334">
        <v>231.72</v>
      </c>
      <c r="LD100" s="334">
        <v>40</v>
      </c>
      <c r="LE100" s="334">
        <v>0.54</v>
      </c>
      <c r="LF100" s="334">
        <v>231.96</v>
      </c>
      <c r="LG100" s="334">
        <v>39.313000000000002</v>
      </c>
      <c r="LH100" s="334">
        <v>0.54</v>
      </c>
      <c r="LI100" s="334">
        <v>231.96</v>
      </c>
      <c r="LJ100" s="334">
        <v>34.438000000000002</v>
      </c>
      <c r="LK100" s="334">
        <v>0.54</v>
      </c>
      <c r="LL100" s="334">
        <v>231.96</v>
      </c>
      <c r="LM100" s="334">
        <v>37.75</v>
      </c>
      <c r="LN100" s="334">
        <v>0.54</v>
      </c>
      <c r="LO100" s="334">
        <v>231.958</v>
      </c>
      <c r="LP100" s="334">
        <v>31.8125</v>
      </c>
      <c r="LQ100" s="334">
        <v>0.54</v>
      </c>
      <c r="LR100" s="334">
        <v>232.071</v>
      </c>
      <c r="LS100" s="334">
        <v>25.75</v>
      </c>
      <c r="LT100" s="334">
        <v>0.54</v>
      </c>
      <c r="LU100" s="334">
        <v>232.071</v>
      </c>
      <c r="LV100" s="334">
        <v>25</v>
      </c>
      <c r="LW100" s="334">
        <v>0.54</v>
      </c>
      <c r="LX100" s="334">
        <v>244.69800000000001</v>
      </c>
      <c r="LY100" s="334">
        <v>26.25</v>
      </c>
      <c r="LZ100" s="334">
        <v>0.54</v>
      </c>
      <c r="MA100" s="334">
        <v>244.69800000000001</v>
      </c>
      <c r="MB100" s="334">
        <v>27.125</v>
      </c>
      <c r="MC100" s="334">
        <v>0.54</v>
      </c>
      <c r="MD100" s="334">
        <v>244.69800000000001</v>
      </c>
      <c r="ME100" s="334">
        <v>26.75</v>
      </c>
      <c r="MF100" s="334">
        <v>0.54</v>
      </c>
      <c r="MG100" s="334">
        <v>244.69800000000001</v>
      </c>
      <c r="MH100" s="334">
        <v>27.5</v>
      </c>
      <c r="MI100" s="334">
        <v>0.54</v>
      </c>
      <c r="MJ100" s="334">
        <v>244.69800000000001</v>
      </c>
      <c r="MK100" s="334">
        <v>27.375</v>
      </c>
      <c r="ML100" s="334">
        <v>0.54</v>
      </c>
      <c r="MM100" s="334">
        <v>244.69800000000001</v>
      </c>
      <c r="MN100" s="334">
        <v>30.625</v>
      </c>
      <c r="MO100" s="334">
        <v>0.54</v>
      </c>
      <c r="MP100" s="334">
        <v>244.69800000000001</v>
      </c>
      <c r="MQ100" s="334">
        <v>29.75</v>
      </c>
      <c r="MR100" s="334">
        <v>0.54</v>
      </c>
      <c r="MS100" s="334">
        <v>244.69800000000001</v>
      </c>
      <c r="MT100" s="334">
        <v>27.75</v>
      </c>
      <c r="MU100" s="334">
        <v>0.54</v>
      </c>
      <c r="MV100" s="334">
        <v>244.69800000000001</v>
      </c>
      <c r="MW100" s="334">
        <v>27.375</v>
      </c>
      <c r="MX100" s="334">
        <v>0.54</v>
      </c>
      <c r="MY100" s="334">
        <v>243.29599999999999</v>
      </c>
      <c r="MZ100" s="334">
        <v>26.5</v>
      </c>
      <c r="NA100" s="334">
        <v>0.54</v>
      </c>
      <c r="NB100" s="334">
        <v>243.29599999999999</v>
      </c>
      <c r="NC100" s="334">
        <v>26.25</v>
      </c>
      <c r="ND100" s="334">
        <v>0.54</v>
      </c>
      <c r="NE100" s="334">
        <v>243.29599999999999</v>
      </c>
      <c r="NF100" s="334">
        <v>26</v>
      </c>
      <c r="NG100" s="334">
        <v>0.54</v>
      </c>
      <c r="NH100" s="334">
        <v>241.88900000000001</v>
      </c>
      <c r="NI100" s="334">
        <v>27.875</v>
      </c>
      <c r="NJ100" s="334">
        <v>0.54</v>
      </c>
      <c r="NK100" s="334">
        <v>241.88900000000001</v>
      </c>
      <c r="NL100" s="334">
        <v>32</v>
      </c>
      <c r="NM100" s="334">
        <v>0.54</v>
      </c>
      <c r="NN100" s="334">
        <v>241.88900000000001</v>
      </c>
      <c r="NO100" s="334">
        <v>35.125</v>
      </c>
      <c r="NP100" s="334">
        <v>0.54</v>
      </c>
      <c r="NQ100" s="334">
        <v>240.92</v>
      </c>
      <c r="NR100" s="334">
        <v>34.25</v>
      </c>
      <c r="NS100" s="334">
        <v>0.54</v>
      </c>
      <c r="NT100" s="334">
        <v>236.91900000000001</v>
      </c>
      <c r="NU100" s="334">
        <v>33.5</v>
      </c>
      <c r="NV100" s="334">
        <v>0.54</v>
      </c>
      <c r="NW100" s="334">
        <v>231.59</v>
      </c>
      <c r="NX100" s="334">
        <v>30.88</v>
      </c>
      <c r="NY100" s="334">
        <v>0.54</v>
      </c>
      <c r="NZ100" s="334">
        <v>231.59</v>
      </c>
      <c r="OA100" s="334">
        <v>28</v>
      </c>
      <c r="OB100" s="334">
        <v>0.54</v>
      </c>
      <c r="OC100" s="334">
        <v>230.78</v>
      </c>
      <c r="OD100" s="334">
        <v>27.63</v>
      </c>
      <c r="OE100" s="334">
        <v>0.54</v>
      </c>
      <c r="OF100" s="334">
        <v>229.56700000000001</v>
      </c>
      <c r="OG100" s="334">
        <v>27</v>
      </c>
      <c r="OH100" s="334">
        <v>0.54</v>
      </c>
      <c r="OI100" s="334">
        <v>223.565</v>
      </c>
      <c r="OJ100" s="334">
        <v>29.38</v>
      </c>
      <c r="OK100" s="334">
        <v>0.54</v>
      </c>
      <c r="OL100" s="334">
        <v>222.762</v>
      </c>
      <c r="OM100" s="334">
        <v>28.38</v>
      </c>
      <c r="ON100" s="334">
        <v>0.53</v>
      </c>
      <c r="OO100" s="334">
        <v>221.55500000000001</v>
      </c>
      <c r="OP100" s="334">
        <v>25.88</v>
      </c>
      <c r="OQ100" s="334">
        <v>0.53</v>
      </c>
      <c r="OR100" s="334">
        <v>218.78899999999999</v>
      </c>
      <c r="OS100" s="334">
        <v>27.25</v>
      </c>
      <c r="OT100" s="334">
        <v>0.53</v>
      </c>
      <c r="OU100" s="334">
        <v>211.98099999999999</v>
      </c>
      <c r="OV100" s="334">
        <v>26.38</v>
      </c>
    </row>
    <row r="101" spans="1:412">
      <c r="B101" s="333" t="s">
        <v>270</v>
      </c>
      <c r="C101" s="333"/>
      <c r="D101" s="333"/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Q101" s="333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39"/>
      <c r="AF101" s="339"/>
      <c r="AG101" s="339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503"/>
      <c r="AZ101" s="503"/>
      <c r="BA101" s="503"/>
      <c r="BB101" s="503"/>
      <c r="BC101" s="503"/>
      <c r="BD101" s="503"/>
      <c r="BE101" s="503"/>
      <c r="BF101" s="503"/>
      <c r="BG101" s="503"/>
      <c r="BH101" s="503"/>
      <c r="BI101" s="503"/>
      <c r="BJ101" s="503"/>
      <c r="BK101" s="503"/>
      <c r="BL101" s="503"/>
      <c r="BM101" s="503"/>
      <c r="BN101" s="503"/>
      <c r="BO101" s="503"/>
      <c r="BP101" s="503"/>
      <c r="BQ101" s="504"/>
      <c r="BR101" s="504"/>
      <c r="BS101" s="504"/>
      <c r="BT101" s="504"/>
      <c r="BU101" s="504"/>
      <c r="BV101" s="504"/>
      <c r="BW101" s="504"/>
      <c r="BX101" s="504"/>
      <c r="BY101" s="504"/>
      <c r="BZ101" s="503"/>
      <c r="CA101" s="503"/>
      <c r="CB101" s="503"/>
      <c r="CC101" s="503"/>
      <c r="CD101" s="503"/>
      <c r="CE101" s="503"/>
      <c r="CF101" s="503"/>
      <c r="CG101" s="503"/>
      <c r="CH101" s="503"/>
      <c r="CI101" s="503"/>
      <c r="CJ101" s="503"/>
      <c r="CK101" s="503"/>
      <c r="CL101" s="503"/>
      <c r="CM101" s="503"/>
      <c r="CN101" s="503"/>
      <c r="CO101" s="503"/>
      <c r="CP101" s="503"/>
      <c r="CQ101" s="503"/>
      <c r="CR101" s="504"/>
      <c r="CS101" s="504"/>
      <c r="CT101" s="504"/>
      <c r="CU101" s="503"/>
      <c r="CV101" s="503"/>
      <c r="CW101" s="503"/>
      <c r="CX101" s="339"/>
      <c r="CY101" s="339"/>
      <c r="CZ101" s="339"/>
      <c r="DA101" s="339"/>
      <c r="DB101" s="339"/>
      <c r="DC101" s="339"/>
      <c r="DD101" s="339"/>
      <c r="DE101" s="339"/>
      <c r="DF101" s="339"/>
      <c r="DG101" s="339"/>
      <c r="DH101" s="339"/>
      <c r="DI101" s="339"/>
      <c r="DJ101" s="339"/>
      <c r="DK101" s="339"/>
      <c r="DL101" s="339"/>
      <c r="DM101" s="339"/>
      <c r="DN101" s="339"/>
      <c r="DO101" s="339"/>
      <c r="DP101" s="339"/>
      <c r="DQ101" s="339"/>
      <c r="DR101" s="339"/>
      <c r="DS101" s="339"/>
      <c r="DT101" s="339"/>
      <c r="DU101" s="339"/>
      <c r="DV101" s="339"/>
      <c r="DW101" s="339"/>
      <c r="DX101" s="339"/>
      <c r="DY101" s="339"/>
      <c r="DZ101" s="339"/>
      <c r="EA101" s="339"/>
      <c r="EB101" s="340"/>
      <c r="EC101" s="340"/>
      <c r="ED101" s="340"/>
      <c r="EE101" s="339"/>
      <c r="EF101" s="339"/>
      <c r="EG101" s="339"/>
      <c r="EH101" s="339"/>
      <c r="EI101" s="339"/>
      <c r="EJ101" s="339"/>
      <c r="EK101" s="339"/>
      <c r="EL101" s="339"/>
      <c r="EM101" s="339"/>
      <c r="EN101" s="339"/>
      <c r="EO101" s="339"/>
      <c r="EP101" s="339"/>
      <c r="EQ101" s="339"/>
      <c r="ER101" s="339"/>
      <c r="ES101" s="339"/>
      <c r="ET101" s="339"/>
      <c r="EU101" s="339"/>
      <c r="EV101" s="339"/>
      <c r="EW101" s="339"/>
      <c r="EX101" s="339"/>
      <c r="EY101" s="339"/>
      <c r="EZ101" s="339"/>
      <c r="FA101" s="339"/>
      <c r="FB101" s="339"/>
      <c r="FC101" s="339"/>
      <c r="FD101" s="339"/>
      <c r="FE101" s="339"/>
      <c r="FF101" s="339"/>
      <c r="FG101" s="339"/>
      <c r="FH101" s="342"/>
      <c r="FI101" s="339"/>
      <c r="FJ101" s="339"/>
      <c r="FK101" s="339"/>
      <c r="FL101" s="339"/>
      <c r="FM101" s="339"/>
      <c r="FN101" s="339"/>
      <c r="FO101" s="339"/>
      <c r="FP101" s="339"/>
      <c r="FQ101" s="339"/>
      <c r="FR101" s="339"/>
      <c r="FS101" s="339"/>
      <c r="FT101" s="339"/>
      <c r="FU101" s="339"/>
      <c r="FV101" s="339"/>
      <c r="FW101" s="339"/>
      <c r="FX101" s="339"/>
      <c r="FY101" s="339"/>
      <c r="FZ101" s="339"/>
      <c r="GA101" s="339"/>
      <c r="GB101" s="339"/>
      <c r="GC101" s="339"/>
      <c r="GD101" s="339"/>
      <c r="GE101" s="339"/>
      <c r="GF101" s="339"/>
      <c r="GG101" s="339"/>
      <c r="GH101" s="339"/>
      <c r="GI101" s="339"/>
      <c r="GJ101" s="339"/>
      <c r="GK101" s="339"/>
      <c r="GL101" s="339" t="s">
        <v>336</v>
      </c>
      <c r="GM101" s="339"/>
      <c r="GN101" s="339"/>
      <c r="GO101" s="339"/>
      <c r="GP101" s="339"/>
      <c r="GQ101" s="339"/>
      <c r="GR101" s="339"/>
      <c r="GS101" s="339"/>
      <c r="GT101" s="339"/>
      <c r="GU101" s="339"/>
      <c r="GV101" s="339"/>
      <c r="GW101" s="339"/>
      <c r="GX101" s="339"/>
      <c r="GY101" s="339"/>
      <c r="GZ101" s="339"/>
      <c r="HA101" s="339"/>
      <c r="HB101" s="339"/>
      <c r="HC101" s="339"/>
      <c r="HD101" s="339"/>
      <c r="HE101" s="339"/>
      <c r="HF101" s="339"/>
      <c r="HG101" s="339"/>
      <c r="HH101" s="339"/>
      <c r="HI101" s="505"/>
      <c r="HJ101" s="339"/>
      <c r="HK101" s="339"/>
      <c r="HL101" s="339"/>
      <c r="HM101" s="339"/>
      <c r="HN101" s="339"/>
      <c r="HO101" s="339"/>
      <c r="HP101" s="339"/>
      <c r="HQ101" s="339"/>
      <c r="HR101" s="339"/>
      <c r="HS101" s="339"/>
      <c r="HT101" s="339"/>
      <c r="HU101" s="339"/>
      <c r="HV101" s="339"/>
      <c r="HW101" s="339"/>
      <c r="HX101" s="506"/>
      <c r="HY101" s="513"/>
      <c r="HZ101" s="339"/>
      <c r="IA101" s="339"/>
      <c r="IB101" s="339"/>
      <c r="IC101" s="339"/>
      <c r="ID101" s="339"/>
      <c r="IE101" s="339"/>
      <c r="IF101" s="339"/>
      <c r="IG101" s="339"/>
      <c r="IH101" s="339"/>
      <c r="II101" s="339"/>
      <c r="IJ101" s="505"/>
      <c r="IK101" s="339"/>
      <c r="IL101" s="339"/>
      <c r="IM101" s="339"/>
      <c r="IN101" s="339"/>
      <c r="IO101" s="339"/>
      <c r="IP101" s="339"/>
      <c r="IQ101" s="339"/>
      <c r="IR101" s="339"/>
      <c r="IS101" s="339"/>
      <c r="IT101" s="339"/>
      <c r="IU101" s="339"/>
      <c r="IV101" s="339"/>
      <c r="IW101" s="339"/>
      <c r="IX101" s="339"/>
      <c r="IY101" s="339"/>
      <c r="IZ101" s="342"/>
      <c r="JA101" s="339"/>
      <c r="JB101" s="339"/>
      <c r="JC101" s="339"/>
      <c r="JD101" s="339"/>
      <c r="JE101" s="339"/>
      <c r="JF101" s="339"/>
      <c r="JG101" s="339"/>
      <c r="JH101" s="339"/>
      <c r="JI101" s="339"/>
      <c r="JJ101" s="339"/>
      <c r="JK101" s="339"/>
      <c r="JL101" s="339"/>
      <c r="JM101" s="339">
        <v>34.673000000000002</v>
      </c>
      <c r="JN101" s="339">
        <v>39.200000000000003</v>
      </c>
      <c r="JO101" s="339">
        <v>0.45</v>
      </c>
      <c r="JP101" s="339">
        <v>34.655000000000001</v>
      </c>
      <c r="JQ101" s="339">
        <v>39.25</v>
      </c>
      <c r="JR101" s="339">
        <v>0.45</v>
      </c>
      <c r="JS101" s="339">
        <v>34.590000000000003</v>
      </c>
      <c r="JT101" s="339">
        <v>37.6</v>
      </c>
      <c r="JU101" s="339">
        <v>0.45</v>
      </c>
      <c r="JV101" s="339">
        <v>34.576999999999998</v>
      </c>
      <c r="JW101" s="339">
        <v>38.700000000000003</v>
      </c>
      <c r="JX101" s="339">
        <v>0.45</v>
      </c>
      <c r="JY101" s="339">
        <v>34.576999999999998</v>
      </c>
      <c r="JZ101" s="339">
        <v>37.5</v>
      </c>
      <c r="KA101" s="339">
        <v>0.45</v>
      </c>
      <c r="KB101" s="339">
        <v>34.58</v>
      </c>
      <c r="KC101" s="339">
        <v>37</v>
      </c>
      <c r="KD101" s="339">
        <v>0.45</v>
      </c>
      <c r="KE101" s="339">
        <v>34.927999999999997</v>
      </c>
      <c r="KF101" s="339">
        <v>32.4375</v>
      </c>
      <c r="KG101" s="339">
        <v>0.45</v>
      </c>
      <c r="KH101" s="339">
        <v>35.378999999999998</v>
      </c>
      <c r="KI101" s="339">
        <v>28.1875</v>
      </c>
      <c r="KJ101" s="339">
        <v>0.45</v>
      </c>
      <c r="KK101" s="339">
        <v>35.783000000000001</v>
      </c>
      <c r="KL101" s="339">
        <v>22.25</v>
      </c>
      <c r="KM101" s="339">
        <v>0.45</v>
      </c>
      <c r="KN101" s="339">
        <v>36.664999999999999</v>
      </c>
      <c r="KO101" s="339">
        <v>21.25</v>
      </c>
      <c r="KP101" s="339">
        <v>0.45</v>
      </c>
      <c r="KQ101" s="339">
        <v>36.442999999999998</v>
      </c>
      <c r="KR101" s="339">
        <v>20.5625</v>
      </c>
      <c r="KS101" s="339">
        <v>0.45</v>
      </c>
      <c r="KT101" s="339">
        <v>37.012</v>
      </c>
      <c r="KU101" s="339">
        <v>24.5</v>
      </c>
      <c r="KV101" s="339">
        <v>0.45</v>
      </c>
      <c r="KW101" s="334">
        <v>38.46</v>
      </c>
      <c r="KX101" s="334">
        <v>26.5625</v>
      </c>
      <c r="KY101" s="334">
        <v>0.45</v>
      </c>
      <c r="KZ101" s="334">
        <v>38.49</v>
      </c>
      <c r="LA101" s="334">
        <v>25.625</v>
      </c>
      <c r="LB101" s="334">
        <v>0.45</v>
      </c>
      <c r="LC101" s="334">
        <v>38.49</v>
      </c>
      <c r="LD101" s="334">
        <v>31.25</v>
      </c>
      <c r="LE101" s="334">
        <v>0.45</v>
      </c>
      <c r="LF101" s="334">
        <v>38.630000000000003</v>
      </c>
      <c r="LG101" s="334">
        <v>31.25</v>
      </c>
      <c r="LH101" s="334">
        <v>0.45</v>
      </c>
      <c r="LI101" s="334">
        <v>38.630000000000003</v>
      </c>
      <c r="LJ101" s="334">
        <v>31.937999999999999</v>
      </c>
      <c r="LK101" s="334">
        <v>0.45</v>
      </c>
      <c r="LL101" s="334">
        <v>38.85</v>
      </c>
      <c r="LM101" s="334">
        <v>32.5</v>
      </c>
      <c r="LN101" s="334">
        <v>0.45</v>
      </c>
      <c r="LO101" s="334">
        <v>38.850999999999999</v>
      </c>
      <c r="LP101" s="334">
        <v>34</v>
      </c>
      <c r="LQ101" s="334">
        <v>0.45</v>
      </c>
      <c r="LR101" s="334">
        <v>38.850999999999999</v>
      </c>
      <c r="LS101" s="334">
        <v>24.75</v>
      </c>
      <c r="LT101" s="334">
        <v>0.45</v>
      </c>
      <c r="LU101" s="334">
        <v>38.850999999999999</v>
      </c>
      <c r="LV101" s="334">
        <v>21.062999999999999</v>
      </c>
      <c r="LW101" s="334">
        <v>0.45</v>
      </c>
      <c r="LX101" s="334">
        <v>38.850999999999999</v>
      </c>
      <c r="LY101" s="334">
        <v>19</v>
      </c>
      <c r="LZ101" s="334">
        <v>0.45</v>
      </c>
      <c r="MA101" s="334">
        <v>38.850999999999999</v>
      </c>
      <c r="MB101" s="334">
        <v>19.125</v>
      </c>
      <c r="MC101" s="334">
        <v>0.45</v>
      </c>
      <c r="MD101" s="334">
        <v>37.805</v>
      </c>
      <c r="ME101" s="334">
        <v>18.25</v>
      </c>
      <c r="MF101" s="334">
        <v>0.45</v>
      </c>
      <c r="MG101" s="334">
        <v>37.805</v>
      </c>
      <c r="MH101" s="334">
        <v>21.5</v>
      </c>
      <c r="MI101" s="334">
        <v>0.45</v>
      </c>
      <c r="MJ101" s="334">
        <v>37.805</v>
      </c>
      <c r="MK101" s="334">
        <v>21.625</v>
      </c>
      <c r="ML101" s="334">
        <v>0.45</v>
      </c>
      <c r="MM101" s="334">
        <v>37.805</v>
      </c>
      <c r="MN101" s="334">
        <v>22.625</v>
      </c>
      <c r="MO101" s="334">
        <v>0.45</v>
      </c>
      <c r="MP101" s="334">
        <v>37.805</v>
      </c>
      <c r="MQ101" s="334">
        <v>23.625</v>
      </c>
      <c r="MR101" s="334">
        <v>0.45</v>
      </c>
      <c r="MS101" s="334">
        <v>37.805</v>
      </c>
      <c r="MT101" s="334">
        <v>21.25</v>
      </c>
      <c r="MU101" s="334">
        <v>0.45</v>
      </c>
      <c r="MV101" s="334">
        <v>37.805</v>
      </c>
      <c r="MW101" s="334">
        <v>20.625</v>
      </c>
      <c r="MX101" s="334">
        <v>0.44</v>
      </c>
      <c r="MY101" s="334">
        <v>36.616999999999997</v>
      </c>
      <c r="MZ101" s="334">
        <v>20.875</v>
      </c>
      <c r="NA101" s="334">
        <v>0.44</v>
      </c>
      <c r="NB101" s="334">
        <v>36.616999999999997</v>
      </c>
      <c r="NC101" s="334">
        <v>20.625</v>
      </c>
      <c r="ND101" s="334">
        <v>0.44</v>
      </c>
      <c r="NE101" s="334">
        <v>36.616999999999997</v>
      </c>
      <c r="NF101" s="334">
        <v>21.75</v>
      </c>
      <c r="NG101" s="334">
        <v>0.44</v>
      </c>
      <c r="NH101" s="334">
        <v>35.582000000000001</v>
      </c>
      <c r="NI101" s="334">
        <v>23.875</v>
      </c>
      <c r="NJ101" s="334">
        <v>0.44</v>
      </c>
      <c r="NK101" s="334">
        <v>35.582000000000001</v>
      </c>
      <c r="NL101" s="334">
        <v>26.25</v>
      </c>
      <c r="NM101" s="334">
        <v>0.43</v>
      </c>
      <c r="NN101" s="334">
        <v>35.582000000000001</v>
      </c>
      <c r="NO101" s="334">
        <v>28.875</v>
      </c>
      <c r="NP101" s="334">
        <v>0.43</v>
      </c>
      <c r="NQ101" s="334">
        <v>35.055</v>
      </c>
      <c r="NR101" s="334">
        <v>27.375</v>
      </c>
      <c r="NS101" s="334">
        <v>0.43</v>
      </c>
      <c r="NT101" s="334">
        <v>34.902999999999999</v>
      </c>
      <c r="NU101" s="334">
        <v>27.625</v>
      </c>
      <c r="NV101" s="334">
        <v>0.43</v>
      </c>
      <c r="NW101" s="334">
        <v>32.802</v>
      </c>
      <c r="NX101" s="334">
        <v>24.5</v>
      </c>
      <c r="NY101" s="334">
        <v>0.42</v>
      </c>
      <c r="NZ101" s="334">
        <v>32.802</v>
      </c>
      <c r="OA101" s="334">
        <v>24.13</v>
      </c>
      <c r="OB101" s="334">
        <v>0.42</v>
      </c>
      <c r="OC101" s="334">
        <v>32.314</v>
      </c>
      <c r="OD101" s="334">
        <v>22.88</v>
      </c>
      <c r="OE101" s="334">
        <v>0.42</v>
      </c>
      <c r="OF101" s="334">
        <v>32.220999999999997</v>
      </c>
      <c r="OG101" s="334">
        <v>22</v>
      </c>
      <c r="OH101" s="334">
        <v>0.42</v>
      </c>
      <c r="OI101" s="334">
        <v>31.794</v>
      </c>
      <c r="OJ101" s="334">
        <v>23.25</v>
      </c>
      <c r="OK101" s="334">
        <v>0.41</v>
      </c>
      <c r="OL101" s="334">
        <v>31.707000000000001</v>
      </c>
      <c r="OM101" s="334">
        <v>20.75</v>
      </c>
      <c r="ON101" s="334">
        <v>0.41</v>
      </c>
      <c r="OO101" s="334">
        <v>31.620999999999999</v>
      </c>
      <c r="OP101" s="334">
        <v>19.38</v>
      </c>
      <c r="OQ101" s="334">
        <v>0.41</v>
      </c>
      <c r="OR101" s="334">
        <v>31.536000000000001</v>
      </c>
      <c r="OS101" s="334">
        <v>19.25</v>
      </c>
      <c r="OT101" s="334">
        <v>0.41</v>
      </c>
      <c r="OU101" s="334">
        <v>31.292999999999999</v>
      </c>
      <c r="OV101" s="334">
        <v>19.5</v>
      </c>
    </row>
    <row r="102" spans="1:412">
      <c r="B102" s="333" t="s">
        <v>271</v>
      </c>
      <c r="C102" s="333"/>
      <c r="D102" s="333"/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Q102" s="333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503"/>
      <c r="AZ102" s="503"/>
      <c r="BA102" s="503"/>
      <c r="BB102" s="503"/>
      <c r="BC102" s="503"/>
      <c r="BD102" s="503"/>
      <c r="BE102" s="503"/>
      <c r="BF102" s="503"/>
      <c r="BG102" s="503"/>
      <c r="BH102" s="503"/>
      <c r="BI102" s="503"/>
      <c r="BJ102" s="503"/>
      <c r="BK102" s="503"/>
      <c r="BL102" s="503"/>
      <c r="BM102" s="503"/>
      <c r="BN102" s="503"/>
      <c r="BO102" s="503"/>
      <c r="BP102" s="503"/>
      <c r="BQ102" s="504"/>
      <c r="BR102" s="504"/>
      <c r="BS102" s="504"/>
      <c r="BT102" s="504"/>
      <c r="BU102" s="504"/>
      <c r="BV102" s="504"/>
      <c r="BW102" s="504"/>
      <c r="BX102" s="504"/>
      <c r="BY102" s="504"/>
      <c r="BZ102" s="503"/>
      <c r="CA102" s="503"/>
      <c r="CB102" s="503"/>
      <c r="CC102" s="503"/>
      <c r="CD102" s="503"/>
      <c r="CE102" s="503"/>
      <c r="CF102" s="503"/>
      <c r="CG102" s="503"/>
      <c r="CH102" s="503"/>
      <c r="CI102" s="503"/>
      <c r="CJ102" s="503"/>
      <c r="CK102" s="503"/>
      <c r="CL102" s="503"/>
      <c r="CM102" s="503"/>
      <c r="CN102" s="503"/>
      <c r="CO102" s="503"/>
      <c r="CP102" s="503"/>
      <c r="CQ102" s="503"/>
      <c r="CR102" s="504"/>
      <c r="CS102" s="504"/>
      <c r="CT102" s="504"/>
      <c r="CU102" s="503"/>
      <c r="CV102" s="503"/>
      <c r="CW102" s="503"/>
      <c r="CX102" s="339"/>
      <c r="CY102" s="339"/>
      <c r="CZ102" s="339"/>
      <c r="DA102" s="339"/>
      <c r="DB102" s="339"/>
      <c r="DC102" s="339"/>
      <c r="DD102" s="339"/>
      <c r="DE102" s="339"/>
      <c r="DF102" s="339"/>
      <c r="DG102" s="339"/>
      <c r="DH102" s="339"/>
      <c r="DI102" s="339"/>
      <c r="DJ102" s="339"/>
      <c r="DK102" s="339"/>
      <c r="DL102" s="339"/>
      <c r="DM102" s="339"/>
      <c r="DN102" s="339"/>
      <c r="DO102" s="339"/>
      <c r="DP102" s="339"/>
      <c r="DQ102" s="339"/>
      <c r="DR102" s="339"/>
      <c r="DS102" s="339"/>
      <c r="DT102" s="339"/>
      <c r="DU102" s="339"/>
      <c r="DV102" s="339"/>
      <c r="DW102" s="339"/>
      <c r="DX102" s="339"/>
      <c r="DY102" s="339"/>
      <c r="DZ102" s="339"/>
      <c r="EA102" s="339"/>
      <c r="EB102" s="340"/>
      <c r="EC102" s="340"/>
      <c r="ED102" s="340"/>
      <c r="EE102" s="339"/>
      <c r="EF102" s="339"/>
      <c r="EG102" s="339"/>
      <c r="EH102" s="339"/>
      <c r="EI102" s="339"/>
      <c r="EJ102" s="339"/>
      <c r="EK102" s="339"/>
      <c r="EL102" s="339"/>
      <c r="EM102" s="339"/>
      <c r="EN102" s="339"/>
      <c r="EO102" s="339"/>
      <c r="EP102" s="339"/>
      <c r="EQ102" s="339"/>
      <c r="ER102" s="339"/>
      <c r="ES102" s="339"/>
      <c r="ET102" s="339"/>
      <c r="EU102" s="339"/>
      <c r="EV102" s="339"/>
      <c r="EW102" s="339"/>
      <c r="EX102" s="339"/>
      <c r="EY102" s="339"/>
      <c r="EZ102" s="339"/>
      <c r="FA102" s="339"/>
      <c r="FB102" s="339"/>
      <c r="FC102" s="339"/>
      <c r="FD102" s="339"/>
      <c r="FE102" s="339"/>
      <c r="FF102" s="339"/>
      <c r="FG102" s="339"/>
      <c r="FH102" s="342"/>
      <c r="FI102" s="339"/>
      <c r="FJ102" s="339"/>
      <c r="FK102" s="339"/>
      <c r="FL102" s="339"/>
      <c r="FM102" s="339"/>
      <c r="FN102" s="339"/>
      <c r="FO102" s="339"/>
      <c r="FP102" s="339"/>
      <c r="FQ102" s="339"/>
      <c r="FR102" s="339"/>
      <c r="FS102" s="339"/>
      <c r="FT102" s="339"/>
      <c r="FU102" s="339"/>
      <c r="FV102" s="339"/>
      <c r="FW102" s="339"/>
      <c r="FX102" s="339"/>
      <c r="FY102" s="339"/>
      <c r="FZ102" s="339"/>
      <c r="GA102" s="339"/>
      <c r="GB102" s="339"/>
      <c r="GC102" s="339"/>
      <c r="GD102" s="339"/>
      <c r="GE102" s="339"/>
      <c r="GF102" s="339"/>
      <c r="GG102" s="339"/>
      <c r="GH102" s="339"/>
      <c r="GI102" s="339"/>
      <c r="GJ102" s="339"/>
      <c r="GK102" s="339"/>
      <c r="GL102" s="339"/>
      <c r="GM102" s="339"/>
      <c r="GN102" s="339"/>
      <c r="GO102" s="339"/>
      <c r="GP102" s="339"/>
      <c r="GQ102" s="339"/>
      <c r="GR102" s="339"/>
      <c r="GS102" s="339"/>
      <c r="GT102" s="339"/>
      <c r="GU102" s="339"/>
      <c r="GV102" s="339"/>
      <c r="GW102" s="339"/>
      <c r="GX102" s="339"/>
      <c r="GY102" s="339"/>
      <c r="GZ102" s="339"/>
      <c r="HA102" s="339"/>
      <c r="HB102" s="339"/>
      <c r="HC102" s="339"/>
      <c r="HD102" s="339"/>
      <c r="HE102" s="339"/>
      <c r="HF102" s="339"/>
      <c r="HG102" s="339"/>
      <c r="HH102" s="339"/>
      <c r="HI102" s="505"/>
      <c r="HJ102" s="339"/>
      <c r="HK102" s="339"/>
      <c r="HL102" s="339"/>
      <c r="HM102" s="339"/>
      <c r="HN102" s="339"/>
      <c r="HO102" s="339"/>
      <c r="HP102" s="339"/>
      <c r="HQ102" s="339"/>
      <c r="HR102" s="339"/>
      <c r="HS102" s="339"/>
      <c r="HT102" s="339"/>
      <c r="HU102" s="339"/>
      <c r="HV102" s="339"/>
      <c r="HW102" s="339"/>
      <c r="HX102" s="506"/>
      <c r="HY102" s="513"/>
      <c r="HZ102" s="339"/>
      <c r="IA102" s="339"/>
      <c r="IB102" s="339"/>
      <c r="IC102" s="339"/>
      <c r="ID102" s="339"/>
      <c r="IE102" s="339"/>
      <c r="IF102" s="339"/>
      <c r="IG102" s="339"/>
      <c r="IH102" s="339"/>
      <c r="II102" s="339"/>
      <c r="IJ102" s="505"/>
      <c r="IK102" s="339"/>
      <c r="IL102" s="339"/>
      <c r="IM102" s="339"/>
      <c r="IN102" s="339"/>
      <c r="IO102" s="339"/>
      <c r="IP102" s="339"/>
      <c r="IQ102" s="339"/>
      <c r="IR102" s="339"/>
      <c r="IS102" s="339"/>
      <c r="IT102" s="339"/>
      <c r="IU102" s="339"/>
      <c r="IV102" s="339"/>
      <c r="IW102" s="339"/>
      <c r="IX102" s="339"/>
      <c r="IY102" s="339"/>
      <c r="IZ102" s="342"/>
      <c r="JA102" s="339"/>
      <c r="JB102" s="339"/>
      <c r="JC102" s="339"/>
      <c r="JD102" s="339"/>
      <c r="JE102" s="339"/>
      <c r="JF102" s="339"/>
      <c r="JG102" s="339"/>
      <c r="JH102" s="339"/>
      <c r="JI102" s="339"/>
      <c r="JJ102" s="339"/>
      <c r="JK102" s="339"/>
      <c r="JL102" s="339"/>
      <c r="JM102" s="339"/>
      <c r="JN102" s="339"/>
      <c r="JO102" s="339"/>
      <c r="JP102" s="339"/>
      <c r="JQ102" s="339"/>
      <c r="JR102" s="339"/>
      <c r="JS102" s="339"/>
      <c r="JT102" s="342"/>
      <c r="JU102" s="342"/>
      <c r="JV102" s="339"/>
      <c r="JW102" s="339"/>
      <c r="JX102" s="339"/>
      <c r="JY102" s="339"/>
      <c r="JZ102" s="339"/>
      <c r="KA102" s="339"/>
      <c r="KB102" s="339"/>
      <c r="KC102" s="339"/>
      <c r="KD102" s="339"/>
      <c r="KE102" s="339"/>
      <c r="KF102" s="339"/>
      <c r="KG102" s="339"/>
      <c r="KH102" s="339">
        <v>8.2685370000000002</v>
      </c>
      <c r="KI102" s="339">
        <v>19.3125</v>
      </c>
      <c r="KJ102" s="339">
        <v>0.25</v>
      </c>
      <c r="KK102" s="339">
        <v>8.2675479999999997</v>
      </c>
      <c r="KL102" s="339">
        <v>21</v>
      </c>
      <c r="KM102" s="339">
        <v>0.25</v>
      </c>
      <c r="KN102" s="339">
        <v>8.2597400000000007</v>
      </c>
      <c r="KO102" s="339">
        <v>20.25</v>
      </c>
      <c r="KP102" s="339">
        <v>0.25</v>
      </c>
      <c r="KQ102" s="339">
        <v>8.2413279999999993</v>
      </c>
      <c r="KR102" s="339">
        <v>20.5</v>
      </c>
      <c r="KS102" s="339">
        <v>0.25</v>
      </c>
      <c r="KT102" s="339">
        <v>8.1878170000000008</v>
      </c>
      <c r="KU102" s="339">
        <v>20.625</v>
      </c>
      <c r="KV102" s="339">
        <v>0.25</v>
      </c>
      <c r="KW102" s="334">
        <v>8.1</v>
      </c>
      <c r="KX102" s="334">
        <v>20.5</v>
      </c>
      <c r="KY102" s="334">
        <v>0.25</v>
      </c>
      <c r="KZ102" s="334">
        <v>8.11</v>
      </c>
      <c r="LA102" s="334">
        <v>20.4375</v>
      </c>
      <c r="LB102" s="334">
        <v>0.25</v>
      </c>
      <c r="LC102" s="334">
        <v>8.11</v>
      </c>
      <c r="LD102" s="334">
        <v>17.937999999999999</v>
      </c>
      <c r="LE102" s="334">
        <v>0.245</v>
      </c>
      <c r="LF102" s="334">
        <v>8.06</v>
      </c>
      <c r="LG102" s="334">
        <v>18.5</v>
      </c>
      <c r="LH102" s="334">
        <v>0.245</v>
      </c>
      <c r="LI102" s="334">
        <v>8.06</v>
      </c>
      <c r="LJ102" s="334">
        <v>18.625</v>
      </c>
      <c r="LK102" s="334">
        <v>0.245</v>
      </c>
      <c r="LL102" s="334">
        <v>8</v>
      </c>
      <c r="LM102" s="334">
        <v>17.875</v>
      </c>
      <c r="LN102" s="334">
        <v>0.245</v>
      </c>
      <c r="LO102" s="334">
        <v>8.0039999999999996</v>
      </c>
      <c r="LP102" s="334">
        <v>17.75</v>
      </c>
      <c r="LQ102" s="334">
        <v>0.24</v>
      </c>
      <c r="LR102" s="334">
        <v>7.94</v>
      </c>
      <c r="LS102" s="334">
        <v>16.375</v>
      </c>
      <c r="LT102" s="334">
        <v>0.24</v>
      </c>
      <c r="LU102" s="334">
        <v>7.94</v>
      </c>
      <c r="LV102" s="334">
        <v>16.375</v>
      </c>
      <c r="LW102" s="334">
        <v>0.24</v>
      </c>
      <c r="LX102" s="334">
        <v>7.8159999999999998</v>
      </c>
      <c r="LY102" s="334">
        <v>15.375</v>
      </c>
      <c r="LZ102" s="334">
        <v>0.24</v>
      </c>
      <c r="MA102" s="334">
        <v>7.8159999999999998</v>
      </c>
      <c r="MB102" s="334">
        <v>15.375</v>
      </c>
      <c r="MC102" s="334">
        <v>0.23499999999999999</v>
      </c>
      <c r="MD102" s="334">
        <v>7.8159999999999998</v>
      </c>
      <c r="ME102" s="334">
        <v>16.375</v>
      </c>
      <c r="MF102" s="334">
        <v>0.23499999999999999</v>
      </c>
      <c r="MG102" s="334">
        <v>7.8159999999999998</v>
      </c>
      <c r="MH102" s="334">
        <v>13.875</v>
      </c>
      <c r="MI102" s="334">
        <v>0.23499999999999999</v>
      </c>
      <c r="MJ102" s="334">
        <v>7.8159999999999998</v>
      </c>
      <c r="MK102" s="334">
        <v>16.25</v>
      </c>
      <c r="ML102" s="334">
        <v>0.23499999999999999</v>
      </c>
      <c r="MM102" s="334">
        <v>7.8159999999999998</v>
      </c>
      <c r="MN102" s="334">
        <v>17.75</v>
      </c>
      <c r="MO102" s="334">
        <v>0.23</v>
      </c>
      <c r="MP102" s="334">
        <v>7.8159999999999998</v>
      </c>
      <c r="MQ102" s="334">
        <v>15.188000000000001</v>
      </c>
      <c r="MR102" s="334">
        <v>0.23</v>
      </c>
      <c r="MS102" s="334">
        <v>7.8159999999999998</v>
      </c>
      <c r="MT102" s="334">
        <v>14.125</v>
      </c>
      <c r="MU102" s="334">
        <v>0.23</v>
      </c>
      <c r="MV102" s="334">
        <v>7.8159999999999998</v>
      </c>
      <c r="MW102" s="334">
        <v>15.6875</v>
      </c>
      <c r="MX102" s="334">
        <v>0.23</v>
      </c>
      <c r="MY102" s="334">
        <v>7.9420000000000002</v>
      </c>
      <c r="MZ102" s="334">
        <v>14.25</v>
      </c>
      <c r="NA102" s="334">
        <v>0.22500000000000001</v>
      </c>
      <c r="NB102" s="334">
        <v>7.9420000000000002</v>
      </c>
      <c r="NC102" s="334">
        <v>14.4375</v>
      </c>
      <c r="ND102" s="334">
        <v>0.22500000000000001</v>
      </c>
      <c r="NE102" s="334">
        <v>7.9420000000000002</v>
      </c>
      <c r="NF102" s="334">
        <v>13.375</v>
      </c>
      <c r="NG102" s="334">
        <v>0.22500000000000001</v>
      </c>
      <c r="NH102" s="334">
        <v>8.0180000000000007</v>
      </c>
      <c r="NI102" s="334">
        <v>14.75</v>
      </c>
      <c r="NJ102" s="334">
        <v>0.22500000000000001</v>
      </c>
      <c r="NK102" s="334">
        <v>8.0180000000000007</v>
      </c>
      <c r="NL102" s="334">
        <v>14.5</v>
      </c>
      <c r="NM102" s="334">
        <v>0.22</v>
      </c>
      <c r="NN102" s="334">
        <v>8.0180000000000007</v>
      </c>
      <c r="NO102" s="334">
        <v>18.25</v>
      </c>
      <c r="NP102" s="334">
        <v>0.22</v>
      </c>
      <c r="NQ102" s="334">
        <v>8.0180000000000007</v>
      </c>
      <c r="NR102" s="334">
        <v>17.5625</v>
      </c>
      <c r="NS102" s="334">
        <v>0.22</v>
      </c>
      <c r="NT102" s="334">
        <v>8.0120000000000005</v>
      </c>
      <c r="NU102" s="334">
        <v>18.375</v>
      </c>
      <c r="NV102" s="334">
        <v>0.22</v>
      </c>
      <c r="NW102" s="334">
        <v>8.0440000000000005</v>
      </c>
      <c r="NX102" s="334">
        <v>17.13</v>
      </c>
      <c r="NY102" s="334">
        <v>0.22</v>
      </c>
      <c r="NZ102" s="334">
        <v>8.0440000000000005</v>
      </c>
      <c r="OA102" s="334">
        <v>15.06</v>
      </c>
      <c r="OB102" s="334">
        <v>0.22</v>
      </c>
      <c r="OC102" s="334">
        <v>8.0419999999999998</v>
      </c>
      <c r="OD102" s="334">
        <v>15.75</v>
      </c>
      <c r="OE102" s="334">
        <v>0.22</v>
      </c>
      <c r="OF102" s="334">
        <v>8.0380000000000003</v>
      </c>
      <c r="OG102" s="334">
        <v>15.75</v>
      </c>
      <c r="OH102" s="334">
        <v>0.22</v>
      </c>
      <c r="OI102" s="334">
        <v>8.0380000000000003</v>
      </c>
      <c r="OJ102" s="334">
        <v>16.940000000000001</v>
      </c>
      <c r="OK102" s="334">
        <v>0.21</v>
      </c>
      <c r="OL102" s="334">
        <v>8.0380000000000003</v>
      </c>
      <c r="OM102" s="334">
        <v>15.63</v>
      </c>
      <c r="ON102" s="334">
        <v>0.21</v>
      </c>
      <c r="OO102" s="334">
        <v>8.0399999999999991</v>
      </c>
      <c r="OP102" s="334">
        <v>14.31</v>
      </c>
      <c r="OQ102" s="334">
        <v>0.21</v>
      </c>
      <c r="OR102" s="334">
        <v>8.0419999999999998</v>
      </c>
      <c r="OS102" s="334">
        <v>14.75</v>
      </c>
      <c r="OT102" s="334">
        <v>0.21</v>
      </c>
      <c r="OU102" s="334">
        <v>8.2520000000000007</v>
      </c>
      <c r="OV102" s="334">
        <v>14.13</v>
      </c>
    </row>
    <row r="103" spans="1:412">
      <c r="A103" s="294" t="s">
        <v>18</v>
      </c>
      <c r="B103" s="335" t="s">
        <v>153</v>
      </c>
      <c r="C103" s="335">
        <v>633.75199999999995</v>
      </c>
      <c r="D103" s="335">
        <v>87.72</v>
      </c>
      <c r="E103" s="335">
        <v>0.62</v>
      </c>
      <c r="F103" s="335">
        <v>633.45000000000005</v>
      </c>
      <c r="G103" s="335">
        <v>83.63</v>
      </c>
      <c r="H103" s="335">
        <v>0.62</v>
      </c>
      <c r="I103" s="335">
        <v>632.82100000000003</v>
      </c>
      <c r="J103" s="335">
        <v>76.06</v>
      </c>
      <c r="K103" s="335">
        <v>0.62</v>
      </c>
      <c r="L103" s="335">
        <v>631.28399999999999</v>
      </c>
      <c r="M103" s="335">
        <v>71.83</v>
      </c>
      <c r="N103" s="335">
        <v>0.62</v>
      </c>
      <c r="O103" s="335">
        <v>630.03599999999994</v>
      </c>
      <c r="P103" s="335">
        <v>74.73</v>
      </c>
      <c r="Q103" s="335">
        <v>0.59499999999999997</v>
      </c>
      <c r="R103" s="340">
        <v>630.01400000000001</v>
      </c>
      <c r="S103" s="340">
        <v>68.03</v>
      </c>
      <c r="T103" s="340">
        <v>0.59499999999999997</v>
      </c>
      <c r="U103" s="340">
        <v>314.91899999999998</v>
      </c>
      <c r="V103" s="340">
        <v>145.59</v>
      </c>
      <c r="W103" s="340">
        <v>1.19</v>
      </c>
      <c r="X103" s="340">
        <v>315.15899999999999</v>
      </c>
      <c r="Y103" s="340">
        <v>151.16</v>
      </c>
      <c r="Z103" s="340">
        <v>1.19</v>
      </c>
      <c r="AA103" s="340">
        <v>314.72399999999999</v>
      </c>
      <c r="AB103" s="340">
        <v>154.54</v>
      </c>
      <c r="AC103" s="340">
        <v>1.145</v>
      </c>
      <c r="AD103" s="340">
        <v>314.84500000000003</v>
      </c>
      <c r="AE103" s="340">
        <v>149.94</v>
      </c>
      <c r="AF103" s="340">
        <v>1.145</v>
      </c>
      <c r="AG103" s="340">
        <v>316.35300000000001</v>
      </c>
      <c r="AH103" s="340">
        <v>150.27000000000001</v>
      </c>
      <c r="AI103" s="340">
        <v>1.145</v>
      </c>
      <c r="AJ103" s="340">
        <v>311.755</v>
      </c>
      <c r="AK103" s="340">
        <v>168.12</v>
      </c>
      <c r="AL103" s="340">
        <v>1.145</v>
      </c>
      <c r="AM103" s="340">
        <v>319.14400000000001</v>
      </c>
      <c r="AN103" s="340">
        <v>132.28</v>
      </c>
      <c r="AO103" s="340">
        <v>1.1000000000000001</v>
      </c>
      <c r="AP103" s="340">
        <v>307.8</v>
      </c>
      <c r="AQ103" s="340">
        <v>126.5</v>
      </c>
      <c r="AR103" s="340">
        <v>1.1000000000000001</v>
      </c>
      <c r="AS103" s="340">
        <v>300.90499999999997</v>
      </c>
      <c r="AT103" s="340">
        <v>132.47999999999999</v>
      </c>
      <c r="AU103" s="340">
        <v>1.1000000000000001</v>
      </c>
      <c r="AV103" s="340">
        <v>291.077</v>
      </c>
      <c r="AW103" s="340">
        <v>132.58000000000001</v>
      </c>
      <c r="AX103" s="340">
        <v>1.1000000000000001</v>
      </c>
      <c r="AY103" s="503">
        <v>289.49</v>
      </c>
      <c r="AZ103" s="503">
        <v>127.41</v>
      </c>
      <c r="BA103" s="503">
        <v>1.0449999999999999</v>
      </c>
      <c r="BB103" s="504">
        <v>293.06</v>
      </c>
      <c r="BC103" s="504">
        <v>118.36</v>
      </c>
      <c r="BD103" s="504">
        <v>1.0449999999999999</v>
      </c>
      <c r="BE103" s="504">
        <v>292.79000000000002</v>
      </c>
      <c r="BF103" s="504">
        <v>117.23</v>
      </c>
      <c r="BG103" s="504">
        <v>1.0449999999999999</v>
      </c>
      <c r="BH103" s="504">
        <v>277.904</v>
      </c>
      <c r="BI103" s="504">
        <v>112.99</v>
      </c>
      <c r="BJ103" s="518">
        <v>1.0449999999999999</v>
      </c>
      <c r="BK103" s="504">
        <v>277.36</v>
      </c>
      <c r="BL103" s="504">
        <v>151.47999999999999</v>
      </c>
      <c r="BM103" s="504">
        <v>0.96750000000000003</v>
      </c>
      <c r="BN103" s="504">
        <v>274.98700000000002</v>
      </c>
      <c r="BO103" s="504">
        <v>147.61000000000001</v>
      </c>
      <c r="BP103" s="504">
        <v>0.96750000000000003</v>
      </c>
      <c r="BQ103" s="504">
        <v>274.67399999999998</v>
      </c>
      <c r="BR103" s="504">
        <v>137.44</v>
      </c>
      <c r="BS103" s="504">
        <v>0.96750000000000003</v>
      </c>
      <c r="BT103" s="504">
        <v>268.30720000000002</v>
      </c>
      <c r="BU103" s="504">
        <v>125.86</v>
      </c>
      <c r="BV103" s="507">
        <v>0.96750000000000003</v>
      </c>
      <c r="BW103" s="504">
        <v>273.94400000000002</v>
      </c>
      <c r="BX103" s="504">
        <v>108.19</v>
      </c>
      <c r="BY103" s="504">
        <v>0.89500000000000002</v>
      </c>
      <c r="BZ103" s="504">
        <v>265.83699999999999</v>
      </c>
      <c r="CA103" s="504">
        <v>113.75</v>
      </c>
      <c r="CB103" s="504">
        <v>0.89500000000000002</v>
      </c>
      <c r="CC103" s="503">
        <v>257.93200000000002</v>
      </c>
      <c r="CD103" s="503">
        <v>116.11</v>
      </c>
      <c r="CE103" s="503">
        <v>0.89500000000000002</v>
      </c>
      <c r="CF103" s="503">
        <v>251.9</v>
      </c>
      <c r="CG103" s="503">
        <v>111.22</v>
      </c>
      <c r="CH103" s="508">
        <v>0.89500000000000002</v>
      </c>
      <c r="CI103" s="503">
        <v>251.96199999999999</v>
      </c>
      <c r="CJ103" s="503">
        <v>106.92</v>
      </c>
      <c r="CK103" s="503">
        <v>0.82250000000000001</v>
      </c>
      <c r="CL103" s="503">
        <v>251.447</v>
      </c>
      <c r="CM103" s="503">
        <v>114.13</v>
      </c>
      <c r="CN103" s="503">
        <v>0.82250000000000001</v>
      </c>
      <c r="CO103" s="503">
        <v>251.131</v>
      </c>
      <c r="CP103" s="503">
        <v>112.75</v>
      </c>
      <c r="CQ103" s="503">
        <v>0.82250000000000001</v>
      </c>
      <c r="CR103" s="504">
        <v>250.21700000000001</v>
      </c>
      <c r="CS103" s="504">
        <v>110.5</v>
      </c>
      <c r="CT103" s="514">
        <v>0.82250000000000001</v>
      </c>
      <c r="CU103" s="503">
        <v>250.386</v>
      </c>
      <c r="CV103" s="503">
        <v>100.64</v>
      </c>
      <c r="CW103" s="503">
        <v>0.755</v>
      </c>
      <c r="CX103" s="339">
        <v>250.096</v>
      </c>
      <c r="CY103" s="339">
        <v>107.19</v>
      </c>
      <c r="CZ103" s="339">
        <v>0.755</v>
      </c>
      <c r="DA103" s="339">
        <v>249.73400000000001</v>
      </c>
      <c r="DB103" s="339">
        <v>114.02</v>
      </c>
      <c r="DC103" s="339">
        <v>0.755</v>
      </c>
      <c r="DD103" s="339">
        <v>248.249</v>
      </c>
      <c r="DE103" s="339">
        <v>104.05</v>
      </c>
      <c r="DF103" s="511">
        <v>0.755</v>
      </c>
      <c r="DG103" s="339">
        <v>248.43199999999999</v>
      </c>
      <c r="DH103" s="339">
        <v>94.01</v>
      </c>
      <c r="DI103" s="339">
        <v>0.7</v>
      </c>
      <c r="DJ103" s="339">
        <v>248.108</v>
      </c>
      <c r="DK103" s="339">
        <v>96.72</v>
      </c>
      <c r="DL103" s="339">
        <v>0.7</v>
      </c>
      <c r="DM103" s="339">
        <v>247.72200000000001</v>
      </c>
      <c r="DN103" s="339">
        <v>98.94</v>
      </c>
      <c r="DO103" s="339">
        <v>0.7</v>
      </c>
      <c r="DP103" s="340">
        <v>246.4</v>
      </c>
      <c r="DQ103" s="340">
        <v>109.02</v>
      </c>
      <c r="DR103" s="515">
        <v>0.7</v>
      </c>
      <c r="DS103" s="339">
        <v>246.137</v>
      </c>
      <c r="DT103" s="339">
        <v>111.36</v>
      </c>
      <c r="DU103" s="339">
        <v>0.66</v>
      </c>
      <c r="DV103" s="339">
        <v>245.68799999999999</v>
      </c>
      <c r="DW103" s="339">
        <v>105.38</v>
      </c>
      <c r="DX103" s="339">
        <v>0.66</v>
      </c>
      <c r="DY103" s="339">
        <v>245.27699999999999</v>
      </c>
      <c r="DZ103" s="339">
        <v>104.71</v>
      </c>
      <c r="EA103" s="339">
        <v>0.66</v>
      </c>
      <c r="EB103" s="340">
        <v>243.863</v>
      </c>
      <c r="EC103" s="340">
        <v>96.76</v>
      </c>
      <c r="ED103" s="515">
        <v>0.66</v>
      </c>
      <c r="EE103" s="339">
        <v>244.14</v>
      </c>
      <c r="EF103" s="339">
        <v>89.76</v>
      </c>
      <c r="EG103" s="339">
        <v>0.63</v>
      </c>
      <c r="EH103" s="339">
        <v>243.60300000000001</v>
      </c>
      <c r="EI103" s="339">
        <v>85.6</v>
      </c>
      <c r="EJ103" s="339">
        <v>0.63</v>
      </c>
      <c r="EK103" s="339">
        <v>243.29400000000001</v>
      </c>
      <c r="EL103" s="339">
        <v>81.760000000000005</v>
      </c>
      <c r="EM103" s="339">
        <v>0.63</v>
      </c>
      <c r="EN103" s="340">
        <v>241.34700000000001</v>
      </c>
      <c r="EO103" s="340">
        <v>79.94</v>
      </c>
      <c r="EP103" s="515">
        <v>0.63</v>
      </c>
      <c r="EQ103" s="339">
        <v>241.68899999999999</v>
      </c>
      <c r="ER103" s="339">
        <v>70.94</v>
      </c>
      <c r="ES103" s="339">
        <v>0.6</v>
      </c>
      <c r="ET103" s="339">
        <v>241.14099999999999</v>
      </c>
      <c r="EU103" s="339">
        <v>64.489999999999995</v>
      </c>
      <c r="EV103" s="339">
        <v>0.6</v>
      </c>
      <c r="EW103" s="339">
        <v>240.566</v>
      </c>
      <c r="EX103" s="339">
        <v>68.89</v>
      </c>
      <c r="EY103" s="339">
        <v>0.6</v>
      </c>
      <c r="EZ103" s="340">
        <v>239.72</v>
      </c>
      <c r="FA103" s="340">
        <v>59.96</v>
      </c>
      <c r="FB103" s="515">
        <v>0.6</v>
      </c>
      <c r="FC103" s="339">
        <v>239.54499999999999</v>
      </c>
      <c r="FD103" s="339">
        <v>55</v>
      </c>
      <c r="FE103" s="339">
        <v>0.48</v>
      </c>
      <c r="FF103" s="339">
        <v>239.41499999999999</v>
      </c>
      <c r="FG103" s="339">
        <v>51.5</v>
      </c>
      <c r="FH103" s="339">
        <v>0.48</v>
      </c>
      <c r="FI103" s="339">
        <v>240.12799999999999</v>
      </c>
      <c r="FJ103" s="339">
        <v>52.88</v>
      </c>
      <c r="FK103" s="339">
        <v>0.48</v>
      </c>
      <c r="FL103" s="339">
        <v>239.465</v>
      </c>
      <c r="FM103" s="339">
        <v>53.5</v>
      </c>
      <c r="FN103" s="511">
        <v>0.48</v>
      </c>
      <c r="FO103" s="339">
        <v>246.66800000000001</v>
      </c>
      <c r="FP103" s="339">
        <v>52.48</v>
      </c>
      <c r="FQ103" s="339">
        <v>0.39</v>
      </c>
      <c r="FR103" s="339">
        <v>246.78399999999999</v>
      </c>
      <c r="FS103" s="339">
        <v>53.8</v>
      </c>
      <c r="FT103" s="339">
        <v>0.39</v>
      </c>
      <c r="FU103" s="339">
        <v>246.083</v>
      </c>
      <c r="FV103" s="339">
        <v>46.79</v>
      </c>
      <c r="FW103" s="339">
        <v>0.39</v>
      </c>
      <c r="FX103" s="339">
        <v>244.923</v>
      </c>
      <c r="FY103" s="339">
        <v>49.9</v>
      </c>
      <c r="FZ103" s="339">
        <v>0.39</v>
      </c>
      <c r="GA103" s="339">
        <v>243.92500000000001</v>
      </c>
      <c r="GB103" s="339">
        <v>55.98</v>
      </c>
      <c r="GC103" s="339">
        <v>0.39</v>
      </c>
      <c r="GD103" s="339">
        <v>242.71799999999999</v>
      </c>
      <c r="GE103" s="339">
        <v>49.81</v>
      </c>
      <c r="GF103" s="339">
        <v>0.39</v>
      </c>
      <c r="GG103" s="339">
        <v>241.76599999999999</v>
      </c>
      <c r="GH103" s="339">
        <v>49.63</v>
      </c>
      <c r="GI103" s="339">
        <v>0.39</v>
      </c>
      <c r="GJ103" s="339">
        <v>241.62</v>
      </c>
      <c r="GK103" s="339">
        <v>46.24</v>
      </c>
      <c r="GL103" s="339">
        <v>0.39</v>
      </c>
      <c r="GM103" s="339">
        <v>243.79300000000001</v>
      </c>
      <c r="GN103" s="339">
        <v>42.63</v>
      </c>
      <c r="GO103" s="339">
        <v>0.35</v>
      </c>
      <c r="GP103" s="339">
        <v>245.57599999999999</v>
      </c>
      <c r="GQ103" s="339">
        <v>50.47</v>
      </c>
      <c r="GR103" s="339">
        <v>0.35</v>
      </c>
      <c r="GS103" s="339">
        <v>258.62400000000002</v>
      </c>
      <c r="GT103" s="339">
        <v>56.45</v>
      </c>
      <c r="GU103" s="510">
        <v>0.35</v>
      </c>
      <c r="GV103" s="339">
        <v>259.26900000000001</v>
      </c>
      <c r="GW103" s="339">
        <v>53.28</v>
      </c>
      <c r="GX103" s="339">
        <v>0.32</v>
      </c>
      <c r="GY103" s="339">
        <v>259.56299999999999</v>
      </c>
      <c r="GZ103" s="339">
        <v>61.88</v>
      </c>
      <c r="HA103" s="339">
        <v>0.31</v>
      </c>
      <c r="HB103" s="339">
        <v>260.19799999999998</v>
      </c>
      <c r="HC103" s="339">
        <v>58.12</v>
      </c>
      <c r="HD103" s="339">
        <v>0.31</v>
      </c>
      <c r="HE103" s="339">
        <v>259.459</v>
      </c>
      <c r="HF103" s="339">
        <v>59.23</v>
      </c>
      <c r="HG103" s="339">
        <v>0.31</v>
      </c>
      <c r="HH103" s="339">
        <v>256.47699999999998</v>
      </c>
      <c r="HI103" s="505">
        <v>61.01</v>
      </c>
      <c r="HJ103" s="339">
        <v>0.31</v>
      </c>
      <c r="HK103" s="339">
        <v>257.48700000000002</v>
      </c>
      <c r="HL103" s="339">
        <v>56.04</v>
      </c>
      <c r="HM103" s="339">
        <v>0.3</v>
      </c>
      <c r="HN103" s="339">
        <v>255.72800000000001</v>
      </c>
      <c r="HO103" s="339">
        <v>50.25</v>
      </c>
      <c r="HP103" s="339">
        <v>0.3</v>
      </c>
      <c r="HQ103" s="339">
        <v>254.25700000000001</v>
      </c>
      <c r="HR103" s="339">
        <v>45.48</v>
      </c>
      <c r="HS103" s="339">
        <v>0.3</v>
      </c>
      <c r="HT103" s="339">
        <v>253.51599999999999</v>
      </c>
      <c r="HU103" s="339">
        <v>46.46</v>
      </c>
      <c r="HV103" s="339">
        <v>0.3</v>
      </c>
      <c r="HW103" s="339">
        <v>252.97399999999999</v>
      </c>
      <c r="HX103" s="506">
        <v>44.84</v>
      </c>
      <c r="HY103" s="513">
        <f>1.16/4</f>
        <v>0.28999999999999998</v>
      </c>
      <c r="HZ103" s="339">
        <v>243.898</v>
      </c>
      <c r="IA103" s="339">
        <v>47.06</v>
      </c>
      <c r="IB103" s="339">
        <v>0.28999999999999998</v>
      </c>
      <c r="IC103" s="339">
        <v>232.93899999999999</v>
      </c>
      <c r="ID103" s="339">
        <v>41.31</v>
      </c>
      <c r="IE103" s="339">
        <v>0.28999999999999998</v>
      </c>
      <c r="IF103" s="339">
        <v>229.376</v>
      </c>
      <c r="IG103" s="339">
        <v>39.840000000000003</v>
      </c>
      <c r="IH103" s="339">
        <v>0.28999999999999998</v>
      </c>
      <c r="II103" s="339">
        <v>229.376</v>
      </c>
      <c r="IJ103" s="505">
        <v>36.68</v>
      </c>
      <c r="IK103" s="339">
        <v>0.25</v>
      </c>
      <c r="IL103" s="339">
        <v>230.43199999999999</v>
      </c>
      <c r="IM103" s="339">
        <v>36.19</v>
      </c>
      <c r="IN103" s="339">
        <v>0.25</v>
      </c>
      <c r="IO103" s="339">
        <v>228.05500000000001</v>
      </c>
      <c r="IP103" s="339">
        <v>34.43</v>
      </c>
      <c r="IQ103" s="339">
        <v>0.25</v>
      </c>
      <c r="IR103" s="339">
        <v>208.816</v>
      </c>
      <c r="IS103" s="339">
        <v>31.8</v>
      </c>
      <c r="IT103" s="339">
        <v>0.25</v>
      </c>
      <c r="IU103" s="339">
        <v>208.816</v>
      </c>
      <c r="IV103" s="339">
        <v>30.06</v>
      </c>
      <c r="IW103" s="339">
        <v>0.25</v>
      </c>
      <c r="IX103" s="339">
        <v>207.626</v>
      </c>
      <c r="IY103" s="339">
        <v>29.36</v>
      </c>
      <c r="IZ103" s="339">
        <v>0.25</v>
      </c>
      <c r="JA103" s="339">
        <v>206.393</v>
      </c>
      <c r="JB103" s="339">
        <v>28.53</v>
      </c>
      <c r="JC103" s="339">
        <v>0.25</v>
      </c>
      <c r="JD103" s="339">
        <v>204.87299999999999</v>
      </c>
      <c r="JE103" s="339">
        <v>24.96</v>
      </c>
      <c r="JF103" s="339">
        <v>0.25</v>
      </c>
      <c r="JG103" s="339">
        <v>204.93199999999999</v>
      </c>
      <c r="JH103" s="339">
        <v>23.65</v>
      </c>
      <c r="JI103" s="339">
        <v>0.25</v>
      </c>
      <c r="JJ103" s="339">
        <v>205.35400000000001</v>
      </c>
      <c r="JK103" s="339">
        <v>19.649999999999999</v>
      </c>
      <c r="JL103" s="339">
        <v>0.25</v>
      </c>
      <c r="JM103" s="339">
        <v>204.85300000000001</v>
      </c>
      <c r="JN103" s="339">
        <v>22.13</v>
      </c>
      <c r="JO103" s="339">
        <v>0.25</v>
      </c>
      <c r="JP103" s="339">
        <v>204.47499999999999</v>
      </c>
      <c r="JQ103" s="339">
        <v>25.15</v>
      </c>
      <c r="JR103" s="339">
        <v>0.25</v>
      </c>
      <c r="JS103" s="339">
        <v>204.18</v>
      </c>
      <c r="JT103" s="339">
        <v>24.55</v>
      </c>
      <c r="JU103" s="339">
        <v>0.25</v>
      </c>
      <c r="JV103" s="339">
        <v>203.4</v>
      </c>
      <c r="JW103" s="339">
        <v>24.75</v>
      </c>
      <c r="JX103" s="339">
        <v>0.25</v>
      </c>
      <c r="JY103" s="339">
        <v>202.285</v>
      </c>
      <c r="JZ103" s="339">
        <v>27.34</v>
      </c>
      <c r="KA103" s="339">
        <v>0.25</v>
      </c>
      <c r="KB103" s="339">
        <v>201.76</v>
      </c>
      <c r="KC103" s="339">
        <v>23.28</v>
      </c>
      <c r="KD103" s="339">
        <v>0.25</v>
      </c>
      <c r="KE103" s="339">
        <v>201.33799999999999</v>
      </c>
      <c r="KF103" s="339">
        <v>23.25</v>
      </c>
      <c r="KG103" s="339">
        <v>0.25</v>
      </c>
      <c r="KH103" s="339">
        <v>201.386</v>
      </c>
      <c r="KI103" s="339">
        <v>20.8125</v>
      </c>
      <c r="KJ103" s="339">
        <v>0.25</v>
      </c>
      <c r="KK103" s="339">
        <v>228.291</v>
      </c>
      <c r="KL103" s="339">
        <v>17</v>
      </c>
      <c r="KM103" s="339">
        <v>0.25</v>
      </c>
      <c r="KN103" s="339">
        <v>237.40199999999999</v>
      </c>
      <c r="KO103" s="339">
        <v>16.75</v>
      </c>
      <c r="KP103" s="339">
        <v>0.25</v>
      </c>
      <c r="KQ103" s="339">
        <v>237.35300000000001</v>
      </c>
      <c r="KR103" s="339">
        <v>17.375</v>
      </c>
      <c r="KS103" s="339">
        <v>0.39</v>
      </c>
      <c r="KT103" s="339">
        <v>237.15700000000001</v>
      </c>
      <c r="KU103" s="339">
        <v>20.8125</v>
      </c>
      <c r="KV103" s="339">
        <v>0.39</v>
      </c>
      <c r="KW103" s="334">
        <v>236.42</v>
      </c>
      <c r="KX103" s="334">
        <v>22.625</v>
      </c>
      <c r="KY103" s="334">
        <v>0.39</v>
      </c>
      <c r="KZ103" s="334">
        <v>236.75</v>
      </c>
      <c r="LA103" s="334">
        <v>19.1875</v>
      </c>
      <c r="LB103" s="334">
        <v>0.39</v>
      </c>
      <c r="LC103" s="334">
        <v>236.75</v>
      </c>
      <c r="LD103" s="334">
        <v>25.375</v>
      </c>
      <c r="LE103" s="334">
        <v>0.39</v>
      </c>
      <c r="LF103" s="334">
        <v>113.62</v>
      </c>
      <c r="LG103" s="334">
        <v>26.062999999999999</v>
      </c>
      <c r="LH103" s="334">
        <v>0.39</v>
      </c>
      <c r="LI103" s="334">
        <v>113.62</v>
      </c>
      <c r="LJ103" s="334">
        <v>27.812999999999999</v>
      </c>
      <c r="LK103" s="334">
        <v>0.39</v>
      </c>
      <c r="LL103" s="334">
        <v>113.62</v>
      </c>
      <c r="LM103" s="334">
        <v>27.9375</v>
      </c>
      <c r="LN103" s="334">
        <v>0.39</v>
      </c>
      <c r="LO103" s="334">
        <v>113.616</v>
      </c>
      <c r="LP103" s="334">
        <v>26.9375</v>
      </c>
      <c r="LQ103" s="334">
        <v>0.39</v>
      </c>
      <c r="LR103" s="334">
        <v>116.452</v>
      </c>
      <c r="LS103" s="334">
        <v>25.25</v>
      </c>
      <c r="LT103" s="334">
        <v>0.39</v>
      </c>
      <c r="LU103" s="334">
        <v>116.452</v>
      </c>
      <c r="LV103" s="334">
        <v>24.062999999999999</v>
      </c>
      <c r="LW103" s="334">
        <v>0.39</v>
      </c>
      <c r="LX103" s="334">
        <v>116.553</v>
      </c>
      <c r="LY103" s="334">
        <v>22</v>
      </c>
      <c r="LZ103" s="334">
        <v>0.39</v>
      </c>
      <c r="MA103" s="334">
        <v>116.553</v>
      </c>
      <c r="MB103" s="334">
        <v>22.75</v>
      </c>
      <c r="MC103" s="334">
        <v>0.39</v>
      </c>
      <c r="MD103" s="334">
        <v>116.553</v>
      </c>
      <c r="ME103" s="334">
        <v>22.125</v>
      </c>
      <c r="MF103" s="334">
        <v>0.39</v>
      </c>
      <c r="MG103" s="334">
        <v>116.553</v>
      </c>
      <c r="MH103" s="334">
        <v>22.875</v>
      </c>
      <c r="MI103" s="334">
        <v>0.39</v>
      </c>
      <c r="MJ103" s="334">
        <v>116.553</v>
      </c>
      <c r="MK103" s="334">
        <v>22.875</v>
      </c>
      <c r="ML103" s="334">
        <v>0.39</v>
      </c>
      <c r="MM103" s="334">
        <v>116.553</v>
      </c>
      <c r="MN103" s="334">
        <v>23.75</v>
      </c>
      <c r="MO103" s="334">
        <v>0.39</v>
      </c>
      <c r="MP103" s="334">
        <v>116.553</v>
      </c>
      <c r="MQ103" s="334">
        <v>23.125</v>
      </c>
      <c r="MR103" s="334">
        <v>0.39</v>
      </c>
      <c r="MS103" s="334">
        <v>116.553</v>
      </c>
      <c r="MT103" s="334">
        <v>20.75</v>
      </c>
      <c r="MU103" s="334">
        <v>0.39</v>
      </c>
      <c r="MV103" s="334">
        <v>116.553</v>
      </c>
      <c r="MW103" s="334">
        <v>20.75</v>
      </c>
      <c r="MX103" s="334">
        <v>0.39</v>
      </c>
      <c r="MY103" s="334">
        <v>116.447</v>
      </c>
      <c r="MZ103" s="334">
        <v>19.25</v>
      </c>
      <c r="NA103" s="334">
        <v>0.38</v>
      </c>
      <c r="NB103" s="334">
        <v>116.447</v>
      </c>
      <c r="NC103" s="334">
        <v>19.125</v>
      </c>
      <c r="ND103" s="334">
        <v>0.38</v>
      </c>
      <c r="NE103" s="334">
        <v>116.447</v>
      </c>
      <c r="NF103" s="334">
        <v>18.5</v>
      </c>
      <c r="NG103" s="334">
        <v>0.38</v>
      </c>
      <c r="NH103" s="334">
        <v>116.33499999999999</v>
      </c>
      <c r="NI103" s="334">
        <v>22.125</v>
      </c>
      <c r="NJ103" s="334">
        <v>0.38</v>
      </c>
      <c r="NK103" s="334">
        <v>116.33499999999999</v>
      </c>
      <c r="NL103" s="334">
        <v>24.875</v>
      </c>
      <c r="NM103" s="334">
        <v>0.37</v>
      </c>
      <c r="NN103" s="334">
        <v>116.33499999999999</v>
      </c>
      <c r="NO103" s="334">
        <v>27</v>
      </c>
      <c r="NP103" s="334">
        <v>0.37</v>
      </c>
      <c r="NQ103" s="334">
        <v>115.908</v>
      </c>
      <c r="NR103" s="334">
        <v>25.5</v>
      </c>
      <c r="NS103" s="334">
        <v>0.37</v>
      </c>
      <c r="NT103" s="334">
        <v>115.45</v>
      </c>
      <c r="NU103" s="334">
        <v>26.25</v>
      </c>
      <c r="NV103" s="334">
        <v>0.37</v>
      </c>
      <c r="NW103" s="334">
        <v>113.47199999999999</v>
      </c>
      <c r="NX103" s="334">
        <v>24</v>
      </c>
      <c r="NY103" s="334">
        <v>0.36</v>
      </c>
      <c r="NZ103" s="334">
        <v>113.47199999999999</v>
      </c>
      <c r="OA103" s="334">
        <v>24.5</v>
      </c>
      <c r="OB103" s="334">
        <v>0.36</v>
      </c>
      <c r="OC103" s="334">
        <v>113.13800000000001</v>
      </c>
      <c r="OD103" s="334">
        <v>23.5</v>
      </c>
      <c r="OE103" s="334">
        <v>0.36</v>
      </c>
      <c r="OF103" s="334">
        <v>112.8</v>
      </c>
      <c r="OG103" s="334">
        <v>21.94</v>
      </c>
      <c r="OH103" s="334">
        <v>0.35</v>
      </c>
      <c r="OI103" s="334">
        <v>111.988</v>
      </c>
      <c r="OJ103" s="334">
        <v>22.56</v>
      </c>
      <c r="OK103" s="334">
        <v>0.35</v>
      </c>
      <c r="OL103" s="334">
        <v>111.884</v>
      </c>
      <c r="OM103" s="334">
        <v>20.75</v>
      </c>
      <c r="ON103" s="334">
        <v>0.35</v>
      </c>
      <c r="OO103" s="334">
        <v>111.886</v>
      </c>
      <c r="OP103" s="334">
        <v>18.690000000000001</v>
      </c>
      <c r="OQ103" s="334">
        <v>0.34</v>
      </c>
      <c r="OR103" s="334">
        <v>111.88800000000001</v>
      </c>
      <c r="OS103" s="334">
        <v>21.94</v>
      </c>
      <c r="OT103" s="334">
        <v>0.34</v>
      </c>
      <c r="OU103" s="334">
        <v>111.842</v>
      </c>
      <c r="OV103" s="334">
        <v>22.44</v>
      </c>
    </row>
    <row r="104" spans="1:412">
      <c r="A104" s="294" t="s">
        <v>25</v>
      </c>
      <c r="B104" s="335" t="s">
        <v>154</v>
      </c>
      <c r="C104" s="335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40"/>
      <c r="S104" s="340"/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I104" s="340"/>
      <c r="AJ104" s="340"/>
      <c r="AK104" s="340"/>
      <c r="AL104" s="340"/>
      <c r="AM104" s="340"/>
      <c r="AN104" s="340"/>
      <c r="AO104" s="340"/>
      <c r="AP104" s="340"/>
      <c r="AQ104" s="340"/>
      <c r="AR104" s="340"/>
      <c r="AS104" s="340"/>
      <c r="AT104" s="340"/>
      <c r="AU104" s="340"/>
      <c r="AV104" s="340"/>
      <c r="AW104" s="340"/>
      <c r="AX104" s="340"/>
      <c r="AY104" s="503"/>
      <c r="AZ104" s="503"/>
      <c r="BA104" s="503"/>
      <c r="BB104" s="503"/>
      <c r="BC104" s="503"/>
      <c r="BD104" s="503"/>
      <c r="BE104" s="503"/>
      <c r="BF104" s="503"/>
      <c r="BG104" s="503"/>
      <c r="BH104" s="503"/>
      <c r="BI104" s="503"/>
      <c r="BJ104" s="503"/>
      <c r="BK104" s="503"/>
      <c r="BL104" s="503"/>
      <c r="BM104" s="503"/>
      <c r="BN104" s="503"/>
      <c r="BO104" s="503"/>
      <c r="BP104" s="503"/>
      <c r="BQ104" s="504"/>
      <c r="BR104" s="504"/>
      <c r="BS104" s="504"/>
      <c r="BT104" s="504"/>
      <c r="BU104" s="504"/>
      <c r="BV104" s="504"/>
      <c r="BW104" s="504">
        <v>143</v>
      </c>
      <c r="BX104" s="504">
        <v>47.78</v>
      </c>
      <c r="BY104" s="504">
        <v>0.1237</v>
      </c>
      <c r="BZ104" s="504">
        <v>143</v>
      </c>
      <c r="CA104" s="504">
        <v>38.89</v>
      </c>
      <c r="CB104" s="504">
        <v>0.1237</v>
      </c>
      <c r="CC104" s="503">
        <v>143</v>
      </c>
      <c r="CD104" s="503">
        <v>38.520000000000003</v>
      </c>
      <c r="CE104" s="520">
        <v>0.1237</v>
      </c>
      <c r="CF104" s="503">
        <v>143</v>
      </c>
      <c r="CG104" s="503">
        <v>37.549999999999997</v>
      </c>
      <c r="CH104" s="503">
        <v>0.61250000000000004</v>
      </c>
      <c r="CI104" s="503">
        <v>143</v>
      </c>
      <c r="CJ104" s="503">
        <v>39.78</v>
      </c>
      <c r="CK104" s="503">
        <v>0.61250000000000004</v>
      </c>
      <c r="CL104" s="503">
        <v>142.9</v>
      </c>
      <c r="CM104" s="503">
        <v>48.49</v>
      </c>
      <c r="CN104" s="503">
        <v>0.61250000000000004</v>
      </c>
      <c r="CO104" s="503">
        <v>142.9</v>
      </c>
      <c r="CP104" s="503">
        <v>67.010000000000005</v>
      </c>
      <c r="CQ104" s="503">
        <v>0.61250000000000004</v>
      </c>
      <c r="CR104" s="504">
        <v>142.9</v>
      </c>
      <c r="CS104" s="504">
        <v>65.349999999999994</v>
      </c>
      <c r="CT104" s="514">
        <v>0.61250000000000004</v>
      </c>
      <c r="CU104" s="503">
        <v>142.9</v>
      </c>
      <c r="CV104" s="503">
        <v>73.28</v>
      </c>
      <c r="CW104" s="503">
        <v>0.57499999999999996</v>
      </c>
      <c r="CX104" s="339">
        <v>142.9</v>
      </c>
      <c r="CY104" s="339">
        <v>72.37</v>
      </c>
      <c r="CZ104" s="339">
        <v>0.57499999999999996</v>
      </c>
      <c r="DA104" s="339">
        <v>142.9</v>
      </c>
      <c r="DB104" s="339">
        <v>75.66</v>
      </c>
      <c r="DC104" s="339">
        <v>0.57499999999999996</v>
      </c>
      <c r="DD104" s="339">
        <v>142.9</v>
      </c>
      <c r="DE104" s="339">
        <v>70.150000000000006</v>
      </c>
      <c r="DF104" s="511">
        <v>0.57499999999999996</v>
      </c>
      <c r="DG104" s="339">
        <v>142.9</v>
      </c>
      <c r="DH104" s="339">
        <v>60.49</v>
      </c>
      <c r="DI104" s="339">
        <v>0.54500000000000004</v>
      </c>
      <c r="DJ104" s="339">
        <v>142.9</v>
      </c>
      <c r="DK104" s="339">
        <v>56.26</v>
      </c>
      <c r="DL104" s="339">
        <v>0.54500000000000004</v>
      </c>
      <c r="DM104" s="339">
        <v>142.9</v>
      </c>
      <c r="DN104" s="339">
        <v>50.65</v>
      </c>
      <c r="DO104" s="339">
        <v>0.54500000000000004</v>
      </c>
      <c r="DP104" s="340">
        <v>142.6</v>
      </c>
      <c r="DQ104" s="340">
        <v>54.99</v>
      </c>
      <c r="DR104" s="515">
        <v>0.54500000000000004</v>
      </c>
      <c r="DS104" s="339">
        <v>142.1</v>
      </c>
      <c r="DT104" s="339">
        <v>60.4</v>
      </c>
      <c r="DU104" s="339">
        <v>0.52500000000000002</v>
      </c>
      <c r="DV104" s="339">
        <v>141.69999999999999</v>
      </c>
      <c r="DW104" s="339">
        <v>49.61</v>
      </c>
      <c r="DX104" s="339">
        <v>0.52500000000000002</v>
      </c>
      <c r="DY104" s="339">
        <v>141.1</v>
      </c>
      <c r="DZ104" s="339">
        <v>53.81</v>
      </c>
      <c r="EA104" s="339">
        <v>0.52500000000000002</v>
      </c>
      <c r="EB104" s="340">
        <v>138.69999999999999</v>
      </c>
      <c r="EC104" s="340">
        <v>51.32</v>
      </c>
      <c r="ED104" s="515">
        <v>0.52500000000000002</v>
      </c>
      <c r="EE104" s="339">
        <v>140.1</v>
      </c>
      <c r="EF104" s="339">
        <v>46.93</v>
      </c>
      <c r="EG104" s="339">
        <v>0.50749999999999995</v>
      </c>
      <c r="EH104" s="339">
        <v>139.6</v>
      </c>
      <c r="EI104" s="339">
        <v>46.04</v>
      </c>
      <c r="EJ104" s="339">
        <v>0.50749999999999995</v>
      </c>
      <c r="EK104" s="339">
        <v>134.4</v>
      </c>
      <c r="EL104" s="339">
        <v>49.1</v>
      </c>
      <c r="EM104" s="339">
        <v>0.50749999999999995</v>
      </c>
      <c r="EN104" s="340">
        <v>131.1</v>
      </c>
      <c r="EO104" s="340">
        <v>51.16</v>
      </c>
      <c r="EP104" s="515">
        <v>0.50749999999999995</v>
      </c>
      <c r="EQ104" s="339">
        <v>131.4</v>
      </c>
      <c r="ER104" s="339">
        <v>45.64</v>
      </c>
      <c r="ES104" s="339">
        <v>0.495</v>
      </c>
      <c r="ET104" s="339">
        <v>130.9</v>
      </c>
      <c r="EU104" s="339">
        <v>48.27</v>
      </c>
      <c r="EV104" s="339">
        <v>0.495</v>
      </c>
      <c r="EW104" s="339">
        <v>130.30000000000001</v>
      </c>
      <c r="EX104" s="339">
        <v>47.83</v>
      </c>
      <c r="EY104" s="339">
        <v>0.495</v>
      </c>
      <c r="EZ104" s="340">
        <v>128.80000000000001</v>
      </c>
      <c r="FA104" s="340">
        <v>45.61</v>
      </c>
      <c r="FB104" s="515">
        <v>0.495</v>
      </c>
      <c r="FC104" s="339">
        <v>129.1</v>
      </c>
      <c r="FD104" s="339">
        <v>45.06</v>
      </c>
      <c r="FE104" s="339">
        <v>0.48499999999999999</v>
      </c>
      <c r="FF104" s="339">
        <v>128.5</v>
      </c>
      <c r="FG104" s="339">
        <v>40.450000000000003</v>
      </c>
      <c r="FH104" s="339">
        <v>0.48499999999999999</v>
      </c>
      <c r="FI104" s="339">
        <v>127.9</v>
      </c>
      <c r="FJ104" s="339">
        <v>39.36</v>
      </c>
      <c r="FK104" s="339">
        <v>0.48499999999999999</v>
      </c>
      <c r="FL104" s="339">
        <v>127.2</v>
      </c>
      <c r="FM104" s="339">
        <v>39.369999999999997</v>
      </c>
      <c r="FN104" s="511">
        <v>0.48499999999999999</v>
      </c>
      <c r="FO104" s="339">
        <v>126.6</v>
      </c>
      <c r="FP104" s="339">
        <v>40.6</v>
      </c>
      <c r="FQ104" s="339">
        <v>0.47499999999999998</v>
      </c>
      <c r="FR104" s="339">
        <v>125.2</v>
      </c>
      <c r="FS104" s="339">
        <v>40.32</v>
      </c>
      <c r="FT104" s="339">
        <v>0.47499999999999998</v>
      </c>
      <c r="FU104" s="339">
        <v>123.8</v>
      </c>
      <c r="FV104" s="339">
        <v>35.76</v>
      </c>
      <c r="FW104" s="339">
        <v>0.47499999999999998</v>
      </c>
      <c r="FX104" s="339">
        <v>123.2</v>
      </c>
      <c r="FY104" s="339">
        <v>37.590000000000003</v>
      </c>
      <c r="FZ104" s="339">
        <v>0.47499999999999998</v>
      </c>
      <c r="GA104" s="339">
        <v>122.5</v>
      </c>
      <c r="GB104" s="339">
        <v>37.68</v>
      </c>
      <c r="GC104" s="339">
        <v>0.47</v>
      </c>
      <c r="GD104" s="339">
        <v>121.8</v>
      </c>
      <c r="GE104" s="339">
        <v>34.9</v>
      </c>
      <c r="GF104" s="339">
        <v>0.47</v>
      </c>
      <c r="GG104" s="339">
        <v>120.9</v>
      </c>
      <c r="GH104" s="339">
        <v>32.47</v>
      </c>
      <c r="GI104" s="339">
        <v>0.47</v>
      </c>
      <c r="GJ104" s="339">
        <v>117.6</v>
      </c>
      <c r="GK104" s="339">
        <v>30.89</v>
      </c>
      <c r="GL104" s="339">
        <v>0.47</v>
      </c>
      <c r="GM104" s="339">
        <v>117.1</v>
      </c>
      <c r="GN104" s="339">
        <v>35.6</v>
      </c>
      <c r="GO104" s="339">
        <v>0.46</v>
      </c>
      <c r="GP104" s="339">
        <v>116.7</v>
      </c>
      <c r="GQ104" s="339">
        <v>38.93</v>
      </c>
      <c r="GR104" s="339">
        <v>0.46</v>
      </c>
      <c r="GS104" s="339">
        <v>116.7</v>
      </c>
      <c r="GT104" s="339">
        <v>37</v>
      </c>
      <c r="GU104" s="339">
        <v>0.46</v>
      </c>
      <c r="GV104" s="339">
        <v>116.7</v>
      </c>
      <c r="GW104" s="339">
        <v>36.58</v>
      </c>
      <c r="GX104" s="339">
        <v>0.46</v>
      </c>
      <c r="GY104" s="339">
        <v>116.7</v>
      </c>
      <c r="GZ104" s="339">
        <v>42.15</v>
      </c>
      <c r="HA104" s="339">
        <v>0.44</v>
      </c>
      <c r="HB104" s="339">
        <v>116.7</v>
      </c>
      <c r="HC104" s="339">
        <v>38.74</v>
      </c>
      <c r="HD104" s="339">
        <v>0.44</v>
      </c>
      <c r="HE104" s="339">
        <v>116.7</v>
      </c>
      <c r="HF104" s="339">
        <v>38.29</v>
      </c>
      <c r="HG104" s="339">
        <v>0.44</v>
      </c>
      <c r="HH104" s="339">
        <v>115.8</v>
      </c>
      <c r="HI104" s="505">
        <v>43.17</v>
      </c>
      <c r="HJ104" s="339">
        <v>0.44</v>
      </c>
      <c r="HK104" s="339">
        <v>116.1</v>
      </c>
      <c r="HL104" s="339">
        <v>40.619999999999997</v>
      </c>
      <c r="HM104" s="339">
        <v>0.42</v>
      </c>
      <c r="HN104" s="339">
        <v>115.5</v>
      </c>
      <c r="HO104" s="339">
        <v>40.270000000000003</v>
      </c>
      <c r="HP104" s="339">
        <v>0.42</v>
      </c>
      <c r="HQ104" s="339">
        <v>115</v>
      </c>
      <c r="HR104" s="339">
        <v>38.58</v>
      </c>
      <c r="HS104" s="339">
        <v>0.42</v>
      </c>
      <c r="HT104" s="339">
        <v>114.5</v>
      </c>
      <c r="HU104" s="339">
        <v>39.24</v>
      </c>
      <c r="HV104" s="339">
        <v>0.42</v>
      </c>
      <c r="HW104" s="339">
        <v>114.1</v>
      </c>
      <c r="HX104" s="506">
        <v>39.380000000000003</v>
      </c>
      <c r="HY104" s="513">
        <f>1.56/4</f>
        <v>0.39</v>
      </c>
      <c r="HZ104" s="339">
        <v>113.6</v>
      </c>
      <c r="IA104" s="339">
        <v>42.24</v>
      </c>
      <c r="IB104" s="339">
        <v>0.39</v>
      </c>
      <c r="IC104" s="339">
        <v>112.9</v>
      </c>
      <c r="ID104" s="339">
        <v>42.71</v>
      </c>
      <c r="IE104" s="339">
        <v>0.39</v>
      </c>
      <c r="IF104" s="339">
        <v>111.8</v>
      </c>
      <c r="IG104" s="339">
        <v>38.22</v>
      </c>
      <c r="IH104" s="339">
        <v>0.39</v>
      </c>
      <c r="II104" s="339">
        <v>111.8</v>
      </c>
      <c r="IJ104" s="505">
        <v>39.4</v>
      </c>
      <c r="IK104" s="339">
        <v>0.36499999999999999</v>
      </c>
      <c r="IL104" s="339">
        <v>111.2</v>
      </c>
      <c r="IM104" s="339">
        <v>37.340000000000003</v>
      </c>
      <c r="IN104" s="339">
        <v>0.36499999999999999</v>
      </c>
      <c r="IO104" s="339">
        <v>110.9</v>
      </c>
      <c r="IP104" s="339">
        <v>36.369999999999997</v>
      </c>
      <c r="IQ104" s="339">
        <v>0.36499999999999999</v>
      </c>
      <c r="IR104" s="339">
        <v>110.8</v>
      </c>
      <c r="IS104" s="339">
        <v>35.35</v>
      </c>
      <c r="IT104" s="339">
        <v>0.36499999999999999</v>
      </c>
      <c r="IU104" s="339">
        <v>110.9</v>
      </c>
      <c r="IV104" s="339">
        <v>34.25</v>
      </c>
      <c r="IW104" s="339">
        <v>0.34499999999999997</v>
      </c>
      <c r="IX104" s="339">
        <v>110.8</v>
      </c>
      <c r="IY104" s="339">
        <v>34.25</v>
      </c>
      <c r="IZ104" s="339">
        <v>0.34499999999999997</v>
      </c>
      <c r="JA104" s="339">
        <v>110.8</v>
      </c>
      <c r="JB104" s="339">
        <v>34.28</v>
      </c>
      <c r="JC104" s="339">
        <v>0.34499999999999997</v>
      </c>
      <c r="JD104" s="339">
        <v>109.8</v>
      </c>
      <c r="JE104" s="339">
        <v>29.92</v>
      </c>
      <c r="JF104" s="339">
        <v>0.34499999999999997</v>
      </c>
      <c r="JG104" s="339">
        <v>104.7</v>
      </c>
      <c r="JH104" s="339">
        <v>30.96</v>
      </c>
      <c r="JI104" s="339">
        <v>0.32500000000000001</v>
      </c>
      <c r="JJ104" s="339">
        <v>104.7</v>
      </c>
      <c r="JK104" s="339">
        <v>26.02</v>
      </c>
      <c r="JL104" s="339">
        <v>0.32500000000000001</v>
      </c>
      <c r="JM104" s="339">
        <v>104.7</v>
      </c>
      <c r="JN104" s="339">
        <v>30.87</v>
      </c>
      <c r="JO104" s="339">
        <v>0.32500000000000001</v>
      </c>
      <c r="JP104" s="339">
        <v>104.7</v>
      </c>
      <c r="JQ104" s="339">
        <v>30.6</v>
      </c>
      <c r="JR104" s="339">
        <v>0.32500000000000001</v>
      </c>
      <c r="JS104" s="339">
        <v>104.7</v>
      </c>
      <c r="JT104" s="339">
        <v>27.83</v>
      </c>
      <c r="JU104" s="339">
        <v>0.3</v>
      </c>
      <c r="JV104" s="339">
        <v>104.7</v>
      </c>
      <c r="JW104" s="339">
        <v>25.38</v>
      </c>
      <c r="JX104" s="339">
        <v>0.3</v>
      </c>
      <c r="JY104" s="339">
        <v>104.7</v>
      </c>
      <c r="JZ104" s="339">
        <v>28.4</v>
      </c>
      <c r="KA104" s="339">
        <v>0.3</v>
      </c>
      <c r="KB104" s="339">
        <v>104.7</v>
      </c>
      <c r="KC104" s="339">
        <v>27.15</v>
      </c>
      <c r="KD104" s="339">
        <v>0.3</v>
      </c>
      <c r="KE104" s="339">
        <v>104.7</v>
      </c>
      <c r="KF104" s="339">
        <v>29.5625</v>
      </c>
      <c r="KG104" s="339">
        <v>0.28749999999999998</v>
      </c>
      <c r="KH104" s="339">
        <v>104</v>
      </c>
      <c r="KI104" s="339">
        <v>30.875</v>
      </c>
      <c r="KJ104" s="339">
        <v>0.28749999999999998</v>
      </c>
      <c r="KK104" s="339">
        <v>103.7</v>
      </c>
      <c r="KL104" s="339">
        <v>24.125</v>
      </c>
      <c r="KM104" s="339">
        <v>0.28749999999999998</v>
      </c>
      <c r="KN104" s="339">
        <v>103.6</v>
      </c>
      <c r="KO104" s="339">
        <v>24.5625</v>
      </c>
      <c r="KP104" s="339">
        <v>0.28749999999999998</v>
      </c>
      <c r="KQ104" s="339">
        <v>103.6</v>
      </c>
      <c r="KR104" s="339">
        <v>26.875</v>
      </c>
      <c r="KS104" s="339">
        <v>0.27500000000000002</v>
      </c>
      <c r="KT104" s="339">
        <v>103.6</v>
      </c>
      <c r="KU104" s="339">
        <v>24.1875</v>
      </c>
      <c r="KV104" s="339">
        <v>0.27500000000000002</v>
      </c>
      <c r="KW104" s="334">
        <v>105.3</v>
      </c>
      <c r="KX104" s="334">
        <v>23.375</v>
      </c>
      <c r="KY104" s="334">
        <v>0.38500000000000001</v>
      </c>
      <c r="KZ104" s="334">
        <v>104.2</v>
      </c>
      <c r="LA104" s="334">
        <v>21.6875</v>
      </c>
      <c r="LB104" s="334">
        <v>0.38500000000000001</v>
      </c>
      <c r="LC104" s="334">
        <v>104.2</v>
      </c>
      <c r="LD104" s="334">
        <v>32.25</v>
      </c>
      <c r="LE104" s="334">
        <v>0.38500000000000001</v>
      </c>
      <c r="LF104" s="334">
        <v>107.32</v>
      </c>
      <c r="LG104" s="334">
        <v>33.563000000000002</v>
      </c>
      <c r="LH104" s="334">
        <v>0.38500000000000001</v>
      </c>
      <c r="LI104" s="334">
        <v>107.32</v>
      </c>
      <c r="LJ104" s="334">
        <v>29.812999999999999</v>
      </c>
      <c r="LK104" s="334">
        <v>0.38500000000000001</v>
      </c>
      <c r="LL104" s="334">
        <v>107.32</v>
      </c>
      <c r="LM104" s="334">
        <v>30.9375</v>
      </c>
      <c r="LN104" s="334">
        <v>0.3775</v>
      </c>
      <c r="LO104" s="334">
        <v>107.321</v>
      </c>
      <c r="LP104" s="334">
        <v>29.9375</v>
      </c>
      <c r="LQ104" s="334">
        <v>0.3775</v>
      </c>
      <c r="LR104" s="334">
        <v>106.623</v>
      </c>
      <c r="LS104" s="334">
        <v>25.0625</v>
      </c>
      <c r="LT104" s="334">
        <v>0.3775</v>
      </c>
      <c r="LU104" s="334">
        <v>106.623</v>
      </c>
      <c r="LV104" s="334">
        <v>24.812999999999999</v>
      </c>
      <c r="LW104" s="334">
        <v>0.3775</v>
      </c>
      <c r="LX104" s="334">
        <v>105.447</v>
      </c>
      <c r="LY104" s="334">
        <v>25.375</v>
      </c>
      <c r="LZ104" s="334">
        <v>0.3775</v>
      </c>
      <c r="MA104" s="334">
        <v>105.447</v>
      </c>
      <c r="MB104" s="334">
        <v>26.75</v>
      </c>
      <c r="MC104" s="334">
        <v>0.36749999999999999</v>
      </c>
      <c r="MD104" s="334">
        <v>96.632999999999996</v>
      </c>
      <c r="ME104" s="334">
        <v>26.25</v>
      </c>
      <c r="MF104" s="334">
        <v>0.36749999999999999</v>
      </c>
      <c r="MG104" s="334">
        <v>96.632999999999996</v>
      </c>
      <c r="MH104" s="334">
        <v>28.125</v>
      </c>
      <c r="MI104" s="334">
        <v>0.36749999999999999</v>
      </c>
      <c r="MJ104" s="334">
        <v>96.632999999999996</v>
      </c>
      <c r="MK104" s="334">
        <v>27.5</v>
      </c>
      <c r="ML104" s="334">
        <v>0.36749999999999999</v>
      </c>
      <c r="MM104" s="334">
        <v>96.632999999999996</v>
      </c>
      <c r="MN104" s="334">
        <v>28.625</v>
      </c>
      <c r="MO104" s="334">
        <v>0.36</v>
      </c>
      <c r="MP104" s="334">
        <v>96.632999999999996</v>
      </c>
      <c r="MQ104" s="334">
        <v>24</v>
      </c>
      <c r="MR104" s="334">
        <v>0.36</v>
      </c>
      <c r="MS104" s="334">
        <v>96.632999999999996</v>
      </c>
      <c r="MT104" s="334">
        <v>22.375</v>
      </c>
      <c r="MU104" s="334">
        <v>0.36</v>
      </c>
      <c r="MV104" s="334">
        <v>96.632999999999996</v>
      </c>
      <c r="MW104" s="334">
        <v>20.875</v>
      </c>
      <c r="MX104" s="334">
        <v>0.35249999999999998</v>
      </c>
      <c r="MY104" s="334">
        <v>93.128</v>
      </c>
      <c r="MZ104" s="334">
        <v>21.0625</v>
      </c>
      <c r="NA104" s="334">
        <v>0.35249999999999998</v>
      </c>
      <c r="NB104" s="334">
        <v>93.128</v>
      </c>
      <c r="NC104" s="334">
        <v>22.1875</v>
      </c>
      <c r="ND104" s="334">
        <v>0.35249999999999998</v>
      </c>
      <c r="NE104" s="334">
        <v>93.128</v>
      </c>
      <c r="NF104" s="334">
        <v>21.4375</v>
      </c>
      <c r="NG104" s="334">
        <v>0.35249999999999998</v>
      </c>
      <c r="NH104" s="334">
        <v>91.421999999999997</v>
      </c>
      <c r="NI104" s="334">
        <v>22.8125</v>
      </c>
      <c r="NJ104" s="334">
        <v>0.35249999999999998</v>
      </c>
      <c r="NK104" s="334">
        <v>91.421999999999997</v>
      </c>
      <c r="NL104" s="334">
        <v>24.875</v>
      </c>
      <c r="NM104" s="334">
        <v>0.34250000000000003</v>
      </c>
      <c r="NN104" s="334">
        <v>91.421999999999997</v>
      </c>
      <c r="NO104" s="334">
        <v>25.375</v>
      </c>
      <c r="NP104" s="334">
        <v>0.34250000000000003</v>
      </c>
      <c r="NQ104" s="334">
        <v>88.86</v>
      </c>
      <c r="NR104" s="334">
        <v>23.9375</v>
      </c>
      <c r="NS104" s="334">
        <v>0.34250000000000003</v>
      </c>
      <c r="NT104" s="334">
        <v>88.221999999999994</v>
      </c>
      <c r="NU104" s="334">
        <v>22.875</v>
      </c>
      <c r="NV104" s="334">
        <v>0.34250000000000003</v>
      </c>
      <c r="NW104" s="334">
        <v>82.168000000000006</v>
      </c>
      <c r="NX104" s="334">
        <v>20.25</v>
      </c>
      <c r="NY104" s="334">
        <v>0.34</v>
      </c>
      <c r="NZ104" s="334">
        <v>82.168000000000006</v>
      </c>
      <c r="OA104" s="334">
        <v>21.5</v>
      </c>
      <c r="OB104" s="334">
        <v>0.34</v>
      </c>
      <c r="OC104" s="334">
        <v>81.962000000000003</v>
      </c>
      <c r="OD104" s="334">
        <v>20.25</v>
      </c>
      <c r="OE104" s="334">
        <v>0.34</v>
      </c>
      <c r="OF104" s="334">
        <v>81.760000000000005</v>
      </c>
      <c r="OG104" s="334">
        <v>19.690000000000001</v>
      </c>
      <c r="OH104" s="334">
        <v>0.33</v>
      </c>
      <c r="OI104" s="334">
        <v>80.721999999999994</v>
      </c>
      <c r="OJ104" s="334">
        <v>22.13</v>
      </c>
      <c r="OK104" s="334">
        <v>0.33</v>
      </c>
      <c r="OL104" s="334">
        <v>80.754000000000005</v>
      </c>
      <c r="OM104" s="334">
        <v>20.190000000000001</v>
      </c>
      <c r="ON104" s="334">
        <v>0.33</v>
      </c>
      <c r="OO104" s="334">
        <v>81.257999999999996</v>
      </c>
      <c r="OP104" s="334">
        <v>18.75</v>
      </c>
      <c r="OQ104" s="334">
        <v>0.33</v>
      </c>
      <c r="OR104" s="334">
        <v>81.763999999999996</v>
      </c>
      <c r="OS104" s="334">
        <v>18.38</v>
      </c>
      <c r="OT104" s="334">
        <v>0.32</v>
      </c>
      <c r="OU104" s="334">
        <v>81.763999999999996</v>
      </c>
      <c r="OV104" s="334">
        <v>17.309999999999999</v>
      </c>
    </row>
    <row r="105" spans="1:412">
      <c r="B105" s="333" t="s">
        <v>272</v>
      </c>
      <c r="C105" s="333"/>
      <c r="D105" s="333"/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Q105" s="333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504"/>
      <c r="AZ105" s="504"/>
      <c r="BA105" s="504"/>
      <c r="BB105" s="503"/>
      <c r="BC105" s="503"/>
      <c r="BD105" s="503"/>
      <c r="BE105" s="503"/>
      <c r="BF105" s="503"/>
      <c r="BG105" s="503"/>
      <c r="BH105" s="503"/>
      <c r="BI105" s="503"/>
      <c r="BJ105" s="503"/>
      <c r="BK105" s="503"/>
      <c r="BL105" s="503"/>
      <c r="BM105" s="503"/>
      <c r="BN105" s="503"/>
      <c r="BO105" s="503"/>
      <c r="BP105" s="503"/>
      <c r="BQ105" s="504"/>
      <c r="BR105" s="504"/>
      <c r="BS105" s="504"/>
      <c r="BT105" s="504"/>
      <c r="BU105" s="504"/>
      <c r="BV105" s="504"/>
      <c r="BW105" s="504"/>
      <c r="BX105" s="504"/>
      <c r="BY105" s="504"/>
      <c r="BZ105" s="503"/>
      <c r="CA105" s="503"/>
      <c r="CB105" s="503"/>
      <c r="CC105" s="503"/>
      <c r="CD105" s="503"/>
      <c r="CE105" s="503"/>
      <c r="CF105" s="503"/>
      <c r="CG105" s="503"/>
      <c r="CH105" s="503"/>
      <c r="CI105" s="503"/>
      <c r="CJ105" s="503"/>
      <c r="CK105" s="503"/>
      <c r="CL105" s="503"/>
      <c r="CM105" s="503"/>
      <c r="CN105" s="503"/>
      <c r="CO105" s="503"/>
      <c r="CP105" s="503"/>
      <c r="CQ105" s="503"/>
      <c r="CR105" s="504"/>
      <c r="CS105" s="504"/>
      <c r="CT105" s="504"/>
      <c r="CU105" s="503"/>
      <c r="CV105" s="503"/>
      <c r="CW105" s="503"/>
      <c r="CX105" s="339"/>
      <c r="CY105" s="339"/>
      <c r="CZ105" s="339"/>
      <c r="DA105" s="339"/>
      <c r="DB105" s="339"/>
      <c r="DC105" s="339"/>
      <c r="DD105" s="339"/>
      <c r="DE105" s="339"/>
      <c r="DF105" s="339"/>
      <c r="DG105" s="339"/>
      <c r="DH105" s="339"/>
      <c r="DI105" s="339"/>
      <c r="DJ105" s="339"/>
      <c r="DK105" s="339"/>
      <c r="DL105" s="339"/>
      <c r="DM105" s="339"/>
      <c r="DN105" s="339"/>
      <c r="DO105" s="339"/>
      <c r="DP105" s="339"/>
      <c r="DQ105" s="339"/>
      <c r="DR105" s="339"/>
      <c r="DS105" s="339"/>
      <c r="DT105" s="339"/>
      <c r="DU105" s="339"/>
      <c r="DV105" s="339"/>
      <c r="DW105" s="339"/>
      <c r="DX105" s="339"/>
      <c r="DY105" s="339"/>
      <c r="DZ105" s="339"/>
      <c r="EA105" s="339"/>
      <c r="EB105" s="340"/>
      <c r="EC105" s="340"/>
      <c r="ED105" s="340"/>
      <c r="EE105" s="339"/>
      <c r="EF105" s="339"/>
      <c r="EG105" s="339"/>
      <c r="EH105" s="339"/>
      <c r="EI105" s="339"/>
      <c r="EJ105" s="339"/>
      <c r="EK105" s="339"/>
      <c r="EL105" s="339"/>
      <c r="EM105" s="339"/>
      <c r="EN105" s="339"/>
      <c r="EO105" s="339"/>
      <c r="EP105" s="339"/>
      <c r="EQ105" s="339"/>
      <c r="ER105" s="339"/>
      <c r="ES105" s="339"/>
      <c r="ET105" s="339"/>
      <c r="EU105" s="339"/>
      <c r="EV105" s="339"/>
      <c r="EW105" s="339"/>
      <c r="EX105" s="339"/>
      <c r="EY105" s="339"/>
      <c r="EZ105" s="339"/>
      <c r="FA105" s="339"/>
      <c r="FB105" s="339"/>
      <c r="FC105" s="339"/>
      <c r="FD105" s="339"/>
      <c r="FE105" s="339"/>
      <c r="FF105" s="339"/>
      <c r="FG105" s="339"/>
      <c r="FH105" s="342"/>
      <c r="FI105" s="339"/>
      <c r="FJ105" s="339"/>
      <c r="FK105" s="339"/>
      <c r="FL105" s="339"/>
      <c r="FM105" s="339"/>
      <c r="FN105" s="339"/>
      <c r="FO105" s="339"/>
      <c r="FP105" s="339"/>
      <c r="FQ105" s="339"/>
      <c r="FR105" s="339"/>
      <c r="FS105" s="339"/>
      <c r="FT105" s="339"/>
      <c r="FU105" s="339"/>
      <c r="FV105" s="339"/>
      <c r="FW105" s="339"/>
      <c r="FX105" s="339"/>
      <c r="FY105" s="339"/>
      <c r="FZ105" s="339"/>
      <c r="GA105" s="339"/>
      <c r="GB105" s="339"/>
      <c r="GC105" s="339"/>
      <c r="GD105" s="339"/>
      <c r="GE105" s="339"/>
      <c r="GF105" s="339"/>
      <c r="GG105" s="339"/>
      <c r="GH105" s="339"/>
      <c r="GI105" s="339"/>
      <c r="GJ105" s="339"/>
      <c r="GK105" s="339"/>
      <c r="GL105" s="339"/>
      <c r="GM105" s="339"/>
      <c r="GN105" s="339"/>
      <c r="GO105" s="339"/>
      <c r="GP105" s="339"/>
      <c r="GQ105" s="339"/>
      <c r="GR105" s="339"/>
      <c r="GS105" s="339"/>
      <c r="GT105" s="339"/>
      <c r="GU105" s="339"/>
      <c r="GV105" s="339"/>
      <c r="GW105" s="339"/>
      <c r="GX105" s="339"/>
      <c r="GY105" s="339"/>
      <c r="GZ105" s="339"/>
      <c r="HA105" s="339"/>
      <c r="HB105" s="339"/>
      <c r="HC105" s="339"/>
      <c r="HD105" s="339"/>
      <c r="HE105" s="339"/>
      <c r="HF105" s="339"/>
      <c r="HG105" s="339"/>
      <c r="HH105" s="339"/>
      <c r="HI105" s="505"/>
      <c r="HJ105" s="339"/>
      <c r="HK105" s="339"/>
      <c r="HL105" s="339"/>
      <c r="HM105" s="339"/>
      <c r="HN105" s="339"/>
      <c r="HO105" s="339"/>
      <c r="HP105" s="339"/>
      <c r="HQ105" s="339"/>
      <c r="HR105" s="339"/>
      <c r="HS105" s="339"/>
      <c r="HT105" s="339"/>
      <c r="HU105" s="339"/>
      <c r="HV105" s="339"/>
      <c r="HW105" s="339"/>
      <c r="HX105" s="506"/>
      <c r="HY105" s="513"/>
      <c r="HZ105" s="339"/>
      <c r="IA105" s="339"/>
      <c r="IB105" s="339"/>
      <c r="IC105" s="339"/>
      <c r="ID105" s="339"/>
      <c r="IE105" s="339"/>
      <c r="IF105" s="339"/>
      <c r="IG105" s="339"/>
      <c r="IH105" s="339"/>
      <c r="II105" s="339"/>
      <c r="IJ105" s="505"/>
      <c r="IK105" s="339"/>
      <c r="IL105" s="339"/>
      <c r="IM105" s="339"/>
      <c r="IN105" s="339"/>
      <c r="IO105" s="339"/>
      <c r="IP105" s="339"/>
      <c r="IQ105" s="339"/>
      <c r="IR105" s="339"/>
      <c r="IS105" s="339"/>
      <c r="IT105" s="339"/>
      <c r="IU105" s="339"/>
      <c r="IV105" s="339"/>
      <c r="IW105" s="339"/>
      <c r="IX105" s="339"/>
      <c r="IY105" s="339"/>
      <c r="IZ105" s="342"/>
      <c r="JA105" s="339"/>
      <c r="JB105" s="339"/>
      <c r="JC105" s="339"/>
      <c r="JD105" s="339"/>
      <c r="JE105" s="339"/>
      <c r="JF105" s="339"/>
      <c r="JG105" s="339"/>
      <c r="JH105" s="339"/>
      <c r="JI105" s="339"/>
      <c r="JJ105" s="339"/>
      <c r="JK105" s="339"/>
      <c r="JL105" s="339"/>
      <c r="JM105" s="339"/>
      <c r="JN105" s="339"/>
      <c r="JO105" s="339"/>
      <c r="JP105" s="339"/>
      <c r="JQ105" s="339"/>
      <c r="JR105" s="339"/>
      <c r="JS105" s="339"/>
      <c r="JT105" s="342"/>
      <c r="JU105" s="342"/>
      <c r="JV105" s="339"/>
      <c r="JW105" s="339"/>
      <c r="JX105" s="339"/>
      <c r="JY105" s="339"/>
      <c r="JZ105" s="339"/>
      <c r="KA105" s="339"/>
      <c r="KB105" s="339"/>
      <c r="KC105" s="339"/>
      <c r="KD105" s="339"/>
      <c r="KE105" s="339"/>
      <c r="KF105" s="339"/>
      <c r="KG105" s="339"/>
      <c r="KH105" s="339"/>
      <c r="KI105" s="339"/>
      <c r="KJ105" s="339"/>
      <c r="KK105" s="339"/>
      <c r="KL105" s="339"/>
      <c r="KM105" s="339"/>
      <c r="KN105" s="339"/>
      <c r="KO105" s="339"/>
      <c r="KP105" s="339"/>
      <c r="KQ105" s="339"/>
      <c r="KR105" s="339"/>
      <c r="KS105" s="339"/>
      <c r="KT105" s="339"/>
      <c r="KU105" s="339"/>
      <c r="KV105" s="339"/>
      <c r="KW105" s="334">
        <v>30.95</v>
      </c>
      <c r="KX105" s="334">
        <v>36.375</v>
      </c>
      <c r="KY105" s="334">
        <v>0.34</v>
      </c>
      <c r="KZ105" s="334">
        <v>30.95</v>
      </c>
      <c r="LA105" s="334">
        <v>35.1875</v>
      </c>
      <c r="LB105" s="334">
        <v>0.34</v>
      </c>
      <c r="LC105" s="334">
        <v>30.95</v>
      </c>
      <c r="LD105" s="334">
        <v>38</v>
      </c>
      <c r="LE105" s="334">
        <v>0.32500000000000001</v>
      </c>
      <c r="LF105" s="334">
        <v>30.93</v>
      </c>
      <c r="LG105" s="334">
        <v>38.813000000000002</v>
      </c>
      <c r="LH105" s="334">
        <v>0.32500000000000001</v>
      </c>
      <c r="LI105" s="334">
        <v>30.93</v>
      </c>
      <c r="LJ105" s="334">
        <v>36.313000000000002</v>
      </c>
      <c r="LK105" s="334">
        <v>0.32500000000000001</v>
      </c>
      <c r="LL105" s="334">
        <v>30.89</v>
      </c>
      <c r="LM105" s="334">
        <v>37.5625</v>
      </c>
      <c r="LN105" s="334">
        <v>0.31</v>
      </c>
      <c r="LO105" s="334">
        <v>30.890999999999998</v>
      </c>
      <c r="LP105" s="334">
        <v>37.5</v>
      </c>
      <c r="LQ105" s="334">
        <v>0.31</v>
      </c>
      <c r="LR105" s="334">
        <v>30.495000000000001</v>
      </c>
      <c r="LS105" s="334">
        <v>32.0625</v>
      </c>
      <c r="LT105" s="334">
        <v>0.31</v>
      </c>
      <c r="LU105" s="334">
        <v>30.495000000000001</v>
      </c>
      <c r="LV105" s="334">
        <v>32</v>
      </c>
      <c r="LW105" s="334">
        <v>0.31</v>
      </c>
      <c r="LX105" s="334">
        <v>30.690999999999999</v>
      </c>
      <c r="LY105" s="334">
        <v>29.375</v>
      </c>
      <c r="LZ105" s="334">
        <v>0.31</v>
      </c>
      <c r="MA105" s="334">
        <v>30.690999999999999</v>
      </c>
      <c r="MB105" s="334">
        <v>28.75</v>
      </c>
      <c r="MC105" s="334">
        <v>0.29499999999999998</v>
      </c>
      <c r="MD105" s="334">
        <v>26.503</v>
      </c>
      <c r="ME105" s="334">
        <v>25.875</v>
      </c>
      <c r="MF105" s="334">
        <v>0.29499999999999998</v>
      </c>
      <c r="MG105" s="334">
        <v>26.503</v>
      </c>
      <c r="MH105" s="334">
        <v>25.375</v>
      </c>
      <c r="MI105" s="334">
        <v>0.29499999999999998</v>
      </c>
      <c r="MJ105" s="334">
        <v>26.503</v>
      </c>
      <c r="MK105" s="334">
        <v>25.125</v>
      </c>
      <c r="ML105" s="334">
        <v>0.29499999999999998</v>
      </c>
      <c r="MM105" s="334">
        <v>26.503</v>
      </c>
      <c r="MN105" s="334">
        <v>23.375</v>
      </c>
      <c r="MO105" s="334">
        <v>0.28000000000000003</v>
      </c>
      <c r="MP105" s="334">
        <v>26.503</v>
      </c>
      <c r="MQ105" s="334">
        <v>22.875</v>
      </c>
      <c r="MR105" s="334">
        <v>0.28000000000000003</v>
      </c>
      <c r="MS105" s="334">
        <v>26.503</v>
      </c>
      <c r="MT105" s="334">
        <v>21.75</v>
      </c>
      <c r="MU105" s="334">
        <v>0.28000000000000003</v>
      </c>
      <c r="MV105" s="334">
        <v>26.503</v>
      </c>
      <c r="MW105" s="334">
        <v>19.75</v>
      </c>
      <c r="MX105" s="334">
        <v>0.28000000000000003</v>
      </c>
      <c r="MY105" s="334">
        <v>26.503</v>
      </c>
      <c r="MZ105" s="334">
        <v>18.75</v>
      </c>
      <c r="NA105" s="334">
        <v>0.28000000000000003</v>
      </c>
      <c r="NB105" s="334">
        <v>26.503</v>
      </c>
      <c r="NC105" s="334">
        <v>19.75</v>
      </c>
      <c r="ND105" s="334">
        <v>0.28000000000000003</v>
      </c>
      <c r="NE105" s="334">
        <v>26.503</v>
      </c>
      <c r="NF105" s="334">
        <v>18.75</v>
      </c>
      <c r="NG105" s="334">
        <v>0.28000000000000003</v>
      </c>
      <c r="NH105" s="334">
        <v>26.503</v>
      </c>
      <c r="NI105" s="334">
        <v>18.5</v>
      </c>
      <c r="NJ105" s="334">
        <v>0.28000000000000003</v>
      </c>
      <c r="NK105" s="334">
        <v>26.503</v>
      </c>
      <c r="NL105" s="334">
        <v>20.5</v>
      </c>
      <c r="NM105" s="334">
        <v>0.28000000000000003</v>
      </c>
      <c r="NN105" s="334">
        <v>26.503</v>
      </c>
      <c r="NO105" s="334">
        <v>21.625</v>
      </c>
      <c r="NP105" s="334">
        <v>0.28000000000000003</v>
      </c>
      <c r="NQ105" s="334">
        <v>26.084</v>
      </c>
      <c r="NR105" s="334">
        <v>21.625</v>
      </c>
      <c r="NS105" s="334">
        <v>0.28000000000000003</v>
      </c>
      <c r="NT105" s="334">
        <v>25.99</v>
      </c>
      <c r="NU105" s="334">
        <v>21.375</v>
      </c>
      <c r="NV105" s="334">
        <v>0.28000000000000003</v>
      </c>
      <c r="NW105" s="334">
        <v>25.645</v>
      </c>
      <c r="NX105" s="334">
        <v>20.38</v>
      </c>
      <c r="NY105" s="334">
        <v>0.28000000000000003</v>
      </c>
      <c r="NZ105" s="334">
        <v>25.645</v>
      </c>
      <c r="OA105" s="334">
        <v>19.13</v>
      </c>
      <c r="OB105" s="334">
        <v>0.28000000000000003</v>
      </c>
      <c r="OC105" s="334">
        <v>25.57</v>
      </c>
      <c r="OD105" s="334">
        <v>23.13</v>
      </c>
      <c r="OE105" s="334">
        <v>0.46</v>
      </c>
      <c r="OF105" s="334">
        <v>25.492000000000001</v>
      </c>
      <c r="OG105" s="334">
        <v>23</v>
      </c>
      <c r="OH105" s="334">
        <v>0.46</v>
      </c>
      <c r="OI105" s="334">
        <v>23.975999999999999</v>
      </c>
      <c r="OJ105" s="334">
        <v>23.88</v>
      </c>
      <c r="OK105" s="334">
        <v>0.46</v>
      </c>
      <c r="OL105" s="334">
        <v>23.515999999999998</v>
      </c>
      <c r="OM105" s="334">
        <v>23.88</v>
      </c>
      <c r="ON105" s="334">
        <v>0.46</v>
      </c>
      <c r="OO105" s="334">
        <v>23.045000000000002</v>
      </c>
      <c r="OP105" s="334">
        <v>22.38</v>
      </c>
      <c r="OQ105" s="334">
        <v>0.46</v>
      </c>
      <c r="OR105" s="334">
        <v>22.978999999999999</v>
      </c>
      <c r="OS105" s="334">
        <v>22.25</v>
      </c>
      <c r="OT105" s="334">
        <v>0.46</v>
      </c>
      <c r="OU105" s="334">
        <v>22.649000000000001</v>
      </c>
      <c r="OV105" s="334">
        <v>22.38</v>
      </c>
    </row>
    <row r="106" spans="1:412" ht="13.5" thickBot="1">
      <c r="A106" s="294" t="s">
        <v>37</v>
      </c>
      <c r="B106" s="335" t="s">
        <v>155</v>
      </c>
      <c r="C106" s="335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40"/>
      <c r="S106" s="340"/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I106" s="340"/>
      <c r="AJ106" s="340"/>
      <c r="AK106" s="340"/>
      <c r="AL106" s="340"/>
      <c r="AM106" s="340"/>
      <c r="AN106" s="340"/>
      <c r="AO106" s="340"/>
      <c r="AP106" s="340"/>
      <c r="AQ106" s="340"/>
      <c r="AR106" s="340"/>
      <c r="AS106" s="340"/>
      <c r="AT106" s="340"/>
      <c r="AU106" s="340"/>
      <c r="AV106" s="340"/>
      <c r="AW106" s="340"/>
      <c r="AX106" s="340"/>
      <c r="AY106" s="504"/>
      <c r="AZ106" s="504"/>
      <c r="BA106" s="504"/>
      <c r="BB106" s="503"/>
      <c r="BC106" s="503"/>
      <c r="BD106" s="503"/>
      <c r="BE106" s="503"/>
      <c r="BF106" s="503"/>
      <c r="BG106" s="503"/>
      <c r="BH106" s="503"/>
      <c r="BI106" s="503"/>
      <c r="BJ106" s="503"/>
      <c r="BK106" s="503"/>
      <c r="BL106" s="503"/>
      <c r="BM106" s="503"/>
      <c r="BN106" s="503"/>
      <c r="BO106" s="503"/>
      <c r="BP106" s="503"/>
      <c r="BQ106" s="504"/>
      <c r="BR106" s="504"/>
      <c r="BS106" s="504"/>
      <c r="BT106" s="504"/>
      <c r="BU106" s="504"/>
      <c r="BV106" s="504"/>
      <c r="BW106" s="504">
        <v>83.1</v>
      </c>
      <c r="BX106" s="504">
        <v>71.98</v>
      </c>
      <c r="BY106" s="507">
        <v>0.48</v>
      </c>
      <c r="BZ106" s="504">
        <v>83.1</v>
      </c>
      <c r="CA106" s="504">
        <v>71.489999999999995</v>
      </c>
      <c r="CB106" s="504">
        <v>0.45</v>
      </c>
      <c r="CC106" s="503">
        <v>83.1</v>
      </c>
      <c r="CD106" s="503">
        <v>71.45</v>
      </c>
      <c r="CE106" s="503">
        <v>0.45</v>
      </c>
      <c r="CF106" s="503">
        <v>83</v>
      </c>
      <c r="CG106" s="503">
        <v>63.92</v>
      </c>
      <c r="CH106" s="503">
        <v>0.45</v>
      </c>
      <c r="CI106" s="503">
        <v>83</v>
      </c>
      <c r="CJ106" s="503">
        <v>65.02</v>
      </c>
      <c r="CK106" s="508">
        <v>0.45</v>
      </c>
      <c r="CL106" s="503">
        <v>82.9</v>
      </c>
      <c r="CM106" s="503">
        <v>65.77</v>
      </c>
      <c r="CN106" s="503">
        <v>0.42</v>
      </c>
      <c r="CO106" s="503">
        <v>82.9</v>
      </c>
      <c r="CP106" s="503">
        <v>58.44</v>
      </c>
      <c r="CQ106" s="503">
        <v>0.42</v>
      </c>
      <c r="CR106" s="504">
        <v>82.8</v>
      </c>
      <c r="CS106" s="504">
        <v>58.61</v>
      </c>
      <c r="CT106" s="504">
        <v>0.42</v>
      </c>
      <c r="CU106" s="503">
        <v>82.8</v>
      </c>
      <c r="CV106" s="503">
        <v>52.15</v>
      </c>
      <c r="CW106" s="509">
        <v>0.42</v>
      </c>
      <c r="CX106" s="339">
        <v>82.8</v>
      </c>
      <c r="CY106" s="339">
        <v>50.2</v>
      </c>
      <c r="CZ106" s="339">
        <v>0.4</v>
      </c>
      <c r="DA106" s="339">
        <v>82.8</v>
      </c>
      <c r="DB106" s="339">
        <v>52.67</v>
      </c>
      <c r="DC106" s="339">
        <v>0.4</v>
      </c>
      <c r="DD106" s="339">
        <v>82.7</v>
      </c>
      <c r="DE106" s="339">
        <v>50.56</v>
      </c>
      <c r="DF106" s="339">
        <v>0.4</v>
      </c>
      <c r="DG106" s="339">
        <v>82.7</v>
      </c>
      <c r="DH106" s="339">
        <v>42.42</v>
      </c>
      <c r="DI106" s="339">
        <v>0.4</v>
      </c>
      <c r="DJ106" s="339">
        <v>82.6</v>
      </c>
      <c r="DK106" s="339">
        <v>42.01</v>
      </c>
      <c r="DL106" s="339">
        <v>0.38</v>
      </c>
      <c r="DM106" s="339">
        <v>82.6</v>
      </c>
      <c r="DN106" s="339">
        <v>38.479999999999997</v>
      </c>
      <c r="DO106" s="339">
        <v>0.38</v>
      </c>
      <c r="DP106" s="340">
        <v>82.6</v>
      </c>
      <c r="DQ106" s="340">
        <v>44.14</v>
      </c>
      <c r="DR106" s="340">
        <v>0.38</v>
      </c>
      <c r="DS106" s="339">
        <v>82.5</v>
      </c>
      <c r="DT106" s="339">
        <v>46.23</v>
      </c>
      <c r="DU106" s="510">
        <v>0.38</v>
      </c>
      <c r="DV106" s="339">
        <v>82.5</v>
      </c>
      <c r="DW106" s="339">
        <v>39.9</v>
      </c>
      <c r="DX106" s="339">
        <v>0.36</v>
      </c>
      <c r="DY106" s="339">
        <v>82.4</v>
      </c>
      <c r="DZ106" s="339">
        <v>42.5</v>
      </c>
      <c r="EA106" s="339">
        <v>0.36</v>
      </c>
      <c r="EB106" s="340">
        <v>82.3</v>
      </c>
      <c r="EC106" s="340">
        <v>39.39</v>
      </c>
      <c r="ED106" s="340">
        <v>0.36</v>
      </c>
      <c r="EE106" s="339">
        <v>82.3</v>
      </c>
      <c r="EF106" s="339">
        <v>35.5</v>
      </c>
      <c r="EG106" s="510">
        <v>0.36</v>
      </c>
      <c r="EH106" s="339">
        <v>82.3</v>
      </c>
      <c r="EI106" s="339">
        <v>33.35</v>
      </c>
      <c r="EJ106" s="339">
        <v>0.35499999999999998</v>
      </c>
      <c r="EK106" s="339">
        <v>82.2</v>
      </c>
      <c r="EL106" s="339">
        <v>33.83</v>
      </c>
      <c r="EM106" s="339">
        <v>0.35499999999999998</v>
      </c>
      <c r="EN106" s="340">
        <v>82</v>
      </c>
      <c r="EO106" s="340">
        <v>35.42</v>
      </c>
      <c r="EP106" s="340">
        <v>0.35499999999999998</v>
      </c>
      <c r="EQ106" s="339">
        <v>82.1</v>
      </c>
      <c r="ER106" s="339">
        <v>29.4</v>
      </c>
      <c r="ES106" s="510">
        <v>0.35499999999999998</v>
      </c>
      <c r="ET106" s="339">
        <v>82</v>
      </c>
      <c r="EU106" s="339">
        <v>28.6</v>
      </c>
      <c r="EV106" s="339">
        <v>0.35</v>
      </c>
      <c r="EW106" s="339">
        <v>82</v>
      </c>
      <c r="EX106" s="339">
        <v>29.5</v>
      </c>
      <c r="EY106" s="339">
        <v>0.35</v>
      </c>
      <c r="EZ106" s="340">
        <v>81.8</v>
      </c>
      <c r="FA106" s="340">
        <v>29.06</v>
      </c>
      <c r="FB106" s="340">
        <v>0.35</v>
      </c>
      <c r="FC106" s="339">
        <v>81.8</v>
      </c>
      <c r="FD106" s="339">
        <v>30.23</v>
      </c>
      <c r="FE106" s="339">
        <v>0.35</v>
      </c>
      <c r="FF106" s="339">
        <v>81.7</v>
      </c>
      <c r="FG106" s="339">
        <v>27.08</v>
      </c>
      <c r="FH106" s="339">
        <v>0.34499999999999997</v>
      </c>
      <c r="FI106" s="339">
        <v>81.7</v>
      </c>
      <c r="FJ106" s="339">
        <v>27.86</v>
      </c>
      <c r="FK106" s="339">
        <v>0.34499999999999997</v>
      </c>
      <c r="FL106" s="339">
        <v>81.5</v>
      </c>
      <c r="FM106" s="339">
        <v>27.2</v>
      </c>
      <c r="FN106" s="339">
        <v>0.34499999999999997</v>
      </c>
      <c r="FO106" s="339">
        <v>81.2</v>
      </c>
      <c r="FP106" s="339">
        <v>25.38</v>
      </c>
      <c r="FQ106" s="511">
        <v>0.34499999999999997</v>
      </c>
      <c r="FR106" s="339">
        <v>81</v>
      </c>
      <c r="FS106" s="339">
        <v>25.87</v>
      </c>
      <c r="FT106" s="339">
        <v>0.34</v>
      </c>
      <c r="FU106" s="339">
        <v>81</v>
      </c>
      <c r="FV106" s="339">
        <v>23.66</v>
      </c>
      <c r="FW106" s="339">
        <v>0.34</v>
      </c>
      <c r="FX106" s="339">
        <v>80.8</v>
      </c>
      <c r="FY106" s="339">
        <v>24.72</v>
      </c>
      <c r="FZ106" s="339">
        <v>0.34</v>
      </c>
      <c r="GA106" s="339">
        <v>80.8</v>
      </c>
      <c r="GB106" s="339">
        <v>24.68</v>
      </c>
      <c r="GC106" s="339">
        <v>0.34</v>
      </c>
      <c r="GD106" s="339">
        <v>80.7</v>
      </c>
      <c r="GE106" s="339">
        <v>23.04</v>
      </c>
      <c r="GF106" s="339">
        <v>0.33500000000000002</v>
      </c>
      <c r="GG106" s="339">
        <v>80.599999999999994</v>
      </c>
      <c r="GH106" s="339">
        <v>23.43</v>
      </c>
      <c r="GI106" s="339">
        <v>0.33500000000000002</v>
      </c>
      <c r="GJ106" s="339">
        <v>80.599999999999994</v>
      </c>
      <c r="GK106" s="339">
        <v>21.09</v>
      </c>
      <c r="GL106" s="339">
        <v>0.33500000000000002</v>
      </c>
      <c r="GM106" s="339">
        <v>80.599999999999994</v>
      </c>
      <c r="GN106" s="339">
        <v>25.01</v>
      </c>
      <c r="GO106" s="339">
        <v>0.33500000000000002</v>
      </c>
      <c r="GP106" s="339">
        <v>76.2</v>
      </c>
      <c r="GQ106" s="339">
        <v>27.85</v>
      </c>
      <c r="GR106" s="339">
        <v>0.32500000000000001</v>
      </c>
      <c r="GS106" s="339">
        <v>76</v>
      </c>
      <c r="GT106" s="339">
        <v>31.21</v>
      </c>
      <c r="GU106" s="339">
        <v>0.32500000000000001</v>
      </c>
      <c r="GV106" s="339">
        <v>75.900000000000006</v>
      </c>
      <c r="GW106" s="339">
        <v>26.83</v>
      </c>
      <c r="GX106" s="339">
        <v>0.32500000000000001</v>
      </c>
      <c r="GY106" s="339">
        <v>75.900000000000006</v>
      </c>
      <c r="GZ106" s="339">
        <v>29.01</v>
      </c>
      <c r="HA106" s="339">
        <v>0.32500000000000001</v>
      </c>
      <c r="HB106" s="339">
        <v>75.900000000000006</v>
      </c>
      <c r="HC106" s="339">
        <v>27.29</v>
      </c>
      <c r="HD106" s="339">
        <v>0.315</v>
      </c>
      <c r="HE106" s="339">
        <v>75.8</v>
      </c>
      <c r="HF106" s="339">
        <v>26.93</v>
      </c>
      <c r="HG106" s="339">
        <v>0.315</v>
      </c>
      <c r="HH106" s="339">
        <v>75.7</v>
      </c>
      <c r="HI106" s="505">
        <v>28.6</v>
      </c>
      <c r="HJ106" s="339">
        <v>0.315</v>
      </c>
      <c r="HK106" s="339">
        <v>75.7</v>
      </c>
      <c r="HL106" s="339">
        <v>28.28</v>
      </c>
      <c r="HM106" s="512">
        <v>0.315</v>
      </c>
      <c r="HN106" s="339">
        <v>75.7</v>
      </c>
      <c r="HO106" s="339">
        <v>26.85</v>
      </c>
      <c r="HP106" s="339">
        <v>0.30499999999999999</v>
      </c>
      <c r="HQ106" s="339">
        <v>75.7</v>
      </c>
      <c r="HR106" s="339">
        <v>27.25</v>
      </c>
      <c r="HS106" s="339">
        <v>0.30499999999999999</v>
      </c>
      <c r="HT106" s="339">
        <v>75.7</v>
      </c>
      <c r="HU106" s="339">
        <v>26.38</v>
      </c>
      <c r="HV106" s="339">
        <v>0.30499999999999999</v>
      </c>
      <c r="HW106" s="339">
        <v>75.7</v>
      </c>
      <c r="HX106" s="506">
        <v>27.16</v>
      </c>
      <c r="HY106" s="513">
        <f>1.22/4</f>
        <v>0.30499999999999999</v>
      </c>
      <c r="HZ106" s="339">
        <v>75.599999999999994</v>
      </c>
      <c r="IA106" s="339">
        <v>28.35</v>
      </c>
      <c r="IB106" s="339">
        <v>0.29499999999999998</v>
      </c>
      <c r="IC106" s="339">
        <v>75.599999999999994</v>
      </c>
      <c r="ID106" s="339">
        <v>28.73</v>
      </c>
      <c r="IE106" s="339">
        <v>0.29499999999999998</v>
      </c>
      <c r="IF106" s="339">
        <v>75.620999999999995</v>
      </c>
      <c r="IG106" s="339">
        <v>26.64</v>
      </c>
      <c r="IH106" s="339">
        <v>0.29499999999999998</v>
      </c>
      <c r="II106" s="339">
        <v>75.620999999999995</v>
      </c>
      <c r="IJ106" s="505">
        <v>26.8</v>
      </c>
      <c r="IK106" s="339">
        <v>0.29499999999999998</v>
      </c>
      <c r="IL106" s="339">
        <v>75.551000000000002</v>
      </c>
      <c r="IM106" s="339">
        <v>25.18</v>
      </c>
      <c r="IN106" s="339">
        <v>0.28499999999999998</v>
      </c>
      <c r="IO106" s="339">
        <v>75.5</v>
      </c>
      <c r="IP106" s="339">
        <v>25.09</v>
      </c>
      <c r="IQ106" s="339">
        <v>0.28499999999999998</v>
      </c>
      <c r="IR106" s="339">
        <v>75.343999999999994</v>
      </c>
      <c r="IS106" s="339">
        <v>24.67</v>
      </c>
      <c r="IT106" s="339">
        <v>0.28499999999999998</v>
      </c>
      <c r="IU106" s="339">
        <v>71.593000000000004</v>
      </c>
      <c r="IV106" s="339">
        <v>24.65</v>
      </c>
      <c r="IW106" s="339">
        <v>0.28499999999999998</v>
      </c>
      <c r="IX106" s="339">
        <v>67.768000000000001</v>
      </c>
      <c r="IY106" s="339">
        <v>23.62</v>
      </c>
      <c r="IZ106" s="339">
        <v>0.27500000000000002</v>
      </c>
      <c r="JA106" s="339">
        <v>67.694999999999993</v>
      </c>
      <c r="JB106" s="339">
        <v>25.05</v>
      </c>
      <c r="JC106" s="339">
        <v>0.27500000000000002</v>
      </c>
      <c r="JD106" s="339">
        <v>67.581999999999994</v>
      </c>
      <c r="JE106" s="339">
        <v>21.51</v>
      </c>
      <c r="JF106" s="339">
        <v>0.27500000000000002</v>
      </c>
      <c r="JG106" s="339">
        <v>67.600999999999999</v>
      </c>
      <c r="JH106" s="339">
        <v>23</v>
      </c>
      <c r="JI106" s="339">
        <v>0.27500000000000002</v>
      </c>
      <c r="JJ106" s="339">
        <v>67.599999999999994</v>
      </c>
      <c r="JK106" s="339">
        <v>22</v>
      </c>
      <c r="JL106" s="339">
        <v>0.26500000000000001</v>
      </c>
      <c r="JM106" s="339">
        <v>57.5</v>
      </c>
      <c r="JN106" s="339">
        <v>25.1</v>
      </c>
      <c r="JO106" s="339">
        <v>0.26500000000000001</v>
      </c>
      <c r="JP106" s="339">
        <v>67.512</v>
      </c>
      <c r="JQ106" s="339">
        <v>25.69</v>
      </c>
      <c r="JR106" s="339">
        <v>0.26500000000000001</v>
      </c>
      <c r="JS106" s="339">
        <v>66.7</v>
      </c>
      <c r="JT106" s="339">
        <v>23.98</v>
      </c>
      <c r="JU106" s="339">
        <v>0.26500000000000001</v>
      </c>
      <c r="JV106" s="339">
        <v>67.512</v>
      </c>
      <c r="JW106" s="339">
        <v>22.39</v>
      </c>
      <c r="JX106" s="339">
        <v>0.255</v>
      </c>
      <c r="JY106" s="339">
        <v>67.709999999999994</v>
      </c>
      <c r="JZ106" s="339">
        <v>20.7</v>
      </c>
      <c r="KA106" s="339">
        <v>0.255</v>
      </c>
      <c r="KB106" s="339">
        <v>61.296999999999997</v>
      </c>
      <c r="KC106" s="339">
        <v>21.4</v>
      </c>
      <c r="KD106" s="339">
        <v>0.255</v>
      </c>
      <c r="KE106" s="339">
        <v>61.417000000000002</v>
      </c>
      <c r="KF106" s="339">
        <v>25.63</v>
      </c>
      <c r="KG106" s="339">
        <v>0.255</v>
      </c>
      <c r="KH106" s="339"/>
      <c r="KI106" s="339">
        <v>20.309999999999999</v>
      </c>
      <c r="KJ106" s="339">
        <v>0.24249999999999999</v>
      </c>
      <c r="KK106" s="339"/>
      <c r="KL106" s="339">
        <v>17.25</v>
      </c>
      <c r="KM106" s="339">
        <v>0.24</v>
      </c>
      <c r="KN106" s="339">
        <v>31.4588</v>
      </c>
      <c r="KO106" s="339">
        <v>18.75</v>
      </c>
      <c r="KP106" s="339">
        <v>0.23818500000000001</v>
      </c>
      <c r="KQ106" s="339">
        <v>31.4588</v>
      </c>
      <c r="KR106" s="339">
        <v>17.07</v>
      </c>
      <c r="KS106" s="339">
        <v>0.23255799999999999</v>
      </c>
      <c r="KT106" s="339">
        <v>31.42923</v>
      </c>
      <c r="KU106" s="339">
        <v>19.13</v>
      </c>
      <c r="KV106" s="339">
        <v>0.23255799999999999</v>
      </c>
      <c r="KW106" s="334">
        <v>31.47213</v>
      </c>
      <c r="KX106" s="334">
        <v>21.24</v>
      </c>
      <c r="KY106" s="339">
        <v>0.23255799999999999</v>
      </c>
      <c r="KZ106" s="334">
        <v>31.49879</v>
      </c>
      <c r="LA106" s="334">
        <v>20.54</v>
      </c>
      <c r="LB106" s="339">
        <v>0.23255799999999999</v>
      </c>
      <c r="LC106" s="334">
        <v>31.49879</v>
      </c>
      <c r="LD106" s="334">
        <v>26.83</v>
      </c>
      <c r="LE106" s="334">
        <v>0.22730700000000001</v>
      </c>
      <c r="LF106" s="334">
        <v>13.863200000000001</v>
      </c>
      <c r="LG106" s="334">
        <v>24.24</v>
      </c>
      <c r="LH106" s="334">
        <v>0.33533400000000002</v>
      </c>
      <c r="LI106" s="334">
        <v>13.863200000000001</v>
      </c>
      <c r="LJ106" s="334">
        <v>24.05</v>
      </c>
      <c r="LK106" s="334">
        <v>0.33533400000000002</v>
      </c>
      <c r="LL106" s="334">
        <v>13.863200000000001</v>
      </c>
      <c r="LM106" s="334">
        <v>23.96</v>
      </c>
      <c r="LN106" s="334">
        <v>0.33533400000000002</v>
      </c>
      <c r="LO106" s="334">
        <v>13.860934</v>
      </c>
      <c r="LP106" s="334">
        <v>22.04</v>
      </c>
      <c r="LQ106" s="334">
        <v>0.33533400000000002</v>
      </c>
      <c r="LR106" s="334">
        <v>13.860934</v>
      </c>
      <c r="LS106" s="334">
        <v>19.13</v>
      </c>
      <c r="LT106" s="334">
        <v>0.33533400000000002</v>
      </c>
      <c r="LU106" s="334">
        <v>13.860934</v>
      </c>
      <c r="LV106" s="334">
        <v>19.04</v>
      </c>
      <c r="LW106" s="334">
        <v>0.33533400000000002</v>
      </c>
      <c r="LX106" s="334">
        <v>13.860934</v>
      </c>
      <c r="LY106" s="334">
        <v>17.54</v>
      </c>
      <c r="LZ106" s="334">
        <v>0.33195799999999998</v>
      </c>
      <c r="MA106" s="334">
        <v>13.860934</v>
      </c>
      <c r="MB106" s="334">
        <v>17.14</v>
      </c>
      <c r="MC106" s="334">
        <v>0.32445600000000002</v>
      </c>
      <c r="MD106" s="334">
        <v>13.860934</v>
      </c>
      <c r="ME106" s="334">
        <v>16.899999999999999</v>
      </c>
      <c r="MF106" s="334">
        <v>0.32445600000000002</v>
      </c>
      <c r="MG106" s="334">
        <v>10.398300000000001</v>
      </c>
      <c r="MH106" s="334">
        <v>22.853000000000002</v>
      </c>
      <c r="MI106" s="334">
        <v>0.4325</v>
      </c>
      <c r="MJ106" s="334">
        <v>10.398300000000001</v>
      </c>
      <c r="MK106" s="334">
        <v>23.018000000000001</v>
      </c>
      <c r="ML106" s="334">
        <v>0.4325</v>
      </c>
      <c r="MM106" s="334">
        <v>10.398300000000001</v>
      </c>
      <c r="MN106" s="334">
        <v>22.934999999999999</v>
      </c>
      <c r="MO106" s="334">
        <v>0.42249999999999999</v>
      </c>
      <c r="MP106" s="334">
        <v>10.398300000000001</v>
      </c>
      <c r="MQ106" s="334">
        <v>22.193000000000001</v>
      </c>
      <c r="MR106" s="334">
        <v>0.42249999999999999</v>
      </c>
      <c r="MS106" s="334">
        <v>10.49283</v>
      </c>
      <c r="MT106" s="334">
        <v>21.202999999999999</v>
      </c>
      <c r="MU106" s="334">
        <v>0.42249999999999999</v>
      </c>
      <c r="MV106" s="334">
        <v>10.398300000000001</v>
      </c>
      <c r="MW106" s="334">
        <v>19.057500000000001</v>
      </c>
      <c r="MX106" s="334">
        <v>0.42249999999999999</v>
      </c>
      <c r="MY106" s="334">
        <v>10.398300000000001</v>
      </c>
      <c r="MZ106" s="334">
        <v>17.489999999999998</v>
      </c>
      <c r="NA106" s="334">
        <v>0.41249999999999998</v>
      </c>
      <c r="NB106" s="334">
        <v>10.398300000000001</v>
      </c>
      <c r="NC106" s="334">
        <v>17.82</v>
      </c>
      <c r="ND106" s="334">
        <v>0.41249999999999998</v>
      </c>
      <c r="NE106" s="334">
        <v>10.398300000000001</v>
      </c>
      <c r="NF106" s="334">
        <v>18.149999999999999</v>
      </c>
      <c r="NG106" s="334">
        <v>0.41249999999999998</v>
      </c>
      <c r="NH106" s="334">
        <v>10.3653</v>
      </c>
      <c r="NI106" s="334">
        <v>19.387499999999999</v>
      </c>
      <c r="NJ106" s="334">
        <v>0.41249999999999998</v>
      </c>
      <c r="NK106" s="334">
        <v>10.3653</v>
      </c>
      <c r="NL106" s="334">
        <v>22.357500000000002</v>
      </c>
      <c r="NM106" s="334">
        <v>0.40500000000000003</v>
      </c>
      <c r="NN106" s="334">
        <v>10.3653</v>
      </c>
      <c r="NO106" s="334">
        <v>22.274999999999999</v>
      </c>
      <c r="NP106" s="334">
        <v>0.40200000000000002</v>
      </c>
      <c r="NQ106" s="334">
        <v>10.3653</v>
      </c>
      <c r="NR106" s="334">
        <v>22.274999999999999</v>
      </c>
      <c r="NS106" s="334">
        <v>0.40200000000000002</v>
      </c>
      <c r="NT106" s="334">
        <v>10.3653</v>
      </c>
      <c r="NU106" s="334">
        <v>22.934999999999999</v>
      </c>
      <c r="NV106" s="334">
        <v>0.40200000000000002</v>
      </c>
      <c r="NW106" s="334">
        <v>10.365</v>
      </c>
      <c r="NX106" s="334">
        <v>22.44</v>
      </c>
      <c r="NY106" s="334">
        <v>0.39</v>
      </c>
      <c r="NZ106" s="334">
        <v>10.365</v>
      </c>
      <c r="OA106" s="334">
        <v>21.62</v>
      </c>
      <c r="OB106" s="334">
        <v>0.39</v>
      </c>
      <c r="OC106" s="334">
        <v>10.365</v>
      </c>
      <c r="OD106" s="334">
        <v>20.79</v>
      </c>
      <c r="OE106" s="334">
        <v>0.39</v>
      </c>
      <c r="OF106" s="334">
        <v>10.342000000000001</v>
      </c>
      <c r="OG106" s="334">
        <v>20.84</v>
      </c>
      <c r="OH106" s="334">
        <v>0.39</v>
      </c>
      <c r="OI106" s="334">
        <v>10.342000000000001</v>
      </c>
      <c r="OJ106" s="334">
        <v>22.39</v>
      </c>
      <c r="OK106" s="334">
        <v>0.38</v>
      </c>
      <c r="OL106" s="334">
        <v>10.342000000000001</v>
      </c>
      <c r="OM106" s="334">
        <v>19.350000000000001</v>
      </c>
      <c r="ON106" s="334">
        <v>0.38</v>
      </c>
      <c r="OO106" s="334">
        <v>10.342000000000001</v>
      </c>
      <c r="OP106" s="334">
        <v>17.62</v>
      </c>
      <c r="OQ106" s="334">
        <v>0.38</v>
      </c>
      <c r="OR106" s="334">
        <v>10.342000000000001</v>
      </c>
      <c r="OS106" s="334">
        <v>16.809999999999999</v>
      </c>
      <c r="OT106" s="334">
        <v>0.38</v>
      </c>
      <c r="OU106" s="334">
        <v>10.597</v>
      </c>
      <c r="OV106" s="334">
        <v>16.559999999999999</v>
      </c>
    </row>
    <row r="107" spans="1:412" ht="13.5" thickBot="1">
      <c r="B107" s="333" t="s">
        <v>273</v>
      </c>
      <c r="C107" s="333"/>
      <c r="D107" s="333"/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Q107" s="333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504"/>
      <c r="AZ107" s="504"/>
      <c r="BA107" s="504"/>
      <c r="BB107" s="503"/>
      <c r="BC107" s="503"/>
      <c r="BD107" s="503"/>
      <c r="BE107" s="503"/>
      <c r="BF107" s="503"/>
      <c r="BG107" s="503"/>
      <c r="BH107" s="503"/>
      <c r="BI107" s="503"/>
      <c r="BJ107" s="503"/>
      <c r="BK107" s="503"/>
      <c r="BL107" s="503"/>
      <c r="BM107" s="503"/>
      <c r="BN107" s="503"/>
      <c r="BO107" s="503"/>
      <c r="BP107" s="503"/>
      <c r="BQ107" s="504"/>
      <c r="BR107" s="504"/>
      <c r="BS107" s="504"/>
      <c r="BT107" s="504"/>
      <c r="BU107" s="504"/>
      <c r="BV107" s="504"/>
      <c r="BW107" s="504"/>
      <c r="BX107" s="504"/>
      <c r="BY107" s="504"/>
      <c r="BZ107" s="503"/>
      <c r="CA107" s="503"/>
      <c r="CB107" s="503"/>
      <c r="CC107" s="503"/>
      <c r="CD107" s="503"/>
      <c r="CE107" s="503"/>
      <c r="CF107" s="503"/>
      <c r="CG107" s="503"/>
      <c r="CH107" s="503"/>
      <c r="CI107" s="503"/>
      <c r="CJ107" s="503"/>
      <c r="CK107" s="503"/>
      <c r="CL107" s="503"/>
      <c r="CM107" s="503"/>
      <c r="CN107" s="503"/>
      <c r="CO107" s="503"/>
      <c r="CP107" s="503"/>
      <c r="CQ107" s="503"/>
      <c r="CR107" s="504"/>
      <c r="CS107" s="504"/>
      <c r="CT107" s="504"/>
      <c r="CU107" s="503"/>
      <c r="CV107" s="503"/>
      <c r="CW107" s="503"/>
      <c r="CX107" s="339"/>
      <c r="CY107" s="339"/>
      <c r="CZ107" s="339"/>
      <c r="DA107" s="339"/>
      <c r="DB107" s="339"/>
      <c r="DC107" s="339"/>
      <c r="DD107" s="339"/>
      <c r="DE107" s="339"/>
      <c r="DF107" s="339"/>
      <c r="DG107" s="339"/>
      <c r="DH107" s="339"/>
      <c r="DI107" s="339"/>
      <c r="DJ107" s="339"/>
      <c r="DK107" s="339"/>
      <c r="DL107" s="339"/>
      <c r="DM107" s="339"/>
      <c r="DN107" s="339"/>
      <c r="DO107" s="339"/>
      <c r="DP107" s="339"/>
      <c r="DQ107" s="339"/>
      <c r="DR107" s="339"/>
      <c r="DS107" s="339"/>
      <c r="DT107" s="339"/>
      <c r="DU107" s="339"/>
      <c r="DV107" s="339"/>
      <c r="DW107" s="339"/>
      <c r="DX107" s="339"/>
      <c r="DY107" s="339"/>
      <c r="DZ107" s="339"/>
      <c r="EA107" s="339"/>
      <c r="EB107" s="340"/>
      <c r="EC107" s="340"/>
      <c r="ED107" s="340"/>
      <c r="EE107" s="339"/>
      <c r="EF107" s="339"/>
      <c r="EG107" s="339"/>
      <c r="EH107" s="339"/>
      <c r="EI107" s="339"/>
      <c r="EJ107" s="339"/>
      <c r="EK107" s="339"/>
      <c r="EL107" s="339"/>
      <c r="EM107" s="339"/>
      <c r="EN107" s="339"/>
      <c r="EO107" s="339"/>
      <c r="EP107" s="339"/>
      <c r="EQ107" s="339"/>
      <c r="ER107" s="339"/>
      <c r="ES107" s="339"/>
      <c r="ET107" s="339"/>
      <c r="EU107" s="339"/>
      <c r="EV107" s="339"/>
      <c r="EW107" s="339"/>
      <c r="EX107" s="339"/>
      <c r="EY107" s="339"/>
      <c r="EZ107" s="339"/>
      <c r="FA107" s="339"/>
      <c r="FB107" s="339"/>
      <c r="FC107" s="339"/>
      <c r="FD107" s="339"/>
      <c r="FE107" s="339"/>
      <c r="FF107" s="339"/>
      <c r="FG107" s="339"/>
      <c r="FH107" s="342"/>
      <c r="FI107" s="339"/>
      <c r="FJ107" s="339"/>
      <c r="FK107" s="339"/>
      <c r="FL107" s="339"/>
      <c r="FM107" s="339"/>
      <c r="FN107" s="339"/>
      <c r="FO107" s="339"/>
      <c r="FP107" s="339"/>
      <c r="FQ107" s="339"/>
      <c r="FR107" s="339"/>
      <c r="FS107" s="339"/>
      <c r="FT107" s="339"/>
      <c r="FU107" s="339"/>
      <c r="FV107" s="339"/>
      <c r="FW107" s="339"/>
      <c r="FX107" s="339"/>
      <c r="FY107" s="339"/>
      <c r="FZ107" s="339"/>
      <c r="GA107" s="339"/>
      <c r="GB107" s="339"/>
      <c r="GC107" s="339"/>
      <c r="GD107" s="339"/>
      <c r="GE107" s="339"/>
      <c r="GF107" s="339"/>
      <c r="GG107" s="339"/>
      <c r="GH107" s="339"/>
      <c r="GI107" s="339"/>
      <c r="GJ107" s="339"/>
      <c r="GK107" s="339"/>
      <c r="GL107" s="339"/>
      <c r="GM107" s="339"/>
      <c r="GN107" s="339"/>
      <c r="GO107" s="339"/>
      <c r="GP107" s="339"/>
      <c r="GQ107" s="339"/>
      <c r="GR107" s="339"/>
      <c r="GS107" s="339">
        <v>375.9</v>
      </c>
      <c r="GT107" s="339">
        <v>3.77</v>
      </c>
      <c r="GU107" s="339">
        <v>0</v>
      </c>
      <c r="GV107" s="339">
        <v>375.68</v>
      </c>
      <c r="GW107" s="339">
        <v>3.21</v>
      </c>
      <c r="GX107" s="339">
        <v>0</v>
      </c>
      <c r="GY107" s="339">
        <v>375.9</v>
      </c>
      <c r="GZ107" s="339">
        <v>3.73</v>
      </c>
      <c r="HA107" s="339">
        <v>0</v>
      </c>
      <c r="HB107" s="339">
        <v>375.7</v>
      </c>
      <c r="HC107" s="339">
        <v>4.01</v>
      </c>
      <c r="HD107" s="339">
        <v>0</v>
      </c>
      <c r="HE107" s="339">
        <v>375.6</v>
      </c>
      <c r="HF107" s="339">
        <v>4.09</v>
      </c>
      <c r="HG107" s="339">
        <v>0</v>
      </c>
      <c r="HH107" s="339">
        <v>375.08</v>
      </c>
      <c r="HI107" s="505">
        <v>4.18</v>
      </c>
      <c r="HJ107" s="339">
        <v>0</v>
      </c>
      <c r="HK107" s="339">
        <v>375.2</v>
      </c>
      <c r="HL107" s="339">
        <v>4.7</v>
      </c>
      <c r="HM107" s="339">
        <v>0</v>
      </c>
      <c r="HN107" s="339">
        <v>375</v>
      </c>
      <c r="HO107" s="339">
        <v>4.33</v>
      </c>
      <c r="HP107" s="339">
        <v>0</v>
      </c>
      <c r="HQ107" s="339">
        <v>374.7</v>
      </c>
      <c r="HR107" s="339">
        <v>4.21</v>
      </c>
      <c r="HS107" s="339">
        <v>0</v>
      </c>
      <c r="HT107" s="339">
        <v>374.4</v>
      </c>
      <c r="HU107" s="339">
        <v>3.99</v>
      </c>
      <c r="HV107" s="339">
        <v>0</v>
      </c>
      <c r="HW107" s="339">
        <v>372.9</v>
      </c>
      <c r="HX107" s="506">
        <v>3.6</v>
      </c>
      <c r="HY107" s="513">
        <v>0</v>
      </c>
      <c r="HZ107" s="339">
        <v>352.8</v>
      </c>
      <c r="IA107" s="339">
        <v>3.96</v>
      </c>
      <c r="IB107" s="339">
        <v>0</v>
      </c>
      <c r="IC107" s="339">
        <v>352.7</v>
      </c>
      <c r="ID107" s="339">
        <v>3.61</v>
      </c>
      <c r="IE107" s="339">
        <v>0</v>
      </c>
      <c r="IF107" s="339">
        <v>260.5</v>
      </c>
      <c r="IG107" s="339">
        <v>3.83</v>
      </c>
      <c r="IH107" s="339">
        <v>0</v>
      </c>
      <c r="II107" s="339">
        <v>260.5</v>
      </c>
      <c r="IJ107" s="506">
        <v>3.69</v>
      </c>
      <c r="IK107" s="339">
        <v>0</v>
      </c>
      <c r="IL107" s="339">
        <v>195.6</v>
      </c>
      <c r="IM107" s="339">
        <v>3.12</v>
      </c>
      <c r="IN107" s="339">
        <v>0</v>
      </c>
      <c r="IO107" s="339">
        <v>195.4</v>
      </c>
      <c r="IP107" s="339">
        <v>3.56</v>
      </c>
      <c r="IQ107" s="339">
        <v>0</v>
      </c>
      <c r="IR107" s="339">
        <v>195.1</v>
      </c>
      <c r="IS107" s="339">
        <v>4.71</v>
      </c>
      <c r="IT107" s="339">
        <v>0</v>
      </c>
      <c r="IU107" s="339">
        <v>195.1</v>
      </c>
      <c r="IV107" s="339">
        <v>3.39</v>
      </c>
      <c r="IW107" s="339">
        <v>0</v>
      </c>
      <c r="IX107" s="339">
        <v>194.6</v>
      </c>
      <c r="IY107" s="339">
        <v>3.38</v>
      </c>
      <c r="IZ107" s="339">
        <v>0</v>
      </c>
      <c r="JA107" s="339">
        <v>194.1</v>
      </c>
      <c r="JB107" s="339">
        <v>2.58</v>
      </c>
      <c r="JC107" s="339">
        <v>0</v>
      </c>
      <c r="JD107" s="339">
        <v>179.6</v>
      </c>
      <c r="JE107" s="339">
        <v>2.08</v>
      </c>
      <c r="JF107" s="339">
        <v>0</v>
      </c>
      <c r="JG107" s="339">
        <v>179.6</v>
      </c>
      <c r="JH107" s="339">
        <v>1.77</v>
      </c>
      <c r="JI107" s="339">
        <v>0</v>
      </c>
      <c r="JJ107" s="339">
        <v>142.30000000000001</v>
      </c>
      <c r="JK107" s="339">
        <v>4.0999999999999996</v>
      </c>
      <c r="JL107" s="517">
        <v>0.17499999999999999</v>
      </c>
      <c r="JM107" s="339">
        <v>136.80000000000001</v>
      </c>
      <c r="JN107" s="339">
        <v>8</v>
      </c>
      <c r="JO107" s="339">
        <v>0.3</v>
      </c>
      <c r="JP107" s="339">
        <v>118.2</v>
      </c>
      <c r="JQ107" s="339">
        <v>24.84</v>
      </c>
      <c r="JR107" s="339">
        <v>0.3</v>
      </c>
      <c r="JS107" s="339">
        <v>115.4</v>
      </c>
      <c r="JT107" s="339">
        <v>25.17</v>
      </c>
      <c r="JU107" s="339">
        <v>0.3</v>
      </c>
      <c r="JV107" s="339">
        <v>113.8</v>
      </c>
      <c r="JW107" s="339">
        <v>28.01</v>
      </c>
      <c r="JX107" s="339">
        <v>0.3</v>
      </c>
      <c r="JY107" s="339">
        <v>106.9</v>
      </c>
      <c r="JZ107" s="339">
        <v>30.55</v>
      </c>
      <c r="KA107" s="339">
        <v>0.3</v>
      </c>
      <c r="KB107" s="339">
        <v>93.3</v>
      </c>
      <c r="KC107" s="339">
        <v>32.36</v>
      </c>
      <c r="KD107" s="339">
        <v>0.3</v>
      </c>
      <c r="KE107" s="339">
        <v>93.9</v>
      </c>
      <c r="KF107" s="339">
        <v>31</v>
      </c>
      <c r="KG107" s="339">
        <v>0.3</v>
      </c>
      <c r="KH107" s="339">
        <v>93</v>
      </c>
      <c r="KI107" s="339">
        <v>26.0625</v>
      </c>
      <c r="KJ107" s="339">
        <v>0.3</v>
      </c>
      <c r="KK107" s="339">
        <v>92.9</v>
      </c>
      <c r="KL107" s="339">
        <v>19.875</v>
      </c>
      <c r="KM107" s="339">
        <v>0.3</v>
      </c>
      <c r="KN107" s="339">
        <v>92.4</v>
      </c>
      <c r="KO107" s="339">
        <v>18.0625</v>
      </c>
      <c r="KP107" s="339">
        <v>0.3</v>
      </c>
      <c r="KQ107" s="339">
        <v>92.5</v>
      </c>
      <c r="KR107" s="339">
        <v>19.4375</v>
      </c>
      <c r="KS107" s="339">
        <v>0.3</v>
      </c>
      <c r="KT107" s="339">
        <v>93.605735999999993</v>
      </c>
      <c r="KU107" s="339">
        <v>21.0625</v>
      </c>
      <c r="KV107" s="339">
        <v>0.3</v>
      </c>
      <c r="KW107" s="334">
        <v>80.069999999999993</v>
      </c>
      <c r="KX107" s="334">
        <v>24.3125</v>
      </c>
      <c r="KY107" s="334">
        <f>0.45/1.5</f>
        <v>0.3</v>
      </c>
      <c r="KZ107" s="334">
        <f>53.29*1.5</f>
        <v>79.935000000000002</v>
      </c>
      <c r="LA107" s="334">
        <v>22.75</v>
      </c>
      <c r="LB107" s="334">
        <f>0.45/1.5</f>
        <v>0.3</v>
      </c>
      <c r="LC107" s="334">
        <f>53.29*1.5</f>
        <v>79.935000000000002</v>
      </c>
      <c r="LD107" s="334">
        <f>36.688/1.5</f>
        <v>24.458666666666669</v>
      </c>
      <c r="LE107" s="334">
        <v>0.3</v>
      </c>
      <c r="LF107" s="334">
        <f>46.7*1.5</f>
        <v>70.050000000000011</v>
      </c>
      <c r="LG107" s="334">
        <f>39.375/1.5</f>
        <v>26.25</v>
      </c>
      <c r="LH107" s="334">
        <v>0.3</v>
      </c>
      <c r="LI107" s="334">
        <f>46.7*1.5</f>
        <v>70.050000000000011</v>
      </c>
      <c r="LJ107" s="334">
        <f>37.688/1.5</f>
        <v>25.125333333333334</v>
      </c>
      <c r="LK107" s="334">
        <v>0.3</v>
      </c>
      <c r="LL107" s="334">
        <f>53.29*1.5</f>
        <v>79.935000000000002</v>
      </c>
      <c r="LM107" s="334">
        <f>39.4175/1.5</f>
        <v>26.278333333333332</v>
      </c>
      <c r="LN107" s="334">
        <v>0.3</v>
      </c>
      <c r="LO107" s="334">
        <f>53.29*1.5</f>
        <v>79.935000000000002</v>
      </c>
      <c r="LP107" s="334">
        <f>38.8125/1.5</f>
        <v>25.875</v>
      </c>
      <c r="LQ107" s="334">
        <f>0.44/1.5</f>
        <v>0.29333333333333333</v>
      </c>
      <c r="LR107" s="334">
        <f>46.7*1.5</f>
        <v>70.050000000000011</v>
      </c>
      <c r="LS107" s="334">
        <f>30.125/1.5</f>
        <v>20.083333333333332</v>
      </c>
      <c r="LT107" s="334">
        <f>0.44/1.5</f>
        <v>0.29333333333333333</v>
      </c>
      <c r="LU107" s="334">
        <f>46.7*1.5</f>
        <v>70.050000000000011</v>
      </c>
      <c r="LV107" s="334">
        <f>29.125/1.5</f>
        <v>19.416666666666668</v>
      </c>
      <c r="LW107" s="334">
        <f>0.44/1.5</f>
        <v>0.29333333333333333</v>
      </c>
      <c r="LX107" s="334">
        <f>46.6*1.5</f>
        <v>69.900000000000006</v>
      </c>
      <c r="LY107" s="334">
        <f>25.5/1.5</f>
        <v>17</v>
      </c>
      <c r="LZ107" s="334">
        <f>0.44/1.5</f>
        <v>0.29333333333333333</v>
      </c>
      <c r="MA107" s="334">
        <f>46.6*1.5</f>
        <v>69.900000000000006</v>
      </c>
      <c r="MB107" s="334">
        <f>27/1.5</f>
        <v>18</v>
      </c>
      <c r="MC107" s="334">
        <f>0.44/1.5</f>
        <v>0.29333333333333333</v>
      </c>
      <c r="MD107" s="334">
        <f>44.74*1.5</f>
        <v>67.11</v>
      </c>
      <c r="ME107" s="334">
        <f>27.625/1.5</f>
        <v>18.416666666666668</v>
      </c>
      <c r="MF107" s="334">
        <f>0.44/1.5</f>
        <v>0.29333333333333333</v>
      </c>
      <c r="MG107" s="334">
        <f>44.74*1.5</f>
        <v>67.11</v>
      </c>
      <c r="MH107" s="334">
        <f>27.5/1.5</f>
        <v>18.333333333333332</v>
      </c>
      <c r="MI107" s="334">
        <f>0.44/1.5</f>
        <v>0.29333333333333333</v>
      </c>
      <c r="MJ107" s="334">
        <f>44.74*1.5</f>
        <v>67.11</v>
      </c>
      <c r="MK107" s="334">
        <f>28.625/1.5</f>
        <v>19.083333333333332</v>
      </c>
      <c r="ML107" s="334">
        <f>0.44/1.5</f>
        <v>0.29333333333333333</v>
      </c>
      <c r="MM107" s="334">
        <f>44.74*1.5</f>
        <v>67.11</v>
      </c>
      <c r="MN107" s="334">
        <f>29.375/1.5</f>
        <v>19.583333333333332</v>
      </c>
      <c r="MO107" s="334">
        <f>0.43/1.5</f>
        <v>0.28666666666666668</v>
      </c>
      <c r="MP107" s="334">
        <f>44.74*1.5</f>
        <v>67.11</v>
      </c>
      <c r="MQ107" s="334">
        <f>28.125/1.5</f>
        <v>18.75</v>
      </c>
      <c r="MR107" s="334">
        <f>0.43/1.5</f>
        <v>0.28666666666666668</v>
      </c>
      <c r="MS107" s="334">
        <f>44.74*1.5</f>
        <v>67.11</v>
      </c>
      <c r="MT107" s="334">
        <f>28.125/1.5</f>
        <v>18.75</v>
      </c>
      <c r="MU107" s="334">
        <f>0.43/1.5</f>
        <v>0.28666666666666668</v>
      </c>
      <c r="MV107" s="334">
        <f>44.74*1.5</f>
        <v>67.11</v>
      </c>
      <c r="MW107" s="334">
        <f>28.125/1.5</f>
        <v>18.75</v>
      </c>
      <c r="MX107" s="334">
        <f>0.43/1.5</f>
        <v>0.28666666666666668</v>
      </c>
      <c r="MY107" s="334">
        <f>44.38*1.5</f>
        <v>66.570000000000007</v>
      </c>
      <c r="MZ107" s="334">
        <f>26.5/1.5</f>
        <v>17.666666666666668</v>
      </c>
      <c r="NA107" s="334">
        <f>0.43/1.5</f>
        <v>0.28666666666666668</v>
      </c>
      <c r="NB107" s="334">
        <f>44.38*1.5</f>
        <v>66.570000000000007</v>
      </c>
      <c r="NC107" s="334">
        <f>27.25/1.5</f>
        <v>18.166666666666668</v>
      </c>
      <c r="ND107" s="334">
        <f>0.43/1.5</f>
        <v>0.28666666666666668</v>
      </c>
      <c r="NE107" s="334">
        <f>44.38*1.5</f>
        <v>66.570000000000007</v>
      </c>
      <c r="NF107" s="334">
        <f>28.5/1.5</f>
        <v>19</v>
      </c>
      <c r="NG107" s="334">
        <f>0.42/1.5</f>
        <v>0.27999999999999997</v>
      </c>
      <c r="NH107" s="334">
        <f>41.76*1.5</f>
        <v>62.64</v>
      </c>
      <c r="NI107" s="334">
        <f>29/1.5</f>
        <v>19.333333333333332</v>
      </c>
      <c r="NJ107" s="334">
        <f>0.42/1.5</f>
        <v>0.27999999999999997</v>
      </c>
      <c r="NK107" s="334">
        <f>41.76*1.5</f>
        <v>62.64</v>
      </c>
      <c r="NL107" s="334">
        <f>31.75/1.5</f>
        <v>21.166666666666668</v>
      </c>
      <c r="NM107" s="334">
        <f>0.42/1.5</f>
        <v>0.27999999999999997</v>
      </c>
      <c r="NN107" s="334">
        <f>41.76*1.5</f>
        <v>62.64</v>
      </c>
      <c r="NO107" s="334">
        <f>32.625/1.5</f>
        <v>21.75</v>
      </c>
      <c r="NP107" s="334">
        <f>0.4/1.5</f>
        <v>0.26666666666666666</v>
      </c>
      <c r="NQ107" s="334">
        <f>41.26*1.5</f>
        <v>61.89</v>
      </c>
      <c r="NR107" s="334">
        <f>29.125/1.5</f>
        <v>19.416666666666668</v>
      </c>
      <c r="NS107" s="334">
        <f>0.4/1.5</f>
        <v>0.26666666666666666</v>
      </c>
      <c r="NT107" s="334">
        <f>37.97*1.5</f>
        <v>56.954999999999998</v>
      </c>
      <c r="NU107" s="334">
        <f>28.375/1.5</f>
        <v>18.916666666666668</v>
      </c>
      <c r="NV107" s="334">
        <f>0.4/1.5</f>
        <v>0.26666666666666666</v>
      </c>
      <c r="NW107" s="334">
        <f>34.83*1.5</f>
        <v>52.244999999999997</v>
      </c>
      <c r="NX107" s="334">
        <f>27.63/1.5</f>
        <v>18.419999999999998</v>
      </c>
      <c r="NY107" s="334">
        <f>0.4/1.5</f>
        <v>0.26666666666666666</v>
      </c>
      <c r="NZ107" s="334">
        <f>34.83*1.5</f>
        <v>52.244999999999997</v>
      </c>
      <c r="OA107" s="334">
        <f>27.25/1.5</f>
        <v>18.166666666666668</v>
      </c>
      <c r="OB107" s="334">
        <f>0.4/1.5</f>
        <v>0.26666666666666666</v>
      </c>
      <c r="OC107" s="334">
        <f>34.83*1.5</f>
        <v>52.244999999999997</v>
      </c>
      <c r="OD107" s="334">
        <f>23.63/1.5</f>
        <v>15.753333333333332</v>
      </c>
      <c r="OE107" s="334">
        <f>0.4/1.5</f>
        <v>0.26666666666666666</v>
      </c>
      <c r="OF107" s="334">
        <f>34.65*1.5</f>
        <v>51.974999999999994</v>
      </c>
      <c r="OG107" s="334">
        <f>26.5/1.5</f>
        <v>17.666666666666668</v>
      </c>
      <c r="OH107" s="334">
        <f>0.4/1.5</f>
        <v>0.26666666666666666</v>
      </c>
      <c r="OI107" s="334">
        <f>29.39*1.5</f>
        <v>44.085000000000001</v>
      </c>
      <c r="OJ107" s="334">
        <f>28.5/1.5</f>
        <v>19</v>
      </c>
      <c r="OK107" s="334">
        <f>0.4/1.5</f>
        <v>0.26666666666666666</v>
      </c>
      <c r="OL107" s="334">
        <f>28.433*1.5</f>
        <v>42.649500000000003</v>
      </c>
      <c r="OM107" s="334">
        <f>25.75/1.5</f>
        <v>17.166666666666668</v>
      </c>
      <c r="ON107" s="334">
        <f>0.38/1.5</f>
        <v>0.25333333333333335</v>
      </c>
      <c r="OO107" s="334">
        <f>28.263*1.5</f>
        <v>42.394500000000001</v>
      </c>
      <c r="OP107" s="334">
        <f>24.63/1.5</f>
        <v>16.419999999999998</v>
      </c>
      <c r="OQ107" s="334">
        <f>0.38/1.5</f>
        <v>0.25333333333333335</v>
      </c>
      <c r="OR107" s="334">
        <f>28.119*1.5</f>
        <v>42.1785</v>
      </c>
      <c r="OS107" s="334">
        <f>22.75/1.5</f>
        <v>15.166666666666666</v>
      </c>
      <c r="OT107" s="334">
        <f>0.38/1.5</f>
        <v>0.25333333333333335</v>
      </c>
      <c r="OU107" s="334">
        <f>23.968*1.5</f>
        <v>35.951999999999998</v>
      </c>
      <c r="OV107" s="334">
        <f>20.38/1.5</f>
        <v>13.586666666666666</v>
      </c>
    </row>
    <row r="108" spans="1:412">
      <c r="A108" s="294" t="s">
        <v>32</v>
      </c>
      <c r="B108" s="335" t="s">
        <v>156</v>
      </c>
      <c r="C108" s="335">
        <v>256.60000000000002</v>
      </c>
      <c r="D108" s="335">
        <v>59.14</v>
      </c>
      <c r="E108" s="335">
        <v>0.48</v>
      </c>
      <c r="F108" s="335">
        <v>256.39999999999998</v>
      </c>
      <c r="G108" s="335">
        <v>60.69</v>
      </c>
      <c r="H108" s="335">
        <v>0.48</v>
      </c>
      <c r="I108" s="335">
        <v>256.2</v>
      </c>
      <c r="J108" s="335">
        <v>50.9</v>
      </c>
      <c r="K108" s="335">
        <v>0.48</v>
      </c>
      <c r="L108" s="335">
        <v>255.6</v>
      </c>
      <c r="M108" s="335">
        <v>50.4</v>
      </c>
      <c r="N108" s="335">
        <v>0.48</v>
      </c>
      <c r="O108" s="335">
        <v>253.5</v>
      </c>
      <c r="P108" s="335">
        <v>51.3</v>
      </c>
      <c r="Q108" s="335">
        <v>0.45250000000000001</v>
      </c>
      <c r="R108" s="340">
        <v>251.7</v>
      </c>
      <c r="S108" s="340">
        <v>48.45</v>
      </c>
      <c r="T108" s="340">
        <v>0.45250000000000001</v>
      </c>
      <c r="U108" s="340">
        <v>251.2</v>
      </c>
      <c r="V108" s="340">
        <v>52.48</v>
      </c>
      <c r="W108" s="340">
        <v>0.45250000000000001</v>
      </c>
      <c r="X108" s="340">
        <v>250.9</v>
      </c>
      <c r="Y108" s="340">
        <v>53.4</v>
      </c>
      <c r="Z108" s="340">
        <v>0.45250000000000001</v>
      </c>
      <c r="AA108" s="340">
        <v>251</v>
      </c>
      <c r="AB108" s="340">
        <v>55.21</v>
      </c>
      <c r="AC108" s="340">
        <v>0.42749999999999999</v>
      </c>
      <c r="AD108" s="340">
        <v>250.9</v>
      </c>
      <c r="AE108" s="340">
        <v>52.99</v>
      </c>
      <c r="AF108" s="340">
        <v>0.42749999999999999</v>
      </c>
      <c r="AG108" s="340">
        <v>250.6</v>
      </c>
      <c r="AH108" s="340">
        <v>58.61</v>
      </c>
      <c r="AI108" s="340">
        <v>0.42749999999999999</v>
      </c>
      <c r="AJ108" s="340">
        <v>250.2</v>
      </c>
      <c r="AK108" s="340">
        <v>62.48</v>
      </c>
      <c r="AL108" s="340">
        <v>0.42749999999999999</v>
      </c>
      <c r="AM108" s="340">
        <v>250.3</v>
      </c>
      <c r="AN108" s="340">
        <v>61.47</v>
      </c>
      <c r="AO108" s="340">
        <v>0.40250000000000002</v>
      </c>
      <c r="AP108" s="340">
        <v>250.2</v>
      </c>
      <c r="AQ108" s="340">
        <v>55.98</v>
      </c>
      <c r="AR108" s="340">
        <v>0.40250000000000002</v>
      </c>
      <c r="AS108" s="340">
        <v>250</v>
      </c>
      <c r="AT108" s="340">
        <v>55.76</v>
      </c>
      <c r="AU108" s="340">
        <v>0.40250000000000002</v>
      </c>
      <c r="AV108" s="340">
        <v>248.4</v>
      </c>
      <c r="AW108" s="340">
        <v>54.16</v>
      </c>
      <c r="AX108" s="340">
        <v>0.40250000000000002</v>
      </c>
      <c r="AY108" s="503">
        <v>249.7</v>
      </c>
      <c r="AZ108" s="503">
        <v>51.53</v>
      </c>
      <c r="BA108" s="503">
        <v>0.38</v>
      </c>
      <c r="BB108" s="504">
        <v>249.6</v>
      </c>
      <c r="BC108" s="504">
        <v>51.65</v>
      </c>
      <c r="BD108" s="504">
        <v>0.38</v>
      </c>
      <c r="BE108" s="504">
        <v>244.4</v>
      </c>
      <c r="BF108" s="504">
        <v>47.84</v>
      </c>
      <c r="BG108" s="504">
        <v>0.38</v>
      </c>
      <c r="BH108" s="504">
        <v>238.5</v>
      </c>
      <c r="BI108" s="504">
        <v>48.29</v>
      </c>
      <c r="BJ108" s="504">
        <v>0.38</v>
      </c>
      <c r="BK108" s="504">
        <v>239.1</v>
      </c>
      <c r="BL108" s="504">
        <v>54.72</v>
      </c>
      <c r="BM108" s="504">
        <v>0.35499999999999998</v>
      </c>
      <c r="BN108" s="504">
        <v>237.5</v>
      </c>
      <c r="BO108" s="504">
        <v>53.93</v>
      </c>
      <c r="BP108" s="504">
        <v>0.35499999999999998</v>
      </c>
      <c r="BQ108" s="504">
        <v>236.5</v>
      </c>
      <c r="BR108" s="504">
        <v>49.08</v>
      </c>
      <c r="BS108" s="504">
        <v>0.35499999999999998</v>
      </c>
      <c r="BT108" s="504">
        <v>233.6</v>
      </c>
      <c r="BU108" s="504">
        <v>47.13</v>
      </c>
      <c r="BV108" s="507">
        <v>0.35499999999999998</v>
      </c>
      <c r="BW108" s="504">
        <v>235.2</v>
      </c>
      <c r="BX108" s="504">
        <v>42.25</v>
      </c>
      <c r="BY108" s="504">
        <v>0.33500000000000002</v>
      </c>
      <c r="BZ108" s="504">
        <v>232</v>
      </c>
      <c r="CA108" s="504">
        <v>42.57</v>
      </c>
      <c r="CB108" s="504">
        <v>0.33500000000000002</v>
      </c>
      <c r="CC108" s="503">
        <v>231.4</v>
      </c>
      <c r="CD108" s="503">
        <v>42.32</v>
      </c>
      <c r="CE108" s="503">
        <v>0.33500000000000002</v>
      </c>
      <c r="CF108" s="503">
        <v>231.2</v>
      </c>
      <c r="CG108" s="503">
        <v>40.86</v>
      </c>
      <c r="CH108" s="508">
        <v>0.33500000000000002</v>
      </c>
      <c r="CI108" s="503">
        <v>231</v>
      </c>
      <c r="CJ108" s="503">
        <v>42.61</v>
      </c>
      <c r="CK108" s="503">
        <v>0.315</v>
      </c>
      <c r="CL108" s="503">
        <v>229</v>
      </c>
      <c r="CM108" s="503">
        <v>41.57</v>
      </c>
      <c r="CN108" s="503">
        <v>0.315</v>
      </c>
      <c r="CO108" s="503">
        <v>227.6</v>
      </c>
      <c r="CP108" s="503">
        <v>40.17</v>
      </c>
      <c r="CQ108" s="503">
        <v>0.315</v>
      </c>
      <c r="CR108" s="504">
        <v>227.1</v>
      </c>
      <c r="CS108" s="504">
        <v>39.61</v>
      </c>
      <c r="CT108" s="514">
        <v>0.315</v>
      </c>
      <c r="CU108" s="503">
        <v>227.2</v>
      </c>
      <c r="CV108" s="503">
        <v>37.89</v>
      </c>
      <c r="CW108" s="503">
        <v>0.29375000000000001</v>
      </c>
      <c r="CX108" s="339">
        <v>227</v>
      </c>
      <c r="CY108" s="339">
        <v>38.31</v>
      </c>
      <c r="CZ108" s="339">
        <v>0.29375000000000001</v>
      </c>
      <c r="DA108" s="534">
        <v>226.8</v>
      </c>
      <c r="DB108" s="535">
        <v>39.700000000000003</v>
      </c>
      <c r="DC108" s="535">
        <v>0.29375000000000001</v>
      </c>
      <c r="DD108" s="535">
        <f>112.7*2</f>
        <v>225.4</v>
      </c>
      <c r="DE108" s="339">
        <f>74.28/2</f>
        <v>37.14</v>
      </c>
      <c r="DF108" s="511">
        <f>0.5875/2</f>
        <v>0.29375000000000001</v>
      </c>
      <c r="DG108" s="339">
        <f>113.2*2</f>
        <v>226.4</v>
      </c>
      <c r="DH108" s="339">
        <f>62.45/2</f>
        <v>31.225000000000001</v>
      </c>
      <c r="DI108" s="339">
        <f>0.55/2</f>
        <v>0.27500000000000002</v>
      </c>
      <c r="DJ108" s="339">
        <f>113.1*2</f>
        <v>226.2</v>
      </c>
      <c r="DK108" s="339">
        <f>58.49/2</f>
        <v>29.245000000000001</v>
      </c>
      <c r="DL108" s="339">
        <f>0.55/2</f>
        <v>0.27500000000000002</v>
      </c>
      <c r="DM108" s="339">
        <f>111.1*2</f>
        <v>222.2</v>
      </c>
      <c r="DN108" s="339">
        <f>57.72/2</f>
        <v>28.86</v>
      </c>
      <c r="DO108" s="339">
        <f>0.55/2</f>
        <v>0.27500000000000002</v>
      </c>
      <c r="DP108" s="340">
        <f>110.8*2</f>
        <v>221.6</v>
      </c>
      <c r="DQ108" s="340">
        <f>63/2</f>
        <v>31.5</v>
      </c>
      <c r="DR108" s="515">
        <f>0.55/2</f>
        <v>0.27500000000000002</v>
      </c>
      <c r="DS108" s="339">
        <f>110.8*2</f>
        <v>221.6</v>
      </c>
      <c r="DT108" s="339">
        <f>66.42/2</f>
        <v>33.21</v>
      </c>
      <c r="DU108" s="339">
        <f>0.51/2</f>
        <v>0.255</v>
      </c>
      <c r="DV108" s="339">
        <f>110.8*2</f>
        <v>221.6</v>
      </c>
      <c r="DW108" s="339">
        <f>55.41/2</f>
        <v>27.704999999999998</v>
      </c>
      <c r="DX108" s="339">
        <f>0.51/2</f>
        <v>0.255</v>
      </c>
      <c r="DY108" s="339">
        <f>110.8*2</f>
        <v>221.6</v>
      </c>
      <c r="DZ108" s="339">
        <f>60.86/2</f>
        <v>30.43</v>
      </c>
      <c r="EA108" s="339">
        <f>0.51/2</f>
        <v>0.255</v>
      </c>
      <c r="EB108" s="340">
        <f>110.8*2</f>
        <v>221.6</v>
      </c>
      <c r="EC108" s="340">
        <f>56.81/2</f>
        <v>28.405000000000001</v>
      </c>
      <c r="ED108" s="515">
        <f>0.51/2</f>
        <v>0.255</v>
      </c>
      <c r="EE108" s="339">
        <f>110.783*2</f>
        <v>221.566</v>
      </c>
      <c r="EF108" s="339">
        <f>51.6/2</f>
        <v>25.8</v>
      </c>
      <c r="EG108" s="339">
        <f>0.47/2</f>
        <v>0.23499999999999999</v>
      </c>
      <c r="EH108" s="339">
        <f>110.776*2</f>
        <v>221.55199999999999</v>
      </c>
      <c r="EI108" s="339">
        <f>49.55/2</f>
        <v>24.774999999999999</v>
      </c>
      <c r="EJ108" s="339">
        <f>0.47/2</f>
        <v>0.23499999999999999</v>
      </c>
      <c r="EK108" s="339">
        <f>110.767*2</f>
        <v>221.53399999999999</v>
      </c>
      <c r="EL108" s="339">
        <f>50.42/2</f>
        <v>25.21</v>
      </c>
      <c r="EM108" s="339">
        <f>0.47/2</f>
        <v>0.23499999999999999</v>
      </c>
      <c r="EN108" s="340">
        <f>110.753*2</f>
        <v>221.506</v>
      </c>
      <c r="EO108" s="340">
        <f>50.18/2</f>
        <v>25.09</v>
      </c>
      <c r="EP108" s="515">
        <f>0.47/2</f>
        <v>0.23499999999999999</v>
      </c>
      <c r="EQ108" s="339">
        <f>110.768*2</f>
        <v>221.536</v>
      </c>
      <c r="ER108" s="339">
        <f>43.91/2</f>
        <v>21.954999999999998</v>
      </c>
      <c r="ES108" s="339">
        <f>0.45/2</f>
        <v>0.22500000000000001</v>
      </c>
      <c r="ET108" s="339">
        <f>110.756*2</f>
        <v>221.512</v>
      </c>
      <c r="EU108" s="339">
        <f>43.39/2</f>
        <v>21.695</v>
      </c>
      <c r="EV108" s="339">
        <f>0.45/2</f>
        <v>0.22500000000000001</v>
      </c>
      <c r="EW108" s="339">
        <f>110.716*2</f>
        <v>221.43199999999999</v>
      </c>
      <c r="EX108" s="339">
        <f>45.57/2</f>
        <v>22.785</v>
      </c>
      <c r="EY108" s="339">
        <f>0.45/2</f>
        <v>0.22500000000000001</v>
      </c>
      <c r="EZ108" s="340">
        <f>110.626*2</f>
        <v>221.25200000000001</v>
      </c>
      <c r="FA108" s="340">
        <f>43.32/2</f>
        <v>21.66</v>
      </c>
      <c r="FB108" s="515">
        <f>0.45/2</f>
        <v>0.22500000000000001</v>
      </c>
      <c r="FC108" s="339">
        <f>110.647*2</f>
        <v>221.29400000000001</v>
      </c>
      <c r="FD108" s="339">
        <f>44.11/2</f>
        <v>22.055</v>
      </c>
      <c r="FE108" s="339">
        <f>0.425/2</f>
        <v>0.21249999999999999</v>
      </c>
      <c r="FF108" s="339">
        <f>110.624*2</f>
        <v>221.24799999999999</v>
      </c>
      <c r="FG108" s="339">
        <f>38.68/2</f>
        <v>19.34</v>
      </c>
      <c r="FH108" s="339">
        <f>0.425/2</f>
        <v>0.21249999999999999</v>
      </c>
      <c r="FI108" s="339">
        <f>110.569*2</f>
        <v>221.13800000000001</v>
      </c>
      <c r="FJ108" s="339">
        <f>40.66/2</f>
        <v>20.329999999999998</v>
      </c>
      <c r="FK108" s="339">
        <f>0.425/2</f>
        <v>0.21249999999999999</v>
      </c>
      <c r="FL108" s="339">
        <f>110.521*2</f>
        <v>221.042</v>
      </c>
      <c r="FM108" s="339">
        <f>38.93/2</f>
        <v>19.465</v>
      </c>
      <c r="FN108" s="511">
        <f>0.425/2</f>
        <v>0.21249999999999999</v>
      </c>
      <c r="FO108" s="339">
        <f>110.469*2</f>
        <v>220.93799999999999</v>
      </c>
      <c r="FP108" s="339">
        <f>36.77/2</f>
        <v>18.385000000000002</v>
      </c>
      <c r="FQ108" s="339">
        <f>0.395/2</f>
        <v>0.19750000000000001</v>
      </c>
      <c r="FR108" s="339">
        <f>110.409*2</f>
        <v>220.81800000000001</v>
      </c>
      <c r="FS108" s="339">
        <f>36.35/2</f>
        <v>18.175000000000001</v>
      </c>
      <c r="FT108" s="339">
        <v>0.39500000000000002</v>
      </c>
      <c r="FU108" s="339">
        <v>110.36799999999999</v>
      </c>
      <c r="FV108" s="339">
        <v>31.74</v>
      </c>
      <c r="FW108" s="339">
        <v>0.39500000000000002</v>
      </c>
      <c r="FX108" s="339">
        <v>110.301</v>
      </c>
      <c r="FY108" s="339">
        <v>33.26</v>
      </c>
      <c r="FZ108" s="339">
        <v>0.39500000000000002</v>
      </c>
      <c r="GA108" s="339">
        <v>110.288</v>
      </c>
      <c r="GB108" s="339">
        <v>30.26</v>
      </c>
      <c r="GC108" s="339">
        <v>0.375</v>
      </c>
      <c r="GD108" s="339">
        <v>110.26600000000001</v>
      </c>
      <c r="GE108" s="339">
        <v>27.85</v>
      </c>
      <c r="GF108" s="339">
        <v>0.375</v>
      </c>
      <c r="GG108" s="339">
        <v>110.218</v>
      </c>
      <c r="GH108" s="339">
        <v>26.13</v>
      </c>
      <c r="GI108" s="339">
        <v>0.375</v>
      </c>
      <c r="GJ108" s="339">
        <v>110.18</v>
      </c>
      <c r="GK108" s="339">
        <v>24.69</v>
      </c>
      <c r="GL108" s="339">
        <v>0.375</v>
      </c>
      <c r="GM108" s="339">
        <v>110.182</v>
      </c>
      <c r="GN108" s="339">
        <v>29.18</v>
      </c>
      <c r="GO108" s="339">
        <v>0.35</v>
      </c>
      <c r="GP108" s="339">
        <v>110.16800000000001</v>
      </c>
      <c r="GQ108" s="339">
        <v>32.21</v>
      </c>
      <c r="GR108" s="339">
        <v>0.35</v>
      </c>
      <c r="GS108" s="339">
        <v>110.148</v>
      </c>
      <c r="GT108" s="339">
        <v>34.26</v>
      </c>
      <c r="GU108" s="339">
        <v>0.35</v>
      </c>
      <c r="GV108" s="339">
        <v>112.28400000000001</v>
      </c>
      <c r="GW108" s="339">
        <v>35.01</v>
      </c>
      <c r="GX108" s="339">
        <v>0.35</v>
      </c>
      <c r="GY108" s="339">
        <v>110.881</v>
      </c>
      <c r="GZ108" s="339">
        <v>40.69</v>
      </c>
      <c r="HA108" s="339">
        <v>0.3175</v>
      </c>
      <c r="HB108" s="339">
        <v>112.77800000000001</v>
      </c>
      <c r="HC108" s="339">
        <v>38.32</v>
      </c>
      <c r="HD108" s="339">
        <v>0.3175</v>
      </c>
      <c r="HE108" s="339">
        <v>115.42</v>
      </c>
      <c r="HF108" s="339">
        <v>38.85</v>
      </c>
      <c r="HG108" s="339">
        <v>0.3175</v>
      </c>
      <c r="HH108" s="339">
        <v>116.82599999999999</v>
      </c>
      <c r="HI108" s="505">
        <v>44.82</v>
      </c>
      <c r="HJ108" s="339">
        <v>0.3175</v>
      </c>
      <c r="HK108" s="339">
        <v>117.11</v>
      </c>
      <c r="HL108" s="339">
        <v>37.770000000000003</v>
      </c>
      <c r="HM108" s="339">
        <v>0.28749999999999998</v>
      </c>
      <c r="HN108" s="339">
        <v>117.30500000000001</v>
      </c>
      <c r="HO108" s="339">
        <v>35.729999999999997</v>
      </c>
      <c r="HP108" s="339">
        <v>0.28749999999999998</v>
      </c>
      <c r="HQ108" s="339">
        <v>117.03700000000001</v>
      </c>
      <c r="HR108" s="339">
        <v>34.299999999999997</v>
      </c>
      <c r="HS108" s="339">
        <v>0.28749999999999998</v>
      </c>
      <c r="HT108" s="339">
        <v>116.94799999999999</v>
      </c>
      <c r="HU108" s="339">
        <v>31.47</v>
      </c>
      <c r="HV108" s="339">
        <v>0.28749999999999998</v>
      </c>
      <c r="HW108" s="339">
        <v>116.639</v>
      </c>
      <c r="HX108" s="506">
        <v>28.04</v>
      </c>
      <c r="HY108" s="513">
        <f>1.05/4</f>
        <v>0.26250000000000001</v>
      </c>
      <c r="HZ108" s="339">
        <v>116.283</v>
      </c>
      <c r="IA108" s="339">
        <v>29.13</v>
      </c>
      <c r="IB108" s="339">
        <v>0.26250000000000001</v>
      </c>
      <c r="IC108" s="339">
        <v>116.032</v>
      </c>
      <c r="ID108" s="339">
        <v>28.15</v>
      </c>
      <c r="IE108" s="339">
        <v>0.26250000000000001</v>
      </c>
      <c r="IF108" s="339">
        <v>114.246443</v>
      </c>
      <c r="IG108" s="339">
        <v>26.78</v>
      </c>
      <c r="IH108" s="339">
        <v>0.26250000000000001</v>
      </c>
      <c r="II108" s="339">
        <v>114.246443</v>
      </c>
      <c r="IJ108" s="505">
        <v>28.6</v>
      </c>
      <c r="IK108" s="339">
        <v>0.26250000000000001</v>
      </c>
      <c r="IL108" s="339">
        <v>112.07899999999999</v>
      </c>
      <c r="IM108" s="339">
        <v>24.88</v>
      </c>
      <c r="IN108" s="339">
        <v>0.25</v>
      </c>
      <c r="IO108" s="339">
        <v>111.153173</v>
      </c>
      <c r="IP108" s="339">
        <v>26.08</v>
      </c>
      <c r="IQ108" s="339">
        <v>0.25</v>
      </c>
      <c r="IR108" s="339">
        <v>101.544</v>
      </c>
      <c r="IS108" s="339">
        <v>26.06</v>
      </c>
      <c r="IT108" s="339">
        <v>0.25</v>
      </c>
      <c r="IU108" s="339">
        <v>109.221</v>
      </c>
      <c r="IV108" s="339">
        <v>24.9</v>
      </c>
      <c r="IW108" s="339">
        <v>0.25</v>
      </c>
      <c r="IX108" s="339">
        <v>92.911219000000003</v>
      </c>
      <c r="IY108" s="339">
        <v>22</v>
      </c>
      <c r="IZ108" s="339">
        <v>0.25</v>
      </c>
      <c r="JA108" s="339">
        <v>92.511061999999995</v>
      </c>
      <c r="JB108" s="339">
        <v>19.03</v>
      </c>
      <c r="JC108" s="339">
        <v>0.25</v>
      </c>
      <c r="JD108" s="339">
        <v>90.959000000000003</v>
      </c>
      <c r="JE108" s="339">
        <v>16.07</v>
      </c>
      <c r="JF108" s="339">
        <v>0.25</v>
      </c>
      <c r="JG108" s="339">
        <v>91.182359000000005</v>
      </c>
      <c r="JH108" s="339">
        <v>16.55</v>
      </c>
      <c r="JI108" s="339">
        <v>0.5</v>
      </c>
      <c r="JJ108" s="339">
        <v>90.470079999999996</v>
      </c>
      <c r="JK108" s="339">
        <v>19.25</v>
      </c>
      <c r="JL108" s="339">
        <v>0.5</v>
      </c>
      <c r="JM108" s="339">
        <v>89.964212000000003</v>
      </c>
      <c r="JN108" s="339">
        <v>25.7</v>
      </c>
      <c r="JO108" s="339">
        <v>0.5</v>
      </c>
      <c r="JP108" s="339">
        <v>80.498000000000005</v>
      </c>
      <c r="JQ108" s="339">
        <v>30.22</v>
      </c>
      <c r="JR108" s="339">
        <v>0.5</v>
      </c>
      <c r="JS108" s="339">
        <v>79.239999999999995</v>
      </c>
      <c r="JT108" s="339">
        <v>30.36</v>
      </c>
      <c r="JU108" s="339">
        <v>0.5</v>
      </c>
      <c r="JV108" s="339">
        <v>79.174999999999997</v>
      </c>
      <c r="JW108" s="339">
        <v>31.3</v>
      </c>
      <c r="JX108" s="339">
        <v>0.5</v>
      </c>
      <c r="JY108" s="339">
        <v>79.197999999999993</v>
      </c>
      <c r="JZ108" s="339">
        <v>29.15</v>
      </c>
      <c r="KA108" s="339">
        <v>0.5</v>
      </c>
      <c r="KB108" s="339">
        <v>79.16</v>
      </c>
      <c r="KC108" s="339">
        <v>31.82</v>
      </c>
      <c r="KD108" s="339">
        <v>0.5</v>
      </c>
      <c r="KE108" s="339">
        <v>79.16</v>
      </c>
      <c r="KF108" s="339">
        <v>31.875</v>
      </c>
      <c r="KG108" s="339">
        <v>0.5</v>
      </c>
      <c r="KH108" s="339">
        <v>79.001999999999995</v>
      </c>
      <c r="KI108" s="339">
        <v>29.375</v>
      </c>
      <c r="KJ108" s="339">
        <v>0.5</v>
      </c>
      <c r="KK108" s="339">
        <v>78.995999999999995</v>
      </c>
      <c r="KL108" s="339">
        <v>26</v>
      </c>
      <c r="KM108" s="339">
        <v>0.5</v>
      </c>
      <c r="KN108" s="339">
        <v>78.846999999999994</v>
      </c>
      <c r="KO108" s="339">
        <v>30.4375</v>
      </c>
      <c r="KP108" s="339">
        <v>0.5</v>
      </c>
      <c r="KQ108" s="339">
        <v>78.569000000000003</v>
      </c>
      <c r="KR108" s="339">
        <v>27.5</v>
      </c>
      <c r="KS108" s="339">
        <v>0.5</v>
      </c>
      <c r="KT108" s="339">
        <v>78.213999999999999</v>
      </c>
      <c r="KU108" s="339">
        <v>27.6875</v>
      </c>
      <c r="KV108" s="339">
        <v>0.5</v>
      </c>
      <c r="KW108" s="334">
        <v>76.91</v>
      </c>
      <c r="KX108" s="334">
        <v>28.375</v>
      </c>
      <c r="KY108" s="334">
        <v>0.5</v>
      </c>
      <c r="KZ108" s="334">
        <v>77</v>
      </c>
      <c r="LA108" s="334">
        <v>26.625</v>
      </c>
      <c r="LB108" s="334">
        <v>0.5</v>
      </c>
      <c r="LC108" s="334">
        <v>77</v>
      </c>
      <c r="LD108" s="334">
        <v>32.25</v>
      </c>
      <c r="LE108" s="334">
        <v>0.5</v>
      </c>
      <c r="LF108" s="334">
        <v>30.79</v>
      </c>
      <c r="LG108" s="334">
        <v>32.063000000000002</v>
      </c>
      <c r="LH108" s="334">
        <v>0.5</v>
      </c>
      <c r="LI108" s="334">
        <v>30.79</v>
      </c>
      <c r="LJ108" s="334">
        <v>32.5</v>
      </c>
      <c r="LK108" s="334">
        <v>0.5</v>
      </c>
      <c r="LL108" s="334">
        <v>30.79</v>
      </c>
      <c r="LM108" s="334">
        <v>33.6875</v>
      </c>
      <c r="LN108" s="334">
        <v>0.5</v>
      </c>
      <c r="LO108" s="334">
        <v>30.789000000000001</v>
      </c>
      <c r="LP108" s="334">
        <v>33.125</v>
      </c>
      <c r="LQ108" s="334">
        <v>0.5</v>
      </c>
      <c r="LR108" s="334">
        <v>30.774000000000001</v>
      </c>
      <c r="LS108" s="334">
        <v>28.625</v>
      </c>
      <c r="LT108" s="334">
        <v>0.5</v>
      </c>
      <c r="LU108" s="334">
        <v>30.774000000000001</v>
      </c>
      <c r="LV108" s="334">
        <v>27.937999999999999</v>
      </c>
      <c r="LW108" s="334">
        <v>0.5</v>
      </c>
      <c r="LX108" s="334">
        <v>30.294</v>
      </c>
      <c r="LY108" s="334">
        <v>27.375</v>
      </c>
      <c r="LZ108" s="334">
        <v>0.5</v>
      </c>
      <c r="MA108" s="334">
        <v>30.294</v>
      </c>
      <c r="MB108" s="334">
        <v>28.125</v>
      </c>
      <c r="MC108" s="334">
        <v>0.49249999999999999</v>
      </c>
      <c r="MD108" s="334">
        <v>30.294</v>
      </c>
      <c r="ME108" s="334">
        <v>29.125</v>
      </c>
      <c r="MF108" s="334">
        <v>0.49249999999999999</v>
      </c>
      <c r="MG108" s="334">
        <v>30.294</v>
      </c>
      <c r="MH108" s="334">
        <v>32.875</v>
      </c>
      <c r="MI108" s="334">
        <v>0.49249999999999999</v>
      </c>
      <c r="MJ108" s="334">
        <v>30.294</v>
      </c>
      <c r="MK108" s="334">
        <v>30.875</v>
      </c>
      <c r="ML108" s="334">
        <v>0.48499999999999999</v>
      </c>
      <c r="MM108" s="334">
        <v>30.294</v>
      </c>
      <c r="MN108" s="334">
        <v>30.625</v>
      </c>
      <c r="MO108" s="334">
        <v>0.48499999999999999</v>
      </c>
      <c r="MP108" s="334">
        <v>30.294</v>
      </c>
      <c r="MQ108" s="334">
        <v>29.25</v>
      </c>
      <c r="MR108" s="334">
        <v>0.48499999999999999</v>
      </c>
      <c r="MS108" s="334">
        <v>30.294</v>
      </c>
      <c r="MT108" s="334">
        <v>28.625</v>
      </c>
      <c r="MU108" s="334">
        <v>0.48499999999999999</v>
      </c>
      <c r="MV108" s="334">
        <v>30.294</v>
      </c>
      <c r="MW108" s="334">
        <v>28.75</v>
      </c>
      <c r="MX108" s="334">
        <v>0.48499999999999999</v>
      </c>
      <c r="MY108" s="334">
        <v>30.294</v>
      </c>
      <c r="MZ108" s="334">
        <v>27.375</v>
      </c>
      <c r="NA108" s="334">
        <v>0.48</v>
      </c>
      <c r="NB108" s="334">
        <v>30.294</v>
      </c>
      <c r="NC108" s="334">
        <v>28.125</v>
      </c>
      <c r="ND108" s="334">
        <v>0.48</v>
      </c>
      <c r="NE108" s="334">
        <v>30.294</v>
      </c>
      <c r="NF108" s="334">
        <v>27.25</v>
      </c>
      <c r="NG108" s="334">
        <v>0.48</v>
      </c>
      <c r="NH108" s="334">
        <v>30.294</v>
      </c>
      <c r="NI108" s="334">
        <v>29.625</v>
      </c>
      <c r="NJ108" s="334">
        <v>0.48</v>
      </c>
      <c r="NK108" s="334">
        <v>30.294</v>
      </c>
      <c r="NL108" s="334">
        <v>32.875</v>
      </c>
      <c r="NM108" s="334">
        <v>0.47499999999999998</v>
      </c>
      <c r="NN108" s="334">
        <v>30.294</v>
      </c>
      <c r="NO108" s="334">
        <v>35.625</v>
      </c>
      <c r="NP108" s="334">
        <v>0.47499999999999998</v>
      </c>
      <c r="NQ108" s="334">
        <v>30.332000000000001</v>
      </c>
      <c r="NR108" s="334">
        <v>35.375</v>
      </c>
      <c r="NS108" s="334">
        <v>0.47499999999999998</v>
      </c>
      <c r="NT108" s="334">
        <v>27.712</v>
      </c>
      <c r="NU108" s="334">
        <v>36.5</v>
      </c>
      <c r="NV108" s="334">
        <v>0.47499999999999998</v>
      </c>
      <c r="NW108" s="334">
        <v>26.977</v>
      </c>
      <c r="NX108" s="334">
        <v>33.880000000000003</v>
      </c>
      <c r="NY108" s="334">
        <v>0.47</v>
      </c>
      <c r="NZ108" s="334">
        <v>26.977</v>
      </c>
      <c r="OA108" s="334">
        <v>35.630000000000003</v>
      </c>
      <c r="OB108" s="334">
        <v>0.47</v>
      </c>
      <c r="OC108" s="334">
        <v>26.91</v>
      </c>
      <c r="OD108" s="334">
        <v>33.75</v>
      </c>
      <c r="OE108" s="334">
        <v>0.47</v>
      </c>
      <c r="OF108" s="334">
        <v>26.844000000000001</v>
      </c>
      <c r="OG108" s="334">
        <v>31.13</v>
      </c>
      <c r="OH108" s="334">
        <v>0.47</v>
      </c>
      <c r="OI108" s="334">
        <v>26.73</v>
      </c>
      <c r="OJ108" s="334">
        <v>32.75</v>
      </c>
      <c r="OK108" s="334">
        <v>0.45</v>
      </c>
      <c r="OL108" s="334">
        <v>26.716000000000001</v>
      </c>
      <c r="OM108" s="334">
        <v>30</v>
      </c>
      <c r="ON108" s="334">
        <v>0.45</v>
      </c>
      <c r="OO108" s="334">
        <v>26.689</v>
      </c>
      <c r="OP108" s="334">
        <v>25.75</v>
      </c>
      <c r="OQ108" s="334">
        <v>0.45</v>
      </c>
      <c r="OR108" s="334">
        <v>26.663</v>
      </c>
      <c r="OS108" s="334">
        <v>26.25</v>
      </c>
      <c r="OT108" s="334">
        <v>0.45</v>
      </c>
      <c r="OU108" s="334">
        <v>26.663</v>
      </c>
      <c r="OV108" s="334">
        <v>24.5</v>
      </c>
    </row>
    <row r="109" spans="1:412">
      <c r="A109" s="294" t="s">
        <v>44</v>
      </c>
      <c r="B109" s="335" t="s">
        <v>157</v>
      </c>
      <c r="C109" s="335">
        <v>78.835999999999999</v>
      </c>
      <c r="D109" s="335">
        <v>36.630000000000003</v>
      </c>
      <c r="E109" s="335">
        <v>0.47499999999999998</v>
      </c>
      <c r="F109" s="335">
        <v>78.39</v>
      </c>
      <c r="G109" s="335">
        <v>38.75</v>
      </c>
      <c r="H109" s="335">
        <v>0.47499999999999998</v>
      </c>
      <c r="I109" s="335">
        <v>78.161000000000001</v>
      </c>
      <c r="J109" s="335">
        <v>34.61</v>
      </c>
      <c r="K109" s="335">
        <v>0.47499999999999998</v>
      </c>
      <c r="L109" s="335">
        <v>77.697999999999993</v>
      </c>
      <c r="M109" s="335">
        <v>35.020000000000003</v>
      </c>
      <c r="N109" s="335">
        <v>0.47499999999999998</v>
      </c>
      <c r="O109" s="335">
        <v>76.733999999999995</v>
      </c>
      <c r="P109" s="335">
        <v>35.74</v>
      </c>
      <c r="Q109" s="335">
        <v>0.46</v>
      </c>
      <c r="R109" s="340">
        <v>75.983000000000004</v>
      </c>
      <c r="S109" s="340">
        <v>32.369999999999997</v>
      </c>
      <c r="T109" s="340">
        <v>0.46</v>
      </c>
      <c r="U109" s="340">
        <v>75.168999999999997</v>
      </c>
      <c r="V109" s="340">
        <v>39.270000000000003</v>
      </c>
      <c r="W109" s="340">
        <v>0.46</v>
      </c>
      <c r="X109" s="340">
        <v>72.989000000000004</v>
      </c>
      <c r="Y109" s="340">
        <v>42.45</v>
      </c>
      <c r="Z109" s="340">
        <v>0.46</v>
      </c>
      <c r="AA109" s="340">
        <v>73.228999999999999</v>
      </c>
      <c r="AB109" s="340">
        <v>44.34</v>
      </c>
      <c r="AC109" s="340">
        <v>0.44</v>
      </c>
      <c r="AD109" s="340">
        <v>72.623999999999995</v>
      </c>
      <c r="AE109" s="340">
        <v>37.049999999999997</v>
      </c>
      <c r="AF109" s="340">
        <v>0.44</v>
      </c>
      <c r="AG109" s="340">
        <v>71.787000000000006</v>
      </c>
      <c r="AH109" s="340">
        <v>43.51</v>
      </c>
      <c r="AI109" s="340">
        <v>0.44</v>
      </c>
      <c r="AJ109" s="340">
        <v>69.950999999999993</v>
      </c>
      <c r="AK109" s="340">
        <v>45.15</v>
      </c>
      <c r="AL109" s="340">
        <v>0.44</v>
      </c>
      <c r="AM109" s="340">
        <v>70.054000000000002</v>
      </c>
      <c r="AN109" s="340">
        <v>42.49</v>
      </c>
      <c r="AO109" s="340">
        <v>0.42249999999999999</v>
      </c>
      <c r="AP109" s="340">
        <v>69.403999999999996</v>
      </c>
      <c r="AQ109" s="340">
        <v>39.119999999999997</v>
      </c>
      <c r="AR109" s="340">
        <v>0.42249999999999999</v>
      </c>
      <c r="AS109" s="340">
        <v>69.293000000000006</v>
      </c>
      <c r="AT109" s="340">
        <v>42.67</v>
      </c>
      <c r="AU109" s="340">
        <v>0.42249999999999999</v>
      </c>
      <c r="AV109" s="340">
        <v>67.962000000000003</v>
      </c>
      <c r="AW109" s="340">
        <v>47.75</v>
      </c>
      <c r="AX109" s="340">
        <v>0.42249999999999999</v>
      </c>
      <c r="AY109" s="504">
        <v>68.194000000000003</v>
      </c>
      <c r="AZ109" s="504">
        <v>40.14</v>
      </c>
      <c r="BA109" s="504">
        <v>0.40500000000000003</v>
      </c>
      <c r="BB109" s="504">
        <v>67.480999999999995</v>
      </c>
      <c r="BC109" s="504">
        <v>34.119999999999997</v>
      </c>
      <c r="BD109" s="504">
        <v>0.40500000000000003</v>
      </c>
      <c r="BE109" s="504">
        <v>67.239000000000004</v>
      </c>
      <c r="BF109" s="504">
        <v>36.39</v>
      </c>
      <c r="BG109" s="504">
        <v>0.40500000000000003</v>
      </c>
      <c r="BH109" s="504">
        <v>66.204999999999998</v>
      </c>
      <c r="BI109" s="504">
        <v>42.49</v>
      </c>
      <c r="BJ109" s="504">
        <v>0.40500000000000003</v>
      </c>
      <c r="BK109" s="504">
        <v>66.265000000000001</v>
      </c>
      <c r="BL109" s="504">
        <v>48.09</v>
      </c>
      <c r="BM109" s="504">
        <v>0.38750000000000001</v>
      </c>
      <c r="BN109" s="504">
        <v>65.894000000000005</v>
      </c>
      <c r="BO109" s="504">
        <v>48.44</v>
      </c>
      <c r="BP109" s="504">
        <v>0.38750000000000001</v>
      </c>
      <c r="BQ109" s="504">
        <v>65.733000000000004</v>
      </c>
      <c r="BR109" s="504">
        <v>44.6</v>
      </c>
      <c r="BS109" s="504">
        <v>0.38750000000000001</v>
      </c>
      <c r="BT109" s="504">
        <v>65.673000000000002</v>
      </c>
      <c r="BU109" s="504">
        <v>40.619999999999997</v>
      </c>
      <c r="BV109" s="507">
        <v>0.38750000000000001</v>
      </c>
      <c r="BW109" s="504">
        <v>65.688000000000002</v>
      </c>
      <c r="BX109" s="504">
        <v>42.48</v>
      </c>
      <c r="BY109" s="504">
        <v>0.3725</v>
      </c>
      <c r="BZ109" s="504">
        <v>65.677000000000007</v>
      </c>
      <c r="CA109" s="504">
        <v>50.56</v>
      </c>
      <c r="CB109" s="504">
        <v>0.3725</v>
      </c>
      <c r="CC109" s="503">
        <v>65.638999999999996</v>
      </c>
      <c r="CD109" s="503">
        <v>52.66</v>
      </c>
      <c r="CE109" s="503">
        <v>0.3725</v>
      </c>
      <c r="CF109" s="503">
        <v>64.808999999999997</v>
      </c>
      <c r="CG109" s="503">
        <v>51.25</v>
      </c>
      <c r="CH109" s="508">
        <v>0.3725</v>
      </c>
      <c r="CI109" s="503">
        <v>64.412000000000006</v>
      </c>
      <c r="CJ109" s="503">
        <v>51.49</v>
      </c>
      <c r="CK109" s="503">
        <v>0.35749999999999998</v>
      </c>
      <c r="CL109" s="503">
        <v>64.400999999999996</v>
      </c>
      <c r="CM109" s="503">
        <v>51.77</v>
      </c>
      <c r="CN109" s="503">
        <v>0.35749999999999998</v>
      </c>
      <c r="CO109" s="503">
        <v>64.361999999999995</v>
      </c>
      <c r="CP109" s="503">
        <v>42.46</v>
      </c>
      <c r="CQ109" s="503">
        <v>0.35749999999999998</v>
      </c>
      <c r="CR109" s="504">
        <v>63.508000000000003</v>
      </c>
      <c r="CS109" s="504">
        <v>39.049999999999997</v>
      </c>
      <c r="CT109" s="514">
        <v>0.35749999999999998</v>
      </c>
      <c r="CU109" s="503">
        <v>63.856999999999999</v>
      </c>
      <c r="CV109" s="503">
        <v>39.99</v>
      </c>
      <c r="CW109" s="503">
        <v>0.34250000000000003</v>
      </c>
      <c r="CX109" s="339">
        <v>63.386000000000003</v>
      </c>
      <c r="CY109" s="339">
        <v>41.79</v>
      </c>
      <c r="CZ109" s="339">
        <v>0.34250000000000003</v>
      </c>
      <c r="DA109" s="339">
        <v>62.604999999999997</v>
      </c>
      <c r="DB109" s="339">
        <v>44.8</v>
      </c>
      <c r="DC109" s="339">
        <v>0.34250000000000003</v>
      </c>
      <c r="DD109" s="339">
        <v>62.301000000000002</v>
      </c>
      <c r="DE109" s="339">
        <v>40.78</v>
      </c>
      <c r="DF109" s="511">
        <v>0.34250000000000003</v>
      </c>
      <c r="DG109" s="339">
        <v>62.298999999999999</v>
      </c>
      <c r="DH109" s="339">
        <v>35.369999999999997</v>
      </c>
      <c r="DI109" s="339">
        <v>0.33</v>
      </c>
      <c r="DJ109" s="339">
        <v>62.280999999999999</v>
      </c>
      <c r="DK109" s="339">
        <v>33.25</v>
      </c>
      <c r="DL109" s="339">
        <v>0.33</v>
      </c>
      <c r="DM109" s="339">
        <v>62.317999999999998</v>
      </c>
      <c r="DN109" s="339">
        <v>30.65</v>
      </c>
      <c r="DO109" s="339">
        <v>0.33</v>
      </c>
      <c r="DP109" s="340">
        <v>62.29</v>
      </c>
      <c r="DQ109" s="340">
        <v>34.18</v>
      </c>
      <c r="DR109" s="515">
        <v>0.33</v>
      </c>
      <c r="DS109" s="339">
        <v>63.933999999999997</v>
      </c>
      <c r="DT109" s="339">
        <v>35.35</v>
      </c>
      <c r="DU109" s="339">
        <v>0.3175</v>
      </c>
      <c r="DV109" s="339">
        <v>60.183999999999997</v>
      </c>
      <c r="DW109" s="339">
        <v>30.53</v>
      </c>
      <c r="DX109" s="339">
        <v>0.3175</v>
      </c>
      <c r="DY109" s="339">
        <v>60.122</v>
      </c>
      <c r="DZ109" s="339">
        <v>33.520000000000003</v>
      </c>
      <c r="EA109" s="339">
        <v>0.3175</v>
      </c>
      <c r="EB109" s="340">
        <v>59.96</v>
      </c>
      <c r="EC109" s="340">
        <v>30.65</v>
      </c>
      <c r="ED109" s="515">
        <v>0.3175</v>
      </c>
      <c r="EE109" s="339">
        <v>59.994</v>
      </c>
      <c r="EF109" s="339">
        <v>28.19</v>
      </c>
      <c r="EG109" s="339">
        <v>0.30499999999999999</v>
      </c>
      <c r="EH109" s="339">
        <v>59.936999999999998</v>
      </c>
      <c r="EI109" s="339">
        <v>26.4</v>
      </c>
      <c r="EJ109" s="339">
        <v>0.30499999999999999</v>
      </c>
      <c r="EK109" s="339">
        <v>59.866</v>
      </c>
      <c r="EL109" s="339">
        <v>27.02</v>
      </c>
      <c r="EM109" s="339">
        <v>0.30499999999999999</v>
      </c>
      <c r="EN109" s="340">
        <v>59.027999999999999</v>
      </c>
      <c r="EO109" s="340">
        <v>27.4</v>
      </c>
      <c r="EP109" s="515">
        <v>0.30499999999999999</v>
      </c>
      <c r="EQ109" s="339">
        <v>59.046999999999997</v>
      </c>
      <c r="ER109" s="339">
        <v>24.11</v>
      </c>
      <c r="ES109" s="339">
        <v>0.28999999999999998</v>
      </c>
      <c r="ET109" s="339">
        <v>58.701999999999998</v>
      </c>
      <c r="EU109" s="339">
        <v>25.74</v>
      </c>
      <c r="EV109" s="339">
        <v>0.28999999999999998</v>
      </c>
      <c r="EW109" s="339">
        <v>58.581000000000003</v>
      </c>
      <c r="EX109" s="339">
        <v>26.7</v>
      </c>
      <c r="EY109" s="339">
        <v>0.28999999999999998</v>
      </c>
      <c r="EZ109" s="340">
        <v>57.872</v>
      </c>
      <c r="FA109" s="340">
        <v>25.58</v>
      </c>
      <c r="FB109" s="515">
        <v>0.28999999999999998</v>
      </c>
      <c r="FC109" s="339">
        <v>58.057000000000002</v>
      </c>
      <c r="FD109" s="339">
        <v>25.75</v>
      </c>
      <c r="FE109" s="339">
        <v>0.27500000000000002</v>
      </c>
      <c r="FF109" s="339">
        <v>57.786999999999999</v>
      </c>
      <c r="FG109" s="339">
        <v>23.85</v>
      </c>
      <c r="FH109" s="339">
        <v>0.27500000000000002</v>
      </c>
      <c r="FI109" s="339">
        <v>57.341999999999999</v>
      </c>
      <c r="FJ109" s="339">
        <v>25.69</v>
      </c>
      <c r="FK109" s="339">
        <v>0.27500000000000002</v>
      </c>
      <c r="FL109" s="339">
        <v>56.835000000000001</v>
      </c>
      <c r="FM109" s="339">
        <v>23.13</v>
      </c>
      <c r="FN109" s="511">
        <v>0.27500000000000002</v>
      </c>
      <c r="FO109" s="339">
        <v>55.616</v>
      </c>
      <c r="FP109" s="339">
        <v>22.53</v>
      </c>
      <c r="FQ109" s="339">
        <v>0.25</v>
      </c>
      <c r="FR109" s="339">
        <v>55.030999999999999</v>
      </c>
      <c r="FS109" s="339">
        <v>20.88</v>
      </c>
      <c r="FT109" s="339">
        <v>0.25</v>
      </c>
      <c r="FU109" s="339">
        <v>54.869</v>
      </c>
      <c r="FV109" s="339">
        <v>19.53</v>
      </c>
      <c r="FW109" s="339">
        <v>0.25</v>
      </c>
      <c r="FX109" s="339">
        <v>54.795999999999999</v>
      </c>
      <c r="FY109" s="339">
        <v>20.71</v>
      </c>
      <c r="FZ109" s="339">
        <v>0.25</v>
      </c>
      <c r="GA109" s="339">
        <v>54.706000000000003</v>
      </c>
      <c r="GB109" s="339">
        <v>21.59</v>
      </c>
      <c r="GC109" s="339">
        <v>0.21</v>
      </c>
      <c r="GD109" s="339">
        <v>54.654000000000003</v>
      </c>
      <c r="GE109" s="339">
        <v>20.22</v>
      </c>
      <c r="GF109" s="339">
        <v>0.21</v>
      </c>
      <c r="GG109" s="339">
        <v>54.616</v>
      </c>
      <c r="GH109" s="339">
        <v>17.809999999999999</v>
      </c>
      <c r="GI109" s="339">
        <v>0.21</v>
      </c>
      <c r="GJ109" s="339">
        <v>54.45</v>
      </c>
      <c r="GK109" s="339">
        <v>13.78</v>
      </c>
      <c r="GL109" s="339">
        <v>0.18</v>
      </c>
      <c r="GM109" s="339">
        <v>53.773000000000003</v>
      </c>
      <c r="GN109" s="339">
        <v>19.38</v>
      </c>
      <c r="GO109" s="339">
        <v>0.18</v>
      </c>
      <c r="GP109" s="339">
        <v>53.301000000000002</v>
      </c>
      <c r="GQ109" s="339">
        <v>21.71</v>
      </c>
      <c r="GR109" s="339">
        <v>0.18</v>
      </c>
      <c r="GS109" s="339">
        <v>53.02</v>
      </c>
      <c r="GT109" s="339">
        <v>21.46</v>
      </c>
      <c r="GU109" s="339">
        <v>0.16500000000000001</v>
      </c>
      <c r="GV109" s="339">
        <v>52.795999999999999</v>
      </c>
      <c r="GW109" s="339">
        <v>19.559999999999999</v>
      </c>
      <c r="GX109" s="339">
        <v>0.16500000000000001</v>
      </c>
      <c r="GY109" s="339">
        <v>52.834000000000003</v>
      </c>
      <c r="GZ109" s="339">
        <v>21.54</v>
      </c>
      <c r="HA109" s="339">
        <v>0.15</v>
      </c>
      <c r="HB109" s="339">
        <v>52.774999999999999</v>
      </c>
      <c r="HC109" s="339">
        <v>20.350000000000001</v>
      </c>
      <c r="HD109" s="339">
        <v>0.15</v>
      </c>
      <c r="HE109" s="339">
        <v>52.683999999999997</v>
      </c>
      <c r="HF109" s="339">
        <v>21.55</v>
      </c>
      <c r="HG109" s="339">
        <v>0.15</v>
      </c>
      <c r="HH109" s="339">
        <v>49.161999999999999</v>
      </c>
      <c r="HI109" s="505">
        <v>24.23</v>
      </c>
      <c r="HJ109" s="339">
        <v>0.14499999999999999</v>
      </c>
      <c r="HK109" s="339">
        <v>49.097999999999999</v>
      </c>
      <c r="HL109" s="339">
        <v>25.31</v>
      </c>
      <c r="HM109" s="339">
        <v>0.14499999999999999</v>
      </c>
      <c r="HN109" s="339">
        <v>48.957999999999998</v>
      </c>
      <c r="HO109" s="339">
        <v>23.68</v>
      </c>
      <c r="HP109" s="533">
        <v>0.14499999999999999</v>
      </c>
      <c r="HQ109" s="339">
        <v>48.795000000000002</v>
      </c>
      <c r="HR109" s="339">
        <v>22.83</v>
      </c>
      <c r="HS109" s="339">
        <v>0.14000000000000001</v>
      </c>
      <c r="HT109" s="339">
        <v>48.567999999999998</v>
      </c>
      <c r="HU109" s="339">
        <v>20.65</v>
      </c>
      <c r="HV109" s="339">
        <v>0.14000000000000001</v>
      </c>
      <c r="HW109" s="339">
        <v>48.537999999999997</v>
      </c>
      <c r="HX109" s="506">
        <v>17.71</v>
      </c>
      <c r="HY109" s="513">
        <f>0.56/4</f>
        <v>0.14000000000000001</v>
      </c>
      <c r="HZ109" s="339">
        <v>48.508000000000003</v>
      </c>
      <c r="IA109" s="339">
        <v>19.399999999999999</v>
      </c>
      <c r="IB109" s="339">
        <v>0.13500000000000001</v>
      </c>
      <c r="IC109" s="339">
        <v>48.478000000000002</v>
      </c>
      <c r="ID109" s="339">
        <v>18.59</v>
      </c>
      <c r="IE109" s="339">
        <v>0.13500000000000001</v>
      </c>
      <c r="IF109" s="339">
        <v>48.415999999999997</v>
      </c>
      <c r="IG109" s="339">
        <v>17.5</v>
      </c>
      <c r="IH109" s="339">
        <v>0.13500000000000001</v>
      </c>
      <c r="II109" s="339">
        <v>48.415999999999997</v>
      </c>
      <c r="IJ109" s="505">
        <v>17.670000000000002</v>
      </c>
      <c r="IK109" s="339">
        <v>0.13</v>
      </c>
      <c r="IL109" s="339">
        <v>48.384</v>
      </c>
      <c r="IM109" s="339">
        <v>18.100000000000001</v>
      </c>
      <c r="IN109" s="339">
        <v>0.13</v>
      </c>
      <c r="IO109" s="339">
        <v>48.351999999999997</v>
      </c>
      <c r="IP109" s="339">
        <v>18.420000000000002</v>
      </c>
      <c r="IQ109" s="339">
        <v>0.13</v>
      </c>
      <c r="IR109" s="339">
        <v>48.319000000000003</v>
      </c>
      <c r="IS109" s="339">
        <v>18.920000000000002</v>
      </c>
      <c r="IT109" s="339">
        <v>0.125</v>
      </c>
      <c r="IU109" s="339">
        <v>48.280999999999999</v>
      </c>
      <c r="IV109" s="339">
        <v>18.12</v>
      </c>
      <c r="IW109" s="339">
        <v>0.125</v>
      </c>
      <c r="IX109" s="339">
        <v>48.223999999999997</v>
      </c>
      <c r="IY109" s="339">
        <v>15.58</v>
      </c>
      <c r="IZ109" s="339">
        <v>0.125</v>
      </c>
      <c r="JA109" s="339">
        <v>48.1</v>
      </c>
      <c r="JB109" s="339">
        <v>14.15</v>
      </c>
      <c r="JC109" s="339">
        <v>0.12</v>
      </c>
      <c r="JD109" s="339">
        <v>47.978000000000002</v>
      </c>
      <c r="JE109" s="339">
        <v>10.59</v>
      </c>
      <c r="JF109" s="339">
        <v>0.12</v>
      </c>
      <c r="JG109" s="339">
        <v>47.866</v>
      </c>
      <c r="JH109" s="339">
        <v>11.56</v>
      </c>
      <c r="JI109" s="339">
        <v>0.12</v>
      </c>
      <c r="JJ109" s="339">
        <v>47.774000000000001</v>
      </c>
      <c r="JK109" s="339">
        <v>11.2</v>
      </c>
      <c r="JL109" s="339">
        <v>0.12</v>
      </c>
      <c r="JM109" s="339">
        <v>47.670999999999999</v>
      </c>
      <c r="JN109" s="339">
        <v>13.8</v>
      </c>
      <c r="JO109" s="339">
        <v>0.12</v>
      </c>
      <c r="JP109" s="339">
        <v>47.569000000000003</v>
      </c>
      <c r="JQ109" s="339">
        <v>15.53</v>
      </c>
      <c r="JR109" s="339">
        <v>0.12</v>
      </c>
      <c r="JS109" s="339">
        <v>47.485999999999997</v>
      </c>
      <c r="JT109" s="339">
        <v>13.26</v>
      </c>
      <c r="JU109" s="339">
        <v>0.12</v>
      </c>
      <c r="JV109" s="339">
        <v>47.372</v>
      </c>
      <c r="JW109" s="339">
        <v>13.6</v>
      </c>
      <c r="JX109" s="339">
        <v>0.12</v>
      </c>
      <c r="JY109" s="339">
        <v>47.3</v>
      </c>
      <c r="JZ109" s="339">
        <v>19.98</v>
      </c>
      <c r="KA109" s="339">
        <v>0.12</v>
      </c>
      <c r="KB109" s="339">
        <v>47.2</v>
      </c>
      <c r="KC109" s="339">
        <v>17.62</v>
      </c>
      <c r="KD109" s="339">
        <v>0.12</v>
      </c>
      <c r="KE109" s="339">
        <v>47.2</v>
      </c>
      <c r="KF109" s="339">
        <v>20.5</v>
      </c>
      <c r="KG109" s="339">
        <v>0.12</v>
      </c>
      <c r="KH109" s="339">
        <v>36</v>
      </c>
      <c r="KI109" s="339">
        <v>22.5</v>
      </c>
      <c r="KJ109" s="339">
        <v>0.12</v>
      </c>
      <c r="KK109" s="339">
        <v>47.1</v>
      </c>
      <c r="KL109" s="339">
        <v>17.4375</v>
      </c>
      <c r="KM109" s="339">
        <v>0.12</v>
      </c>
      <c r="KN109" s="339">
        <v>35.6</v>
      </c>
      <c r="KO109" s="339">
        <v>40.75</v>
      </c>
      <c r="KP109" s="339">
        <v>0.12</v>
      </c>
      <c r="KQ109" s="339">
        <v>37</v>
      </c>
      <c r="KR109" s="339">
        <v>15.4375</v>
      </c>
      <c r="KS109" s="339">
        <v>0.12</v>
      </c>
      <c r="KT109" s="339">
        <v>40.185000000000002</v>
      </c>
      <c r="KU109" s="339">
        <v>17.5625</v>
      </c>
      <c r="KV109" s="339">
        <v>0.12</v>
      </c>
      <c r="KW109" s="334">
        <v>54.6</v>
      </c>
      <c r="KX109" s="334">
        <v>16.25</v>
      </c>
      <c r="KY109" s="334">
        <v>0.12</v>
      </c>
      <c r="KZ109" s="334">
        <v>55.96</v>
      </c>
      <c r="LA109" s="334">
        <v>16.25</v>
      </c>
      <c r="LB109" s="334">
        <v>0.12</v>
      </c>
      <c r="LC109" s="334">
        <v>55.96</v>
      </c>
      <c r="LD109" s="334">
        <v>19.25</v>
      </c>
      <c r="LE109" s="334">
        <v>0.12</v>
      </c>
      <c r="LF109" s="334">
        <v>55.96</v>
      </c>
      <c r="LG109" s="334">
        <v>19.812999999999999</v>
      </c>
      <c r="LH109" s="334">
        <v>0.31</v>
      </c>
      <c r="LI109" s="334">
        <v>55.96</v>
      </c>
      <c r="LJ109" s="334">
        <v>22.437999999999999</v>
      </c>
      <c r="LK109" s="334">
        <v>0.31</v>
      </c>
      <c r="LL109" s="334">
        <v>55.96</v>
      </c>
      <c r="LM109" s="334">
        <v>24.4175</v>
      </c>
      <c r="LN109" s="334">
        <v>0.31</v>
      </c>
      <c r="LO109" s="334">
        <v>55.96</v>
      </c>
      <c r="LP109" s="334">
        <v>24.3125</v>
      </c>
      <c r="LQ109" s="334">
        <v>0.31</v>
      </c>
      <c r="LR109" s="334">
        <v>55.96</v>
      </c>
      <c r="LS109" s="334">
        <v>20</v>
      </c>
      <c r="LT109" s="334">
        <v>0.31</v>
      </c>
      <c r="LU109" s="334">
        <v>55.96</v>
      </c>
      <c r="LV109" s="334">
        <v>19.625</v>
      </c>
      <c r="LW109" s="334">
        <v>0.31</v>
      </c>
      <c r="LX109" s="334">
        <v>55.96</v>
      </c>
      <c r="LY109" s="334">
        <v>17.375</v>
      </c>
      <c r="LZ109" s="334">
        <v>0.31</v>
      </c>
      <c r="MA109" s="334">
        <v>55.96</v>
      </c>
      <c r="MB109" s="334">
        <v>18.625</v>
      </c>
      <c r="MC109" s="334">
        <v>0.31</v>
      </c>
      <c r="MD109" s="334">
        <v>52.668999999999997</v>
      </c>
      <c r="ME109" s="334">
        <v>18.875</v>
      </c>
      <c r="MF109" s="334">
        <v>0.31</v>
      </c>
      <c r="MG109" s="334">
        <v>52.668999999999997</v>
      </c>
      <c r="MH109" s="334">
        <v>18.625</v>
      </c>
      <c r="MI109" s="334">
        <v>0.31</v>
      </c>
      <c r="MJ109" s="334">
        <v>52.668999999999997</v>
      </c>
      <c r="MK109" s="334">
        <v>19.125</v>
      </c>
      <c r="ML109" s="334">
        <v>0.31</v>
      </c>
      <c r="MM109" s="334">
        <v>52.668999999999997</v>
      </c>
      <c r="MN109" s="334">
        <v>17.5</v>
      </c>
      <c r="MO109" s="334">
        <v>0.31</v>
      </c>
      <c r="MP109" s="334">
        <v>52.668999999999997</v>
      </c>
      <c r="MQ109" s="334">
        <v>16.125</v>
      </c>
      <c r="MR109" s="334">
        <v>0.31</v>
      </c>
      <c r="MS109" s="334">
        <v>52.668999999999997</v>
      </c>
      <c r="MT109" s="334">
        <v>16</v>
      </c>
      <c r="MU109" s="334">
        <v>0.31</v>
      </c>
      <c r="MV109" s="334">
        <v>52.668999999999997</v>
      </c>
      <c r="MW109" s="334">
        <v>15</v>
      </c>
      <c r="MX109" s="334">
        <v>0.31</v>
      </c>
      <c r="MY109" s="334">
        <v>52.668999999999997</v>
      </c>
      <c r="MZ109" s="334">
        <v>13.75</v>
      </c>
      <c r="NA109" s="334">
        <v>0.31</v>
      </c>
      <c r="NB109" s="334">
        <v>52.668999999999997</v>
      </c>
      <c r="NC109" s="334">
        <v>14.5</v>
      </c>
      <c r="ND109" s="334">
        <v>0.31</v>
      </c>
      <c r="NE109" s="334">
        <v>52.668999999999997</v>
      </c>
      <c r="NF109" s="334">
        <v>14.38</v>
      </c>
      <c r="NG109" s="334">
        <v>0.31</v>
      </c>
      <c r="NH109" s="334">
        <v>51.996000000000002</v>
      </c>
      <c r="NI109" s="334">
        <v>17.375</v>
      </c>
      <c r="NJ109" s="334">
        <v>0.31</v>
      </c>
      <c r="NK109" s="334">
        <v>51.996000000000002</v>
      </c>
      <c r="NL109" s="334">
        <v>18.75</v>
      </c>
      <c r="NM109" s="334">
        <v>0.31</v>
      </c>
      <c r="NN109" s="334">
        <v>51.996000000000002</v>
      </c>
      <c r="NO109" s="334">
        <v>20.125</v>
      </c>
      <c r="NP109" s="334">
        <v>0.31</v>
      </c>
      <c r="NQ109" s="334">
        <v>51.491999999999997</v>
      </c>
      <c r="NR109" s="334">
        <v>19.875</v>
      </c>
      <c r="NS109" s="334">
        <v>0.31</v>
      </c>
      <c r="NT109" s="334">
        <v>51.07</v>
      </c>
      <c r="NU109" s="334">
        <v>19.3125</v>
      </c>
      <c r="NV109" s="334">
        <v>0.31</v>
      </c>
      <c r="NW109" s="334">
        <v>49.241999999999997</v>
      </c>
      <c r="NX109" s="334">
        <v>17.63</v>
      </c>
      <c r="NY109" s="334">
        <v>0.31</v>
      </c>
      <c r="NZ109" s="334">
        <v>49.241999999999997</v>
      </c>
      <c r="OA109" s="334">
        <v>17.309999999999999</v>
      </c>
      <c r="OB109" s="334">
        <v>0.31</v>
      </c>
      <c r="OC109" s="334">
        <v>48.886000000000003</v>
      </c>
      <c r="OD109" s="334">
        <v>16.75</v>
      </c>
      <c r="OE109" s="334">
        <v>0.31</v>
      </c>
      <c r="OF109" s="334">
        <v>48.368000000000002</v>
      </c>
      <c r="OG109" s="334">
        <v>16.190000000000001</v>
      </c>
      <c r="OH109" s="334">
        <v>0.31</v>
      </c>
      <c r="OI109" s="334">
        <v>46.915999999999997</v>
      </c>
      <c r="OJ109" s="334">
        <v>16.5</v>
      </c>
      <c r="OK109" s="334">
        <v>0.31</v>
      </c>
      <c r="OL109" s="334">
        <v>46.75</v>
      </c>
      <c r="OM109" s="334">
        <v>16.190000000000001</v>
      </c>
      <c r="ON109" s="334">
        <v>0.31</v>
      </c>
      <c r="OO109" s="334">
        <v>46.612000000000002</v>
      </c>
      <c r="OP109" s="334">
        <v>14.88</v>
      </c>
      <c r="OQ109" s="334">
        <v>0.31</v>
      </c>
      <c r="OR109" s="334">
        <v>46.491999999999997</v>
      </c>
      <c r="OS109" s="334">
        <v>14.88</v>
      </c>
      <c r="OT109" s="334">
        <v>0.31</v>
      </c>
      <c r="OU109" s="334">
        <v>45.723999999999997</v>
      </c>
      <c r="OV109" s="334">
        <v>14.88</v>
      </c>
    </row>
    <row r="110" spans="1:412">
      <c r="A110" s="294" t="s">
        <v>26</v>
      </c>
      <c r="B110" s="335" t="s">
        <v>542</v>
      </c>
      <c r="C110" s="335">
        <v>316.2</v>
      </c>
      <c r="D110" s="335">
        <v>94.04</v>
      </c>
      <c r="E110" s="335">
        <v>0.83499999999999996</v>
      </c>
      <c r="F110" s="335">
        <v>315.89999999999998</v>
      </c>
      <c r="G110" s="335">
        <v>96.18</v>
      </c>
      <c r="H110" s="335">
        <v>0.83499999999999996</v>
      </c>
      <c r="I110" s="335">
        <v>315.60000000000002</v>
      </c>
      <c r="J110" s="335">
        <v>78.459999999999994</v>
      </c>
      <c r="K110" s="335">
        <v>0.83499999999999996</v>
      </c>
      <c r="L110" s="335">
        <v>315.39999999999998</v>
      </c>
      <c r="M110" s="335">
        <v>82.12</v>
      </c>
      <c r="N110" s="335">
        <v>0.83499999999999996</v>
      </c>
      <c r="O110" s="335">
        <v>315.39999999999998</v>
      </c>
      <c r="P110" s="335">
        <v>84.17</v>
      </c>
      <c r="Q110" s="335">
        <v>0.83499999999999996</v>
      </c>
      <c r="R110" s="340">
        <v>315.39999999999998</v>
      </c>
      <c r="S110" s="340">
        <v>80.55</v>
      </c>
      <c r="T110" s="340">
        <v>0.78</v>
      </c>
      <c r="U110" s="340">
        <v>315.39999999999998</v>
      </c>
      <c r="V110" s="340">
        <v>88.24</v>
      </c>
      <c r="W110" s="340">
        <v>0.78</v>
      </c>
      <c r="X110" s="340">
        <v>315.39999999999998</v>
      </c>
      <c r="Y110" s="340">
        <v>94.79</v>
      </c>
      <c r="Z110" s="340">
        <v>0.78</v>
      </c>
      <c r="AA110" s="340">
        <v>315.39999999999998</v>
      </c>
      <c r="AB110" s="340">
        <v>93.76</v>
      </c>
      <c r="AC110" s="340">
        <v>0.72750000000000004</v>
      </c>
      <c r="AD110" s="340">
        <v>315.39999999999998</v>
      </c>
      <c r="AE110" s="340">
        <v>89.43</v>
      </c>
      <c r="AF110" s="340">
        <v>0.72750000000000004</v>
      </c>
      <c r="AG110" s="340">
        <v>315.39999999999998</v>
      </c>
      <c r="AH110" s="340">
        <v>100.64</v>
      </c>
      <c r="AI110" s="340">
        <v>0.72750000000000004</v>
      </c>
      <c r="AJ110" s="340">
        <v>315.39999999999998</v>
      </c>
      <c r="AK110" s="340">
        <v>99.81</v>
      </c>
      <c r="AL110" s="340">
        <v>0.72750000000000004</v>
      </c>
      <c r="AM110" s="340">
        <v>315.39999999999998</v>
      </c>
      <c r="AN110" s="340">
        <v>97.07</v>
      </c>
      <c r="AO110" s="340">
        <v>0.72750000000000004</v>
      </c>
      <c r="AP110" s="340">
        <v>315.39999999999998</v>
      </c>
      <c r="AQ110" s="340">
        <v>88.2</v>
      </c>
      <c r="AR110" s="340">
        <v>0.67749999999999999</v>
      </c>
      <c r="AS110" s="340">
        <v>315.39999999999998</v>
      </c>
      <c r="AT110" s="340">
        <v>88.95</v>
      </c>
      <c r="AU110" s="340">
        <v>0.67749999999999999</v>
      </c>
      <c r="AV110" s="340">
        <v>315.39999999999998</v>
      </c>
      <c r="AW110" s="340">
        <v>93.59</v>
      </c>
      <c r="AX110" s="340">
        <v>0.67749999999999999</v>
      </c>
      <c r="AY110" s="504">
        <v>315.39999999999998</v>
      </c>
      <c r="AZ110" s="504">
        <v>92.03</v>
      </c>
      <c r="BA110" s="504">
        <v>0.67749999999999999</v>
      </c>
      <c r="BB110" s="504">
        <v>315.39999999999998</v>
      </c>
      <c r="BC110" s="504">
        <v>96.9</v>
      </c>
      <c r="BD110" s="504">
        <v>0.63249999999999995</v>
      </c>
      <c r="BE110" s="504">
        <v>315.39999999999998</v>
      </c>
      <c r="BF110" s="504">
        <v>87.65</v>
      </c>
      <c r="BG110" s="504">
        <v>0.63249999999999995</v>
      </c>
      <c r="BH110" s="504">
        <v>315.39999999999998</v>
      </c>
      <c r="BI110" s="504">
        <v>88.13</v>
      </c>
      <c r="BJ110" s="518">
        <v>0.63249999999999995</v>
      </c>
      <c r="BK110" s="504">
        <v>315.39999999999998</v>
      </c>
      <c r="BL110" s="504">
        <v>92.23</v>
      </c>
      <c r="BM110" s="504">
        <v>0.59</v>
      </c>
      <c r="BN110" s="504">
        <v>315.39999999999998</v>
      </c>
      <c r="BO110" s="504">
        <v>95.1</v>
      </c>
      <c r="BP110" s="504">
        <v>0.59</v>
      </c>
      <c r="BQ110" s="504">
        <v>315.5</v>
      </c>
      <c r="BR110" s="504">
        <v>83.37</v>
      </c>
      <c r="BS110" s="504">
        <v>0.59</v>
      </c>
      <c r="BT110" s="504">
        <v>315.5</v>
      </c>
      <c r="BU110" s="504">
        <v>79.08</v>
      </c>
      <c r="BV110" s="507">
        <v>0.59</v>
      </c>
      <c r="BW110" s="504">
        <v>315.5</v>
      </c>
      <c r="BX110" s="504">
        <v>69.260000000000005</v>
      </c>
      <c r="BY110" s="504">
        <v>0.55249999999999999</v>
      </c>
      <c r="BZ110" s="504">
        <v>315.5</v>
      </c>
      <c r="CA110" s="504">
        <v>66.760000000000005</v>
      </c>
      <c r="CB110" s="504">
        <v>0.55249999999999999</v>
      </c>
      <c r="CC110" s="503">
        <v>315.5</v>
      </c>
      <c r="CD110" s="503">
        <v>64.650000000000006</v>
      </c>
      <c r="CE110" s="503">
        <v>0.55249999999999999</v>
      </c>
      <c r="CF110" s="503">
        <v>315.60000000000002</v>
      </c>
      <c r="CG110" s="503">
        <v>62.7</v>
      </c>
      <c r="CH110" s="508">
        <v>0.55249999999999999</v>
      </c>
      <c r="CI110" s="503">
        <v>315.60000000000002</v>
      </c>
      <c r="CJ110" s="503">
        <v>66.430000000000007</v>
      </c>
      <c r="CK110" s="503">
        <v>0.52</v>
      </c>
      <c r="CL110" s="503">
        <v>315.60000000000002</v>
      </c>
      <c r="CM110" s="503">
        <v>62.78</v>
      </c>
      <c r="CN110" s="503">
        <v>0.52</v>
      </c>
      <c r="CO110" s="503">
        <v>315.60000000000002</v>
      </c>
      <c r="CP110" s="503">
        <v>61.38</v>
      </c>
      <c r="CQ110" s="503">
        <v>0.52</v>
      </c>
      <c r="CR110" s="504">
        <v>315.60000000000002</v>
      </c>
      <c r="CS110" s="504">
        <v>60.63</v>
      </c>
      <c r="CT110" s="504">
        <v>0.52</v>
      </c>
      <c r="CU110" s="503">
        <v>315.60000000000002</v>
      </c>
      <c r="CV110" s="503">
        <v>58.65</v>
      </c>
      <c r="CW110" s="509">
        <v>0.52</v>
      </c>
      <c r="CX110" s="339">
        <v>315.60000000000002</v>
      </c>
      <c r="CY110" s="339">
        <v>59.88</v>
      </c>
      <c r="CZ110" s="339">
        <v>0.495</v>
      </c>
      <c r="DA110" s="519">
        <v>315.7</v>
      </c>
      <c r="DB110" s="519">
        <v>65.3</v>
      </c>
      <c r="DC110" s="519">
        <v>0.495</v>
      </c>
      <c r="DD110" s="339">
        <v>271.10000000000002</v>
      </c>
      <c r="DE110" s="339">
        <v>60.07</v>
      </c>
      <c r="DF110" s="511">
        <v>0.495</v>
      </c>
      <c r="DG110" s="339">
        <v>315.7</v>
      </c>
      <c r="DH110" s="339">
        <v>51.31</v>
      </c>
      <c r="DI110" s="339">
        <v>0.45750000000000002</v>
      </c>
      <c r="DJ110" s="339">
        <v>227.5</v>
      </c>
      <c r="DK110" s="339">
        <v>52.22</v>
      </c>
      <c r="DL110" s="510">
        <v>0.45750025</v>
      </c>
      <c r="DM110" s="339">
        <v>225.5</v>
      </c>
      <c r="DN110" s="339">
        <v>44.97</v>
      </c>
      <c r="DO110" s="339">
        <v>0.422504977</v>
      </c>
      <c r="DP110" s="340">
        <v>225.5</v>
      </c>
      <c r="DQ110" s="340">
        <v>49.5</v>
      </c>
      <c r="DR110" s="340">
        <v>0.42249999999999999</v>
      </c>
      <c r="DS110" s="339">
        <v>225.5</v>
      </c>
      <c r="DT110" s="339">
        <v>52.74</v>
      </c>
      <c r="DU110" s="510">
        <v>0.42249999999999999</v>
      </c>
      <c r="DV110" s="339">
        <v>225.5</v>
      </c>
      <c r="DW110" s="339">
        <v>43</v>
      </c>
      <c r="DX110" s="339">
        <v>0.39</v>
      </c>
      <c r="DY110" s="339">
        <v>225.8</v>
      </c>
      <c r="DZ110" s="339">
        <v>46.92</v>
      </c>
      <c r="EA110" s="339">
        <v>0.39</v>
      </c>
      <c r="EB110" s="340">
        <v>227.6</v>
      </c>
      <c r="EC110" s="340">
        <v>46.55</v>
      </c>
      <c r="ED110" s="515">
        <v>0.39</v>
      </c>
      <c r="EE110" s="339">
        <v>226.8</v>
      </c>
      <c r="EF110" s="339">
        <v>41.34</v>
      </c>
      <c r="EG110" s="339">
        <v>0.38250000000000001</v>
      </c>
      <c r="EH110" s="339">
        <v>228.4</v>
      </c>
      <c r="EI110" s="339">
        <v>40.380000000000003</v>
      </c>
      <c r="EJ110" s="510">
        <v>0.38250000000000001</v>
      </c>
      <c r="EK110" s="339">
        <v>228.9</v>
      </c>
      <c r="EL110" s="339">
        <v>40.99</v>
      </c>
      <c r="EM110" s="339">
        <v>0.34</v>
      </c>
      <c r="EN110" s="340">
        <v>230.2</v>
      </c>
      <c r="EO110" s="340">
        <v>42.89</v>
      </c>
      <c r="EP110" s="340">
        <v>0.34</v>
      </c>
      <c r="EQ110" s="339">
        <v>230.4</v>
      </c>
      <c r="ER110" s="339">
        <v>36.85</v>
      </c>
      <c r="ES110" s="510">
        <v>0.34</v>
      </c>
      <c r="ET110" s="339">
        <v>230.4</v>
      </c>
      <c r="EU110" s="339">
        <v>37.67</v>
      </c>
      <c r="EV110" s="339">
        <v>0.3</v>
      </c>
      <c r="EW110" s="339">
        <v>230.5</v>
      </c>
      <c r="EX110" s="339">
        <v>39.57</v>
      </c>
      <c r="EY110" s="339">
        <v>0.3</v>
      </c>
      <c r="EZ110" s="340">
        <v>232.6</v>
      </c>
      <c r="FA110" s="340">
        <v>35.21</v>
      </c>
      <c r="FB110" s="340">
        <v>0.3</v>
      </c>
      <c r="FC110" s="339">
        <v>232.2</v>
      </c>
      <c r="FD110" s="339">
        <v>34.979999999999997</v>
      </c>
      <c r="FE110" s="339">
        <v>0.3</v>
      </c>
      <c r="FF110" s="339">
        <v>233.7</v>
      </c>
      <c r="FG110" s="339">
        <v>31.29</v>
      </c>
      <c r="FH110" s="339">
        <v>0.26</v>
      </c>
      <c r="FI110" s="339">
        <v>233.7</v>
      </c>
      <c r="FJ110" s="339">
        <v>31.35</v>
      </c>
      <c r="FK110" s="339">
        <v>0.26</v>
      </c>
      <c r="FL110" s="339">
        <v>233.8</v>
      </c>
      <c r="FM110" s="339">
        <v>30.5</v>
      </c>
      <c r="FN110" s="511">
        <v>0.26</v>
      </c>
      <c r="FO110" s="519">
        <f>116.9*2</f>
        <v>233.8</v>
      </c>
      <c r="FP110" s="519">
        <f>58.86/2</f>
        <v>29.43</v>
      </c>
      <c r="FQ110" s="519">
        <f>0.4/2</f>
        <v>0.2</v>
      </c>
      <c r="FR110" s="519">
        <f>116.9*2</f>
        <v>233.8</v>
      </c>
      <c r="FS110" s="519">
        <f>57.8/2</f>
        <v>28.9</v>
      </c>
      <c r="FT110" s="519">
        <f>0.4/2</f>
        <v>0.2</v>
      </c>
      <c r="FU110" s="519">
        <f>116.9*2</f>
        <v>233.8</v>
      </c>
      <c r="FV110" s="519">
        <f>50.74/2</f>
        <v>25.37</v>
      </c>
      <c r="FW110" s="519">
        <f>0.4/2</f>
        <v>0.2</v>
      </c>
      <c r="FX110" s="519">
        <f>116.9*2</f>
        <v>233.8</v>
      </c>
      <c r="FY110" s="519">
        <f>49.41/2</f>
        <v>24.704999999999998</v>
      </c>
      <c r="FZ110" s="519">
        <f>0.4/2</f>
        <v>0.2</v>
      </c>
      <c r="GA110" s="519">
        <f>116.9*2</f>
        <v>233.8</v>
      </c>
      <c r="GB110" s="519">
        <f>49.83/2</f>
        <v>24.914999999999999</v>
      </c>
      <c r="GC110" s="519">
        <f>0.3375/2</f>
        <v>0.16875000000000001</v>
      </c>
      <c r="GD110" s="519">
        <f>116.9*2</f>
        <v>233.8</v>
      </c>
      <c r="GE110" s="519">
        <f>45.17/2</f>
        <v>22.585000000000001</v>
      </c>
      <c r="GF110" s="519">
        <f>0.3375/2</f>
        <v>0.16875000000000001</v>
      </c>
      <c r="GG110" s="519">
        <f>116.9*2</f>
        <v>233.8</v>
      </c>
      <c r="GH110" s="519">
        <f>40.71/2</f>
        <v>20.355</v>
      </c>
      <c r="GI110" s="519">
        <f>0.3375/2</f>
        <v>0.16875000000000001</v>
      </c>
      <c r="GJ110" s="519">
        <f>116.9*2</f>
        <v>233.8</v>
      </c>
      <c r="GK110" s="519">
        <f>41.17/2</f>
        <v>20.585000000000001</v>
      </c>
      <c r="GL110" s="519">
        <f>0.3375/2</f>
        <v>0.16875000000000001</v>
      </c>
      <c r="GM110" s="519">
        <f>116.9*2</f>
        <v>233.8</v>
      </c>
      <c r="GN110" s="519">
        <f>41.98/2</f>
        <v>20.99</v>
      </c>
      <c r="GO110" s="519">
        <f>0.3375/2</f>
        <v>0.16875000000000001</v>
      </c>
      <c r="GP110" s="519">
        <f>116.9*2</f>
        <v>233.8</v>
      </c>
      <c r="GQ110" s="519">
        <f>44.9/2</f>
        <v>22.45</v>
      </c>
      <c r="GR110" s="519">
        <f>0.27/2</f>
        <v>0.13500000000000001</v>
      </c>
      <c r="GS110" s="519">
        <f>116.9*2</f>
        <v>233.8</v>
      </c>
      <c r="GT110" s="519">
        <f>45.22/2</f>
        <v>22.61</v>
      </c>
      <c r="GU110" s="519">
        <f>0.27/2</f>
        <v>0.13500000000000001</v>
      </c>
      <c r="GV110" s="519">
        <f>116.9*2</f>
        <v>233.8</v>
      </c>
      <c r="GW110" s="519">
        <f>43.99/2</f>
        <v>21.995000000000001</v>
      </c>
      <c r="GX110" s="519">
        <f>0.27/2</f>
        <v>0.13500000000000001</v>
      </c>
      <c r="GY110" s="519">
        <f>116.9*2</f>
        <v>233.8</v>
      </c>
      <c r="GZ110" s="519">
        <f>48.71/2</f>
        <v>24.355</v>
      </c>
      <c r="HA110" s="519">
        <f>0.25/2</f>
        <v>0.125</v>
      </c>
      <c r="HB110" s="519">
        <f>116.9*2</f>
        <v>233.8</v>
      </c>
      <c r="HC110" s="519">
        <f>45.03/2</f>
        <v>22.515000000000001</v>
      </c>
      <c r="HD110" s="519">
        <f>0.25/2</f>
        <v>0.125</v>
      </c>
      <c r="HE110" s="519">
        <f>117*2</f>
        <v>234</v>
      </c>
      <c r="HF110" s="519">
        <f>44.23/2</f>
        <v>22.114999999999998</v>
      </c>
      <c r="HG110" s="519">
        <f>0.25/2</f>
        <v>0.125</v>
      </c>
      <c r="HH110" s="519">
        <f>117*2</f>
        <v>234</v>
      </c>
      <c r="HI110" s="536">
        <f>48.52/2</f>
        <v>24.26</v>
      </c>
      <c r="HJ110" s="519">
        <f>0.25/2</f>
        <v>0.125</v>
      </c>
      <c r="HK110" s="519">
        <f>117*2</f>
        <v>234</v>
      </c>
      <c r="HL110" s="519">
        <f>47.46/2</f>
        <v>23.73</v>
      </c>
      <c r="HM110" s="519">
        <f>0.23/2</f>
        <v>0.115</v>
      </c>
      <c r="HN110" s="519">
        <f>117*2</f>
        <v>234</v>
      </c>
      <c r="HO110" s="519">
        <f>43.14/2</f>
        <v>21.57</v>
      </c>
      <c r="HP110" s="519">
        <f>0.23/2</f>
        <v>0.115</v>
      </c>
      <c r="HQ110" s="519">
        <f>117*2</f>
        <v>234</v>
      </c>
      <c r="HR110" s="519">
        <f>40.3/2</f>
        <v>20.149999999999999</v>
      </c>
      <c r="HS110" s="519">
        <f>0.23/2</f>
        <v>0.115</v>
      </c>
      <c r="HT110" s="519">
        <f>117*2</f>
        <v>234</v>
      </c>
      <c r="HU110" s="519">
        <f>39.99/2</f>
        <v>19.995000000000001</v>
      </c>
      <c r="HV110" s="519">
        <f>0.23/2</f>
        <v>0.115</v>
      </c>
      <c r="HW110" s="519">
        <f>117*2</f>
        <v>234</v>
      </c>
      <c r="HX110" s="536">
        <f>39.06/2</f>
        <v>19.53</v>
      </c>
      <c r="HY110" s="537">
        <f>(0.88/4)/2</f>
        <v>0.11</v>
      </c>
      <c r="HZ110" s="519">
        <f>117*2</f>
        <v>234</v>
      </c>
      <c r="IA110" s="519">
        <f>39.92/2</f>
        <v>19.96</v>
      </c>
      <c r="IB110" s="537">
        <f>(0.88/4)/2</f>
        <v>0.11</v>
      </c>
      <c r="IC110" s="339">
        <v>117</v>
      </c>
      <c r="ID110" s="339">
        <v>39</v>
      </c>
      <c r="IE110" s="339">
        <v>0.22</v>
      </c>
      <c r="IF110" s="339">
        <v>117.4</v>
      </c>
      <c r="IG110" s="339">
        <v>35.5</v>
      </c>
      <c r="IH110" s="339">
        <v>0.22</v>
      </c>
      <c r="II110" s="339">
        <v>117.4</v>
      </c>
      <c r="IJ110" s="505">
        <v>33.71</v>
      </c>
      <c r="IK110" s="339">
        <v>0.21</v>
      </c>
      <c r="IL110" s="339">
        <v>118</v>
      </c>
      <c r="IM110" s="339">
        <v>31.9</v>
      </c>
      <c r="IN110" s="339">
        <v>0.21</v>
      </c>
      <c r="IO110" s="339">
        <v>118.5</v>
      </c>
      <c r="IP110" s="339">
        <v>32.61</v>
      </c>
      <c r="IQ110" s="339">
        <v>0.21</v>
      </c>
      <c r="IR110" s="339">
        <v>118.1</v>
      </c>
      <c r="IS110" s="339">
        <v>32.15</v>
      </c>
      <c r="IT110" s="339">
        <v>0.21</v>
      </c>
      <c r="IU110" s="339">
        <v>117.4</v>
      </c>
      <c r="IV110" s="339">
        <v>33.450000000000003</v>
      </c>
      <c r="IW110" s="339">
        <v>0.2</v>
      </c>
      <c r="IX110" s="339">
        <v>116.7</v>
      </c>
      <c r="IY110" s="339">
        <v>30.57</v>
      </c>
      <c r="IZ110" s="339">
        <v>0.2</v>
      </c>
      <c r="JA110" s="339">
        <v>116.2</v>
      </c>
      <c r="JB110" s="339">
        <v>29</v>
      </c>
      <c r="JC110" s="339">
        <v>0.2</v>
      </c>
      <c r="JD110" s="339">
        <v>115.8</v>
      </c>
      <c r="JE110" s="339">
        <v>25.4</v>
      </c>
      <c r="JF110" s="339">
        <v>0.2</v>
      </c>
      <c r="JG110" s="339">
        <v>115.3</v>
      </c>
      <c r="JH110" s="339">
        <v>25.2</v>
      </c>
      <c r="JI110" s="339">
        <v>0.2</v>
      </c>
      <c r="JJ110" s="339">
        <v>115.3</v>
      </c>
      <c r="JK110" s="339">
        <v>24.3</v>
      </c>
      <c r="JL110" s="339">
        <v>0.2</v>
      </c>
      <c r="JM110" s="339">
        <v>115.1</v>
      </c>
      <c r="JN110" s="339">
        <v>25.27</v>
      </c>
      <c r="JO110" s="339">
        <v>0.2</v>
      </c>
      <c r="JP110" s="339">
        <v>116.5</v>
      </c>
      <c r="JQ110" s="339">
        <v>24.88</v>
      </c>
      <c r="JR110" s="339">
        <v>0.2</v>
      </c>
      <c r="JS110" s="339">
        <v>116.9</v>
      </c>
      <c r="JT110" s="339">
        <v>22.56</v>
      </c>
      <c r="JU110" s="339">
        <v>0.2</v>
      </c>
      <c r="JV110" s="339">
        <v>117.6</v>
      </c>
      <c r="JW110" s="339">
        <v>22.5</v>
      </c>
      <c r="JX110" s="339">
        <v>0.2</v>
      </c>
      <c r="JY110" s="339">
        <v>118</v>
      </c>
      <c r="JZ110" s="339">
        <v>23.77</v>
      </c>
      <c r="KA110" s="339">
        <v>0.2</v>
      </c>
      <c r="KB110" s="339">
        <v>118.6</v>
      </c>
      <c r="KC110" s="339">
        <v>21.58</v>
      </c>
      <c r="KD110" s="339">
        <v>0.2</v>
      </c>
      <c r="KE110" s="339">
        <v>121.9</v>
      </c>
      <c r="KF110" s="339">
        <v>22.5625</v>
      </c>
      <c r="KG110" s="339">
        <v>0.2</v>
      </c>
      <c r="KH110" s="339">
        <v>120.8</v>
      </c>
      <c r="KI110" s="339">
        <v>19.9375</v>
      </c>
      <c r="KJ110" s="339">
        <v>0.39</v>
      </c>
      <c r="KK110" s="339">
        <v>119.512</v>
      </c>
      <c r="KL110" s="339">
        <v>19.8125</v>
      </c>
      <c r="KM110" s="339">
        <v>0.39</v>
      </c>
      <c r="KN110" s="339">
        <v>118.199</v>
      </c>
      <c r="KO110" s="339">
        <v>19.9375</v>
      </c>
      <c r="KP110" s="339">
        <v>0.39</v>
      </c>
      <c r="KQ110" s="339">
        <v>117.307</v>
      </c>
      <c r="KR110" s="339">
        <v>19.25</v>
      </c>
      <c r="KS110" s="339">
        <v>0.39</v>
      </c>
      <c r="KT110" s="339">
        <v>116.614</v>
      </c>
      <c r="KU110" s="339">
        <v>23.4375</v>
      </c>
      <c r="KV110" s="339">
        <v>0.39</v>
      </c>
      <c r="KW110" s="334">
        <v>114.32</v>
      </c>
      <c r="KX110" s="334">
        <v>25.0625</v>
      </c>
      <c r="KY110" s="334">
        <v>0.39</v>
      </c>
      <c r="KZ110" s="334">
        <v>113.69</v>
      </c>
      <c r="LA110" s="334">
        <v>26.0625</v>
      </c>
      <c r="LB110" s="334">
        <v>0.39</v>
      </c>
      <c r="LC110" s="334">
        <v>113.69</v>
      </c>
      <c r="LD110" s="334">
        <v>31.437999999999999</v>
      </c>
      <c r="LE110" s="334">
        <v>0.39</v>
      </c>
      <c r="LF110" s="334">
        <v>112.87</v>
      </c>
      <c r="LG110" s="334">
        <v>31.562999999999999</v>
      </c>
      <c r="LH110" s="334">
        <v>0.39</v>
      </c>
      <c r="LI110" s="334">
        <v>112.87</v>
      </c>
      <c r="LJ110" s="334">
        <v>30.375</v>
      </c>
      <c r="LK110" s="334">
        <v>0.39</v>
      </c>
      <c r="LL110" s="334">
        <v>112.87</v>
      </c>
      <c r="LM110" s="334">
        <v>30.6875</v>
      </c>
      <c r="LN110" s="334">
        <v>0.38500000000000001</v>
      </c>
      <c r="LO110" s="334">
        <v>112.866</v>
      </c>
      <c r="LP110" s="334">
        <v>28.75</v>
      </c>
      <c r="LQ110" s="334">
        <v>0.38500000000000001</v>
      </c>
      <c r="LR110" s="334">
        <v>119.59</v>
      </c>
      <c r="LS110" s="334">
        <v>26</v>
      </c>
      <c r="LT110" s="334">
        <v>0.38500000000000001</v>
      </c>
      <c r="LU110" s="334">
        <v>119.59</v>
      </c>
      <c r="LV110" s="334">
        <v>24.875</v>
      </c>
      <c r="LW110" s="334">
        <v>0.38500000000000001</v>
      </c>
      <c r="LX110" s="334">
        <v>110.90600000000001</v>
      </c>
      <c r="LY110" s="334">
        <v>24.5</v>
      </c>
      <c r="LZ110" s="334">
        <v>0.38</v>
      </c>
      <c r="MA110" s="334">
        <v>110.90600000000001</v>
      </c>
      <c r="MB110" s="334">
        <v>26.875</v>
      </c>
      <c r="MC110" s="334">
        <v>0.38</v>
      </c>
      <c r="MD110" s="334">
        <v>109.133</v>
      </c>
      <c r="ME110" s="334">
        <v>27</v>
      </c>
      <c r="MF110" s="334">
        <v>0.38</v>
      </c>
      <c r="MG110" s="334">
        <v>109.133</v>
      </c>
      <c r="MH110" s="334">
        <v>28.875</v>
      </c>
      <c r="MI110" s="334">
        <v>0.38</v>
      </c>
      <c r="MJ110" s="334">
        <v>109.133</v>
      </c>
      <c r="MK110" s="334">
        <v>28.375</v>
      </c>
      <c r="ML110" s="334">
        <v>0.36749999999999999</v>
      </c>
      <c r="MM110" s="334">
        <v>109.133</v>
      </c>
      <c r="MN110" s="334">
        <v>30.625</v>
      </c>
      <c r="MO110" s="334">
        <v>0.36749999999999999</v>
      </c>
      <c r="MP110" s="334">
        <v>109.133</v>
      </c>
      <c r="MQ110" s="334">
        <v>28.375</v>
      </c>
      <c r="MR110" s="334">
        <v>0.36749999999999999</v>
      </c>
      <c r="MS110" s="334">
        <v>109.133</v>
      </c>
      <c r="MT110" s="334">
        <v>28</v>
      </c>
      <c r="MU110" s="334">
        <v>0.36749999999999999</v>
      </c>
      <c r="MV110" s="334">
        <v>109.133</v>
      </c>
      <c r="MW110" s="334">
        <v>27.125</v>
      </c>
      <c r="MX110" s="334">
        <v>0.35249999999999998</v>
      </c>
      <c r="MY110" s="334">
        <v>107.238</v>
      </c>
      <c r="MZ110" s="334">
        <v>25.875</v>
      </c>
      <c r="NA110" s="334">
        <v>0.35249999999999998</v>
      </c>
      <c r="NB110" s="334">
        <v>107.238</v>
      </c>
      <c r="NC110" s="334">
        <v>25.375</v>
      </c>
      <c r="ND110" s="334">
        <v>0.35249999999999998</v>
      </c>
      <c r="NE110" s="334">
        <v>107.238</v>
      </c>
      <c r="NF110" s="334">
        <v>23.875</v>
      </c>
      <c r="NG110" s="334">
        <v>0.35249999999999998</v>
      </c>
      <c r="NH110" s="334">
        <v>104.53700000000001</v>
      </c>
      <c r="NI110" s="334">
        <v>25.25</v>
      </c>
      <c r="NJ110" s="334">
        <v>0.35249999999999998</v>
      </c>
      <c r="NK110" s="334">
        <v>104.53700000000001</v>
      </c>
      <c r="NL110" s="334">
        <v>27.5</v>
      </c>
      <c r="NM110" s="334">
        <v>0.33900000000000002</v>
      </c>
      <c r="NN110" s="334">
        <v>104.53700000000001</v>
      </c>
      <c r="NO110" s="334">
        <v>28.875</v>
      </c>
      <c r="NP110" s="334">
        <v>0.33900000000000002</v>
      </c>
      <c r="NQ110" s="334">
        <v>103.961</v>
      </c>
      <c r="NR110" s="334">
        <v>27.625</v>
      </c>
      <c r="NS110" s="334">
        <v>0.33900000000000002</v>
      </c>
      <c r="NT110" s="334">
        <v>103.374</v>
      </c>
      <c r="NU110" s="334">
        <v>27.75</v>
      </c>
      <c r="NV110" s="334">
        <v>0.32500000000000001</v>
      </c>
      <c r="NW110" s="334">
        <v>101.398</v>
      </c>
      <c r="NX110" s="334">
        <v>26.5</v>
      </c>
      <c r="NY110" s="334">
        <v>0.33</v>
      </c>
      <c r="NZ110" s="334">
        <v>101.398</v>
      </c>
      <c r="OA110" s="334">
        <v>26.88</v>
      </c>
      <c r="OB110" s="334">
        <v>0.33</v>
      </c>
      <c r="OC110" s="334">
        <v>101.108</v>
      </c>
      <c r="OD110" s="334">
        <v>26.58</v>
      </c>
      <c r="OE110" s="334">
        <v>0.33</v>
      </c>
      <c r="OF110" s="334">
        <v>101.03700000000001</v>
      </c>
      <c r="OG110" s="334">
        <v>24.67</v>
      </c>
      <c r="OH110" s="334">
        <v>0.31</v>
      </c>
      <c r="OI110" s="334">
        <v>101.03700000000001</v>
      </c>
      <c r="OJ110" s="334">
        <v>26.17</v>
      </c>
      <c r="OK110" s="334">
        <v>0.31</v>
      </c>
      <c r="OL110" s="334">
        <v>101.03700000000001</v>
      </c>
      <c r="OM110" s="334">
        <v>24.5</v>
      </c>
      <c r="ON110" s="334">
        <v>0.31</v>
      </c>
      <c r="OO110" s="334">
        <v>101.03700000000001</v>
      </c>
      <c r="OP110" s="334">
        <v>21.58</v>
      </c>
      <c r="OQ110" s="334">
        <v>0.31</v>
      </c>
      <c r="OR110" s="334">
        <v>101.03700000000001</v>
      </c>
      <c r="OS110" s="334">
        <v>22.83</v>
      </c>
      <c r="OT110" s="334">
        <v>0.28999999999999998</v>
      </c>
      <c r="OU110" s="334">
        <v>101.03700000000001</v>
      </c>
      <c r="OV110" s="334">
        <v>21.08</v>
      </c>
    </row>
    <row r="111" spans="1:412">
      <c r="A111" s="294" t="s">
        <v>80</v>
      </c>
      <c r="B111" s="333" t="s">
        <v>158</v>
      </c>
      <c r="C111" s="333"/>
      <c r="D111" s="333"/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Q111" s="333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  <c r="AI111" s="339"/>
      <c r="AJ111" s="339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504"/>
      <c r="AZ111" s="504"/>
      <c r="BA111" s="504"/>
      <c r="BB111" s="503"/>
      <c r="BC111" s="503"/>
      <c r="BD111" s="503"/>
      <c r="BE111" s="503"/>
      <c r="BF111" s="503"/>
      <c r="BG111" s="503"/>
      <c r="BH111" s="503"/>
      <c r="BI111" s="503"/>
      <c r="BJ111" s="503"/>
      <c r="BK111" s="503"/>
      <c r="BL111" s="503"/>
      <c r="BM111" s="503"/>
      <c r="BN111" s="503"/>
      <c r="BO111" s="503"/>
      <c r="BP111" s="503"/>
      <c r="BQ111" s="504"/>
      <c r="BR111" s="504"/>
      <c r="BS111" s="504"/>
      <c r="BT111" s="504"/>
      <c r="BU111" s="504"/>
      <c r="BV111" s="504"/>
      <c r="BW111" s="504"/>
      <c r="BX111" s="504"/>
      <c r="BY111" s="504"/>
      <c r="BZ111" s="503"/>
      <c r="CA111" s="503"/>
      <c r="CB111" s="503"/>
      <c r="CC111" s="503"/>
      <c r="CD111" s="503"/>
      <c r="CE111" s="503"/>
      <c r="CF111" s="503"/>
      <c r="CG111" s="503"/>
      <c r="CH111" s="503"/>
      <c r="CI111" s="503"/>
      <c r="CJ111" s="503"/>
      <c r="CK111" s="503"/>
      <c r="CL111" s="503"/>
      <c r="CM111" s="503"/>
      <c r="CN111" s="503"/>
      <c r="CO111" s="503"/>
      <c r="CP111" s="503"/>
      <c r="CQ111" s="503"/>
      <c r="CR111" s="504"/>
      <c r="CS111" s="504"/>
      <c r="CT111" s="504"/>
      <c r="CU111" s="503"/>
      <c r="CV111" s="503"/>
      <c r="CW111" s="503"/>
      <c r="CX111" s="339"/>
      <c r="CY111" s="339"/>
      <c r="CZ111" s="339"/>
      <c r="DA111" s="339"/>
      <c r="DB111" s="339"/>
      <c r="DC111" s="339"/>
      <c r="DD111" s="339"/>
      <c r="DE111" s="339"/>
      <c r="DF111" s="339"/>
      <c r="DG111" s="339"/>
      <c r="DH111" s="339"/>
      <c r="DI111" s="339"/>
      <c r="DJ111" s="339"/>
      <c r="DK111" s="339"/>
      <c r="DL111" s="339"/>
      <c r="DM111" s="339"/>
      <c r="DN111" s="339"/>
      <c r="DO111" s="339"/>
      <c r="DP111" s="340">
        <v>80.2</v>
      </c>
      <c r="DQ111" s="340">
        <v>72.02</v>
      </c>
      <c r="DR111" s="340">
        <v>0.68</v>
      </c>
      <c r="DS111" s="339">
        <v>80.2</v>
      </c>
      <c r="DT111" s="339">
        <v>77.849999999999994</v>
      </c>
      <c r="DU111" s="339">
        <v>0.68</v>
      </c>
      <c r="DV111" s="339">
        <v>80.2</v>
      </c>
      <c r="DW111" s="339">
        <v>64.819999999999993</v>
      </c>
      <c r="DX111" s="339">
        <v>0.68</v>
      </c>
      <c r="DY111" s="339">
        <v>80.2</v>
      </c>
      <c r="DZ111" s="339">
        <v>71.13</v>
      </c>
      <c r="EA111" s="339">
        <v>0.68</v>
      </c>
      <c r="EB111" s="340">
        <v>79.5</v>
      </c>
      <c r="EC111" s="340">
        <v>59.65</v>
      </c>
      <c r="ED111" s="340">
        <v>0.68</v>
      </c>
      <c r="EE111" s="339">
        <v>79.8</v>
      </c>
      <c r="EF111" s="339">
        <v>54.41</v>
      </c>
      <c r="EG111" s="339">
        <v>0.68</v>
      </c>
      <c r="EH111" s="339">
        <v>79.400000000000006</v>
      </c>
      <c r="EI111" s="339">
        <v>55.89</v>
      </c>
      <c r="EJ111" s="339">
        <v>0.68</v>
      </c>
      <c r="EK111" s="339">
        <v>78.7</v>
      </c>
      <c r="EL111" s="339">
        <v>58.53</v>
      </c>
      <c r="EM111" s="339">
        <v>0.68</v>
      </c>
      <c r="EN111" s="340">
        <v>78.599999999999994</v>
      </c>
      <c r="EO111" s="340">
        <v>58.16</v>
      </c>
      <c r="EP111" s="340">
        <v>0.68</v>
      </c>
      <c r="EQ111" s="339">
        <v>78.5</v>
      </c>
      <c r="ER111" s="339">
        <v>52.22</v>
      </c>
      <c r="ES111" s="339">
        <v>0.68</v>
      </c>
      <c r="ET111" s="339">
        <v>78.5</v>
      </c>
      <c r="EU111" s="339">
        <v>52.2</v>
      </c>
      <c r="EV111" s="339">
        <v>0.68</v>
      </c>
      <c r="EW111" s="339">
        <v>78.599999999999994</v>
      </c>
      <c r="EX111" s="339">
        <v>56.87</v>
      </c>
      <c r="EY111" s="339">
        <v>0.68</v>
      </c>
      <c r="EZ111" s="340">
        <v>78.599999999999994</v>
      </c>
      <c r="FA111" s="340">
        <v>52.99</v>
      </c>
      <c r="FB111" s="340">
        <v>0.68</v>
      </c>
      <c r="FC111" s="339">
        <v>78.7</v>
      </c>
      <c r="FD111" s="339">
        <v>54.16</v>
      </c>
      <c r="FE111" s="339">
        <v>0.68</v>
      </c>
      <c r="FF111" s="339">
        <v>78.7</v>
      </c>
      <c r="FG111" s="339">
        <v>48.61</v>
      </c>
      <c r="FH111" s="339">
        <v>0.68</v>
      </c>
      <c r="FI111" s="339">
        <v>78.3</v>
      </c>
      <c r="FJ111" s="339">
        <v>51.84</v>
      </c>
      <c r="FK111" s="339">
        <v>0.68</v>
      </c>
      <c r="FL111" s="339">
        <v>78</v>
      </c>
      <c r="FM111" s="339">
        <v>50.51</v>
      </c>
      <c r="FN111" s="339">
        <v>0.68</v>
      </c>
      <c r="FO111" s="339">
        <v>77.7</v>
      </c>
      <c r="FP111" s="339">
        <v>48.51</v>
      </c>
      <c r="FQ111" s="339">
        <v>0.68</v>
      </c>
      <c r="FR111" s="339">
        <v>77.400000000000006</v>
      </c>
      <c r="FS111" s="339">
        <v>52.06</v>
      </c>
      <c r="FT111" s="339">
        <v>0.68</v>
      </c>
      <c r="FU111" s="339">
        <v>76.900000000000006</v>
      </c>
      <c r="FV111" s="339">
        <v>43.74</v>
      </c>
      <c r="FW111" s="339">
        <v>0.68</v>
      </c>
      <c r="FX111" s="339">
        <v>76.8</v>
      </c>
      <c r="FY111" s="339">
        <v>47.38</v>
      </c>
      <c r="FZ111" s="339">
        <v>0.68</v>
      </c>
      <c r="GA111" s="339">
        <v>76.8</v>
      </c>
      <c r="GB111" s="339">
        <v>41.99</v>
      </c>
      <c r="GC111" s="339">
        <v>0.68</v>
      </c>
      <c r="GD111" s="339">
        <v>76.8</v>
      </c>
      <c r="GE111" s="339">
        <v>35.89</v>
      </c>
      <c r="GF111" s="339">
        <v>0.68</v>
      </c>
      <c r="GG111" s="339">
        <v>76.7</v>
      </c>
      <c r="GH111" s="339">
        <v>29.99</v>
      </c>
      <c r="GI111" s="339">
        <v>0.68</v>
      </c>
      <c r="GJ111" s="339">
        <v>76.7</v>
      </c>
      <c r="GK111" s="339">
        <v>26.04</v>
      </c>
      <c r="GL111" s="339">
        <v>0.68</v>
      </c>
      <c r="GM111" s="339">
        <v>76.7</v>
      </c>
      <c r="GN111" s="339">
        <v>42.98</v>
      </c>
      <c r="GO111" s="339">
        <v>0.67</v>
      </c>
      <c r="GP111" s="339">
        <v>76.599999999999994</v>
      </c>
      <c r="GQ111" s="339">
        <v>49.94</v>
      </c>
      <c r="GR111" s="339">
        <v>0.67</v>
      </c>
      <c r="GS111" s="339">
        <v>76.599999999999994</v>
      </c>
      <c r="GT111" s="339">
        <v>50.83</v>
      </c>
      <c r="GU111" s="339">
        <v>0.67</v>
      </c>
      <c r="GV111" s="339">
        <v>71.599999999999994</v>
      </c>
      <c r="GW111" s="339">
        <v>46.64</v>
      </c>
      <c r="GX111" s="339">
        <v>0.67</v>
      </c>
      <c r="GY111" s="339">
        <v>76.2</v>
      </c>
      <c r="GZ111" s="339">
        <v>51.69</v>
      </c>
      <c r="HA111" s="339">
        <v>0.66</v>
      </c>
      <c r="HB111" s="339">
        <v>76</v>
      </c>
      <c r="HC111" s="339">
        <v>51.23</v>
      </c>
      <c r="HD111" s="339">
        <v>0.66</v>
      </c>
      <c r="HE111" s="339">
        <v>57.5</v>
      </c>
      <c r="HF111" s="339">
        <v>50.73</v>
      </c>
      <c r="HG111" s="339">
        <v>0.66</v>
      </c>
      <c r="HH111" s="339">
        <v>42.3</v>
      </c>
      <c r="HI111" s="505">
        <v>57.26</v>
      </c>
      <c r="HJ111" s="339">
        <v>0.57499999999999996</v>
      </c>
      <c r="HK111" s="339">
        <v>43.3</v>
      </c>
      <c r="HL111" s="339">
        <v>54.03</v>
      </c>
      <c r="HM111" s="339">
        <v>0.57499999999999996</v>
      </c>
      <c r="HN111" s="339">
        <v>42.2</v>
      </c>
      <c r="HO111" s="339">
        <v>49.63</v>
      </c>
      <c r="HP111" s="533">
        <v>0.57499999999999996</v>
      </c>
      <c r="HQ111" s="339">
        <v>40.299999999999997</v>
      </c>
      <c r="HR111" s="339">
        <v>49.6</v>
      </c>
      <c r="HS111" s="339">
        <v>0.56499999999999995</v>
      </c>
      <c r="HT111" s="339">
        <v>39.1</v>
      </c>
      <c r="HU111" s="339">
        <v>49.22</v>
      </c>
      <c r="HV111" s="339">
        <v>0.56499999999999995</v>
      </c>
      <c r="HW111" s="339">
        <v>38.200000000000003</v>
      </c>
      <c r="HX111" s="506">
        <v>55.31</v>
      </c>
      <c r="HY111" s="513">
        <f>2.26/4</f>
        <v>0.56499999999999995</v>
      </c>
      <c r="HZ111" s="339">
        <v>38</v>
      </c>
      <c r="IA111" s="339">
        <v>57.8</v>
      </c>
      <c r="IB111" s="512">
        <v>0.56499999999999995</v>
      </c>
      <c r="IC111" s="339">
        <v>37.799999999999997</v>
      </c>
      <c r="ID111" s="339">
        <v>56.25</v>
      </c>
      <c r="IE111" s="339">
        <v>0.55500000000000005</v>
      </c>
      <c r="IF111" s="339">
        <v>37.4</v>
      </c>
      <c r="IG111" s="339">
        <v>52.92</v>
      </c>
      <c r="IH111" s="339">
        <v>0.55500000000000005</v>
      </c>
      <c r="II111" s="339">
        <v>37.4</v>
      </c>
      <c r="IJ111" s="505">
        <v>49.96</v>
      </c>
      <c r="IK111" s="339">
        <v>0.55500000000000005</v>
      </c>
      <c r="IL111" s="339">
        <v>37.299999999999997</v>
      </c>
      <c r="IM111" s="339">
        <v>44.99</v>
      </c>
      <c r="IN111" s="339">
        <v>0.55500000000000005</v>
      </c>
      <c r="IO111" s="339">
        <v>37.1</v>
      </c>
      <c r="IP111" s="339">
        <v>46.35</v>
      </c>
      <c r="IQ111" s="339">
        <v>0.54500000000000004</v>
      </c>
      <c r="IR111" s="339">
        <v>34.5</v>
      </c>
      <c r="IS111" s="339">
        <v>47.8</v>
      </c>
      <c r="IT111" s="339">
        <v>0.54500000000000004</v>
      </c>
      <c r="IU111" s="339">
        <v>32.6</v>
      </c>
      <c r="IV111" s="339">
        <v>46.23</v>
      </c>
      <c r="IW111" s="339">
        <v>0.54500000000000004</v>
      </c>
      <c r="IX111" s="339">
        <v>32.4</v>
      </c>
      <c r="IY111" s="339">
        <v>41.2</v>
      </c>
      <c r="IZ111" s="339">
        <v>0.54500000000000004</v>
      </c>
      <c r="JA111" s="339">
        <v>32.1</v>
      </c>
      <c r="JB111" s="339">
        <v>40.200000000000003</v>
      </c>
      <c r="JC111" s="339">
        <v>0.53500000000000003</v>
      </c>
      <c r="JD111" s="339">
        <v>32</v>
      </c>
      <c r="JE111" s="339">
        <v>40</v>
      </c>
      <c r="JF111" s="339">
        <v>0.53500000000000003</v>
      </c>
      <c r="JG111" s="339">
        <v>31.9</v>
      </c>
      <c r="JH111" s="339">
        <v>38.82</v>
      </c>
      <c r="JI111" s="339">
        <v>0.53500000000000003</v>
      </c>
      <c r="JJ111" s="339">
        <v>31.7</v>
      </c>
      <c r="JK111" s="339">
        <v>35.44</v>
      </c>
      <c r="JL111" s="339">
        <v>0.53500000000000003</v>
      </c>
      <c r="JM111" s="339">
        <v>31.4</v>
      </c>
      <c r="JN111" s="339">
        <v>40.83</v>
      </c>
      <c r="JO111" s="339">
        <v>0.52500000000000002</v>
      </c>
      <c r="JP111" s="339">
        <v>29.2</v>
      </c>
      <c r="JQ111" s="339">
        <v>39.44</v>
      </c>
      <c r="JR111" s="339">
        <v>0.52500000000000002</v>
      </c>
      <c r="JS111" s="339">
        <v>28.72</v>
      </c>
      <c r="JT111" s="339">
        <v>36.549999999999997</v>
      </c>
      <c r="JU111" s="339">
        <v>0.52500000000000002</v>
      </c>
      <c r="JV111" s="339">
        <v>28.573</v>
      </c>
      <c r="JW111" s="339">
        <v>34.4</v>
      </c>
      <c r="JX111" s="339">
        <v>0.52500000000000002</v>
      </c>
      <c r="JY111" s="339">
        <v>26.456</v>
      </c>
      <c r="JZ111" s="339">
        <v>35.25</v>
      </c>
      <c r="KA111" s="339">
        <v>0.51500000000000001</v>
      </c>
      <c r="KB111" s="339">
        <v>26.5</v>
      </c>
      <c r="KC111" s="339">
        <v>34.130000000000003</v>
      </c>
      <c r="KD111" s="339">
        <v>0.51500000000000001</v>
      </c>
      <c r="KE111" s="339">
        <v>26.5</v>
      </c>
      <c r="KF111" s="339">
        <v>36.8125</v>
      </c>
      <c r="KG111" s="339">
        <v>0.51500000000000001</v>
      </c>
      <c r="KH111" s="339">
        <v>29.9</v>
      </c>
      <c r="KI111" s="339">
        <v>32.75</v>
      </c>
      <c r="KJ111" s="339">
        <v>0.51500000000000001</v>
      </c>
      <c r="KK111" s="339">
        <v>26.634</v>
      </c>
      <c r="KL111" s="339">
        <v>30.0625</v>
      </c>
      <c r="KM111" s="339">
        <v>0.505</v>
      </c>
      <c r="KN111" s="339">
        <v>26.768000000000001</v>
      </c>
      <c r="KO111" s="339">
        <v>25.9375</v>
      </c>
      <c r="KP111" s="339">
        <v>0.505</v>
      </c>
      <c r="KQ111" s="339">
        <v>26.681999999999999</v>
      </c>
      <c r="KR111" s="339">
        <v>25.125</v>
      </c>
      <c r="KS111" s="339">
        <v>0.505</v>
      </c>
      <c r="KT111" s="339">
        <v>26.7</v>
      </c>
      <c r="KU111" s="339">
        <v>28.0625</v>
      </c>
      <c r="KV111" s="339">
        <v>0.505</v>
      </c>
      <c r="KW111" s="334">
        <v>26.51</v>
      </c>
      <c r="KX111" s="334">
        <v>30</v>
      </c>
      <c r="KY111" s="334">
        <v>0.495</v>
      </c>
      <c r="KZ111" s="334">
        <v>26.51</v>
      </c>
      <c r="LA111" s="334">
        <v>29.5</v>
      </c>
      <c r="LB111" s="334">
        <v>0.495</v>
      </c>
      <c r="LC111" s="334">
        <v>26.51</v>
      </c>
      <c r="LD111" s="334">
        <v>35.25</v>
      </c>
      <c r="LE111" s="334">
        <v>0.495</v>
      </c>
      <c r="LF111" s="334">
        <v>23.86</v>
      </c>
      <c r="LG111" s="334">
        <v>35.75</v>
      </c>
      <c r="LH111" s="334">
        <v>0.495</v>
      </c>
      <c r="LI111" s="334">
        <v>23.86</v>
      </c>
      <c r="LJ111" s="334">
        <v>32.813000000000002</v>
      </c>
      <c r="LK111" s="334">
        <v>0.48499999999999999</v>
      </c>
      <c r="LL111" s="334">
        <v>23.87</v>
      </c>
      <c r="LM111" s="334">
        <v>33.3125</v>
      </c>
      <c r="LN111" s="334">
        <v>0.48499999999999999</v>
      </c>
      <c r="LO111" s="334">
        <v>23.87</v>
      </c>
      <c r="LP111" s="334">
        <v>33.125</v>
      </c>
      <c r="LQ111" s="334">
        <v>0.48499999999999999</v>
      </c>
      <c r="LR111" s="334">
        <v>23.88</v>
      </c>
      <c r="LS111" s="334">
        <v>28.9375</v>
      </c>
      <c r="LT111" s="334">
        <v>0.46500000000000002</v>
      </c>
      <c r="LU111" s="334">
        <v>23.88</v>
      </c>
      <c r="LV111" s="334">
        <v>26.75</v>
      </c>
      <c r="LW111" s="334">
        <v>0.46500000000000002</v>
      </c>
      <c r="LX111" s="334">
        <v>23.896999999999998</v>
      </c>
      <c r="LY111" s="334">
        <v>26</v>
      </c>
      <c r="LZ111" s="334">
        <v>0.46500000000000002</v>
      </c>
      <c r="MA111" s="334">
        <v>23.896999999999998</v>
      </c>
      <c r="MB111" s="334">
        <v>28.5</v>
      </c>
      <c r="MC111" s="334">
        <v>0.46500000000000002</v>
      </c>
      <c r="MD111" s="334">
        <v>23.896999999999998</v>
      </c>
      <c r="ME111" s="334">
        <v>30.375</v>
      </c>
      <c r="MF111" s="334">
        <v>0.46500000000000002</v>
      </c>
      <c r="MG111" s="334">
        <v>23.896999999999998</v>
      </c>
      <c r="MH111" s="334">
        <v>31.625</v>
      </c>
      <c r="MI111" s="334">
        <v>0.46500000000000002</v>
      </c>
      <c r="MJ111" s="334">
        <v>23.896999999999998</v>
      </c>
      <c r="MK111" s="334">
        <v>33.625</v>
      </c>
      <c r="ML111" s="334">
        <v>0.46500000000000002</v>
      </c>
      <c r="MM111" s="334">
        <v>23.896999999999998</v>
      </c>
      <c r="MN111" s="334">
        <v>34</v>
      </c>
      <c r="MO111" s="334">
        <v>0.46500000000000002</v>
      </c>
      <c r="MP111" s="334">
        <v>23.896999999999998</v>
      </c>
      <c r="MQ111" s="334">
        <v>30.375</v>
      </c>
      <c r="MR111" s="334">
        <v>0.45500000000000002</v>
      </c>
      <c r="MS111" s="334">
        <v>23.896999999999998</v>
      </c>
      <c r="MT111" s="334">
        <v>29.25</v>
      </c>
      <c r="MU111" s="334">
        <v>0.45500000000000002</v>
      </c>
      <c r="MV111" s="334">
        <v>23.896999999999998</v>
      </c>
      <c r="MW111" s="334">
        <v>29</v>
      </c>
      <c r="MX111" s="334">
        <v>0.45500000000000002</v>
      </c>
      <c r="MY111" s="334">
        <v>23.896999999999998</v>
      </c>
      <c r="MZ111" s="334">
        <v>26.75</v>
      </c>
      <c r="NA111" s="334">
        <v>0.45500000000000002</v>
      </c>
      <c r="NB111" s="334">
        <v>23.896999999999998</v>
      </c>
      <c r="NC111" s="334">
        <v>28.25</v>
      </c>
      <c r="ND111" s="334">
        <v>0.44500000000000001</v>
      </c>
      <c r="NE111" s="334">
        <v>23.896999999999998</v>
      </c>
      <c r="NF111" s="334">
        <v>28.25</v>
      </c>
      <c r="NG111" s="334">
        <v>0.44500000000000001</v>
      </c>
      <c r="NH111" s="334">
        <v>23.896999999999998</v>
      </c>
      <c r="NI111" s="334">
        <v>29.25</v>
      </c>
      <c r="NJ111" s="334">
        <v>0.44500000000000001</v>
      </c>
      <c r="NK111" s="334">
        <v>23.896999999999998</v>
      </c>
      <c r="NL111" s="334">
        <v>33.625</v>
      </c>
      <c r="NM111" s="334">
        <v>0.44500000000000001</v>
      </c>
      <c r="NN111" s="334">
        <v>23.896999999999998</v>
      </c>
      <c r="NO111" s="334">
        <v>36</v>
      </c>
      <c r="NP111" s="334">
        <v>0.44500000000000001</v>
      </c>
      <c r="NQ111" s="334">
        <v>23.896999999999998</v>
      </c>
      <c r="NR111" s="334">
        <v>34.125</v>
      </c>
      <c r="NS111" s="334">
        <v>0.435</v>
      </c>
      <c r="NT111" s="334">
        <v>23.861000000000001</v>
      </c>
      <c r="NU111" s="334">
        <v>34.375</v>
      </c>
      <c r="NV111" s="334">
        <v>0.435</v>
      </c>
      <c r="NW111" s="334">
        <v>23.196000000000002</v>
      </c>
      <c r="NX111" s="334">
        <v>31.75</v>
      </c>
      <c r="NY111" s="334">
        <v>0.44</v>
      </c>
      <c r="NZ111" s="334">
        <v>23.196000000000002</v>
      </c>
      <c r="OA111" s="334">
        <v>31.88</v>
      </c>
      <c r="OB111" s="334">
        <v>0.44</v>
      </c>
      <c r="OC111" s="334">
        <v>22.917000000000002</v>
      </c>
      <c r="OD111" s="334">
        <v>29.38</v>
      </c>
      <c r="OE111" s="334">
        <v>0.43</v>
      </c>
      <c r="OF111" s="334">
        <v>22.888999999999999</v>
      </c>
      <c r="OG111" s="334">
        <v>27</v>
      </c>
      <c r="OH111" s="334">
        <v>0.43</v>
      </c>
      <c r="OI111" s="334">
        <v>22.888999999999999</v>
      </c>
      <c r="OJ111" s="334">
        <v>28.25</v>
      </c>
      <c r="OK111" s="334">
        <v>0.43</v>
      </c>
      <c r="OL111" s="334">
        <v>22.888999999999999</v>
      </c>
      <c r="OM111" s="334">
        <v>26.5</v>
      </c>
      <c r="ON111" s="334">
        <v>0.43</v>
      </c>
      <c r="OO111" s="334">
        <v>22.888999999999999</v>
      </c>
      <c r="OP111" s="334">
        <v>24.25</v>
      </c>
      <c r="OQ111" s="334">
        <v>0.42</v>
      </c>
      <c r="OR111" s="334">
        <v>22.888999999999999</v>
      </c>
      <c r="OS111" s="334">
        <v>24.63</v>
      </c>
      <c r="OT111" s="334">
        <v>0.42</v>
      </c>
      <c r="OU111" s="334">
        <v>22.888999999999999</v>
      </c>
      <c r="OV111" s="334">
        <v>23.63</v>
      </c>
    </row>
    <row r="112" spans="1:412">
      <c r="A112" s="294" t="s">
        <v>30</v>
      </c>
      <c r="B112" s="335" t="s">
        <v>159</v>
      </c>
      <c r="C112" s="335">
        <v>203.88800000000001</v>
      </c>
      <c r="D112" s="335">
        <v>18.02</v>
      </c>
      <c r="E112" s="335">
        <v>0.13</v>
      </c>
      <c r="F112" s="335">
        <v>203.88800000000001</v>
      </c>
      <c r="G112" s="335">
        <v>27.41</v>
      </c>
      <c r="H112" s="335">
        <v>0.13</v>
      </c>
      <c r="I112" s="335">
        <v>203.779</v>
      </c>
      <c r="J112" s="335">
        <v>25.1</v>
      </c>
      <c r="K112" s="335">
        <v>0.125</v>
      </c>
      <c r="L112" s="335">
        <v>203.7</v>
      </c>
      <c r="M112" s="335">
        <v>25.2</v>
      </c>
      <c r="N112" s="335">
        <v>0.125</v>
      </c>
      <c r="O112" s="335">
        <v>203.63800000000001</v>
      </c>
      <c r="P112" s="335">
        <v>19.8</v>
      </c>
      <c r="Q112" s="335">
        <v>0.125</v>
      </c>
      <c r="R112" s="340">
        <v>203.63499999999999</v>
      </c>
      <c r="S112" s="340">
        <v>19.579999999999998</v>
      </c>
      <c r="T112" s="340">
        <v>0.125</v>
      </c>
      <c r="U112" s="340">
        <v>203.624</v>
      </c>
      <c r="V112" s="340">
        <v>20.94</v>
      </c>
      <c r="W112" s="340">
        <v>0.2225</v>
      </c>
      <c r="X112" s="340">
        <v>203.358</v>
      </c>
      <c r="Y112" s="340">
        <v>30.48</v>
      </c>
      <c r="Z112" s="340">
        <v>0.2225</v>
      </c>
      <c r="AA112" s="340">
        <v>203.351</v>
      </c>
      <c r="AB112" s="340">
        <v>30.34</v>
      </c>
      <c r="AC112" s="340">
        <v>0.2225</v>
      </c>
      <c r="AD112" s="340">
        <v>203.351</v>
      </c>
      <c r="AE112" s="340">
        <v>27.35</v>
      </c>
      <c r="AF112" s="340">
        <v>0.2175</v>
      </c>
      <c r="AG112" s="340">
        <v>203.351</v>
      </c>
      <c r="AH112" s="340">
        <v>26.99</v>
      </c>
      <c r="AI112" s="340">
        <v>0.2175</v>
      </c>
      <c r="AJ112" s="340">
        <v>202.07599999999999</v>
      </c>
      <c r="AK112" s="340">
        <v>26.65</v>
      </c>
      <c r="AL112" s="340">
        <v>0.2175</v>
      </c>
      <c r="AM112" s="340">
        <v>202.863</v>
      </c>
      <c r="AN112" s="340">
        <v>30.84</v>
      </c>
      <c r="AO112" s="340">
        <v>0.2175</v>
      </c>
      <c r="AP112" s="340">
        <v>201.345</v>
      </c>
      <c r="AQ112" s="340">
        <v>29.67</v>
      </c>
      <c r="AR112" s="340">
        <v>0.21249999999999999</v>
      </c>
      <c r="AS112" s="340">
        <v>200.708</v>
      </c>
      <c r="AT112" s="340">
        <v>31.34</v>
      </c>
      <c r="AU112" s="340">
        <v>0.21249999999999999</v>
      </c>
      <c r="AV112" s="340">
        <v>200.50200000000001</v>
      </c>
      <c r="AW112" s="340">
        <v>31.61</v>
      </c>
      <c r="AX112" s="340">
        <v>0.21249999999999999</v>
      </c>
      <c r="AY112" s="538">
        <v>200.52199999999999</v>
      </c>
      <c r="AZ112" s="538">
        <v>26.34</v>
      </c>
      <c r="BA112" s="538">
        <v>0.21249999999999999</v>
      </c>
      <c r="BB112" s="504">
        <v>200.52199999999999</v>
      </c>
      <c r="BC112" s="504">
        <v>22.5</v>
      </c>
      <c r="BD112" s="504">
        <v>0.20749999999999999</v>
      </c>
      <c r="BE112" s="504">
        <v>200.44</v>
      </c>
      <c r="BF112" s="504">
        <v>22.18</v>
      </c>
      <c r="BG112" s="504">
        <v>0.20749999999999999</v>
      </c>
      <c r="BH112" s="504">
        <v>198.61199999999999</v>
      </c>
      <c r="BI112" s="504">
        <v>21.5</v>
      </c>
      <c r="BJ112" s="504">
        <v>0.20749999999999999</v>
      </c>
      <c r="BK112" s="504">
        <v>199.34299999999999</v>
      </c>
      <c r="BL112" s="504">
        <v>29.71</v>
      </c>
      <c r="BM112" s="504">
        <v>0.20749999999999999</v>
      </c>
      <c r="BN112" s="504">
        <v>198.27</v>
      </c>
      <c r="BO112" s="504">
        <v>28.19</v>
      </c>
      <c r="BP112" s="504">
        <v>0.20250000000000001</v>
      </c>
      <c r="BQ112" s="504">
        <v>196.40100000000001</v>
      </c>
      <c r="BR112" s="504">
        <v>25.8</v>
      </c>
      <c r="BS112" s="504">
        <v>0.20250000000000001</v>
      </c>
      <c r="BT112" s="504">
        <v>195.72</v>
      </c>
      <c r="BU112" s="504">
        <v>25.83</v>
      </c>
      <c r="BV112" s="504">
        <v>0.20250000000000001</v>
      </c>
      <c r="BW112" s="504">
        <v>196.018</v>
      </c>
      <c r="BX112" s="504">
        <v>23.84</v>
      </c>
      <c r="BY112" s="507">
        <v>0.20250000000000001</v>
      </c>
      <c r="BZ112" s="504">
        <v>195.524</v>
      </c>
      <c r="CA112" s="504">
        <v>25.69</v>
      </c>
      <c r="CB112" s="504">
        <v>0.19750000000000001</v>
      </c>
      <c r="CC112" s="503">
        <v>195.304</v>
      </c>
      <c r="CD112" s="503">
        <v>28.68</v>
      </c>
      <c r="CE112" s="503">
        <v>0.19750000000000001</v>
      </c>
      <c r="CF112" s="503">
        <v>195.304</v>
      </c>
      <c r="CG112" s="503">
        <v>28.16</v>
      </c>
      <c r="CH112" s="503">
        <v>0.19750000000000001</v>
      </c>
      <c r="CI112" s="503">
        <v>195.304</v>
      </c>
      <c r="CJ112" s="503">
        <v>26.88</v>
      </c>
      <c r="CK112" s="508">
        <v>0.19750000000000001</v>
      </c>
      <c r="CL112" s="503">
        <v>195.304</v>
      </c>
      <c r="CM112" s="503">
        <v>25.95</v>
      </c>
      <c r="CN112" s="503">
        <v>0.1925</v>
      </c>
      <c r="CO112" s="503">
        <v>195.304</v>
      </c>
      <c r="CP112" s="503">
        <v>26.2</v>
      </c>
      <c r="CQ112" s="503">
        <v>0.1925</v>
      </c>
      <c r="CR112" s="504">
        <v>195.29900000000001</v>
      </c>
      <c r="CS112" s="504">
        <v>27.37</v>
      </c>
      <c r="CT112" s="504">
        <v>0.1925</v>
      </c>
      <c r="CU112" s="503">
        <v>195.304</v>
      </c>
      <c r="CV112" s="503">
        <v>28.77</v>
      </c>
      <c r="CW112" s="509">
        <v>0.1925</v>
      </c>
      <c r="CX112" s="339">
        <v>195.304</v>
      </c>
      <c r="CY112" s="339">
        <v>25.44</v>
      </c>
      <c r="CZ112" s="339">
        <v>0.1875</v>
      </c>
      <c r="DA112" s="339">
        <v>195.28399999999999</v>
      </c>
      <c r="DB112" s="339">
        <v>24</v>
      </c>
      <c r="DC112" s="339">
        <v>0.1875</v>
      </c>
      <c r="DD112" s="339">
        <v>194.928</v>
      </c>
      <c r="DE112" s="339">
        <v>19.46</v>
      </c>
      <c r="DF112" s="339">
        <v>0.1875</v>
      </c>
      <c r="DG112" s="339">
        <v>195.15100000000001</v>
      </c>
      <c r="DH112" s="339">
        <v>18.32</v>
      </c>
      <c r="DI112" s="339">
        <v>0.1875</v>
      </c>
      <c r="DJ112" s="339">
        <v>194.80500000000001</v>
      </c>
      <c r="DK112" s="339">
        <v>17.2</v>
      </c>
      <c r="DL112" s="339">
        <v>0.1825</v>
      </c>
      <c r="DM112" s="339">
        <v>194.47900000000001</v>
      </c>
      <c r="DN112" s="339">
        <v>19.53</v>
      </c>
      <c r="DO112" s="339">
        <v>0.1825</v>
      </c>
      <c r="DP112" s="340">
        <v>194.136</v>
      </c>
      <c r="DQ112" s="340">
        <v>21.34</v>
      </c>
      <c r="DR112" s="340">
        <v>0.1825</v>
      </c>
      <c r="DS112" s="339">
        <v>193.94900000000001</v>
      </c>
      <c r="DT112" s="339">
        <v>23.5</v>
      </c>
      <c r="DU112" s="510">
        <v>0.1825</v>
      </c>
      <c r="DV112" s="339">
        <v>192.06</v>
      </c>
      <c r="DW112" s="339">
        <v>27.81</v>
      </c>
      <c r="DX112" s="339">
        <v>0.17749999999999999</v>
      </c>
      <c r="DY112" s="339">
        <v>189.82</v>
      </c>
      <c r="DZ112" s="339">
        <v>35.1</v>
      </c>
      <c r="EA112" s="339">
        <v>0.17749999999999999</v>
      </c>
      <c r="EB112" s="340">
        <v>188.85499999999999</v>
      </c>
      <c r="EC112" s="340">
        <v>34.31</v>
      </c>
      <c r="ED112" s="340">
        <v>0.17749999999999999</v>
      </c>
      <c r="EE112" s="339">
        <v>188.83099999999999</v>
      </c>
      <c r="EF112" s="339">
        <v>30.55</v>
      </c>
      <c r="EG112" s="510">
        <v>0.17749999999999999</v>
      </c>
      <c r="EH112" s="339">
        <v>188.83099999999999</v>
      </c>
      <c r="EI112" s="339">
        <v>27.97</v>
      </c>
      <c r="EJ112" s="339">
        <v>0.17249999999999999</v>
      </c>
      <c r="EK112" s="339">
        <v>188.83099999999999</v>
      </c>
      <c r="EL112" s="339">
        <v>25.91</v>
      </c>
      <c r="EM112" s="339">
        <v>0.17249999999999999</v>
      </c>
      <c r="EN112" s="340">
        <v>188.82599999999999</v>
      </c>
      <c r="EO112" s="340">
        <v>24.99</v>
      </c>
      <c r="EP112" s="515">
        <v>0.17249999999999999</v>
      </c>
      <c r="EQ112" s="339">
        <v>188.83099999999999</v>
      </c>
      <c r="ER112" s="339">
        <v>21.24</v>
      </c>
      <c r="ES112" s="339">
        <v>0.16750000000000001</v>
      </c>
      <c r="ET112" s="339">
        <v>188.83099999999999</v>
      </c>
      <c r="EU112" s="339">
        <v>22.04</v>
      </c>
      <c r="EV112" s="339">
        <v>0.16750000000000001</v>
      </c>
      <c r="EW112" s="339">
        <v>188.81100000000001</v>
      </c>
      <c r="EX112" s="339">
        <v>21.61</v>
      </c>
      <c r="EY112" s="339">
        <v>0.16750000000000001</v>
      </c>
      <c r="EZ112" s="340">
        <v>188.76300000000001</v>
      </c>
      <c r="FA112" s="340">
        <v>22.39</v>
      </c>
      <c r="FB112" s="340">
        <v>0.16750000000000001</v>
      </c>
      <c r="FC112" s="339">
        <v>188.79400000000001</v>
      </c>
      <c r="FD112" s="339">
        <v>21.46</v>
      </c>
      <c r="FE112" s="339">
        <v>0.16750000000000001</v>
      </c>
      <c r="FF112" s="339">
        <v>188.79400000000001</v>
      </c>
      <c r="FG112" s="339">
        <v>19.170000000000002</v>
      </c>
      <c r="FH112" s="339">
        <v>0.16250000000000001</v>
      </c>
      <c r="FI112" s="339">
        <v>188.67099999999999</v>
      </c>
      <c r="FJ112" s="339">
        <v>22.5</v>
      </c>
      <c r="FK112" s="339">
        <v>0.16250000000000001</v>
      </c>
      <c r="FL112" s="339">
        <v>188.28100000000001</v>
      </c>
      <c r="FM112" s="339">
        <v>22.97</v>
      </c>
      <c r="FN112" s="339">
        <v>0.16250000000000001</v>
      </c>
      <c r="FO112" s="339">
        <v>188.17</v>
      </c>
      <c r="FP112" s="339">
        <v>20.27</v>
      </c>
      <c r="FQ112" s="511">
        <v>0.16250000000000001</v>
      </c>
      <c r="FR112" s="339">
        <v>188.12899999999999</v>
      </c>
      <c r="FS112" s="339">
        <v>19.95</v>
      </c>
      <c r="FT112" s="339">
        <v>0.1575</v>
      </c>
      <c r="FU112" s="339">
        <v>187.96299999999999</v>
      </c>
      <c r="FV112" s="339">
        <v>18.03</v>
      </c>
      <c r="FW112" s="339">
        <v>0.1575</v>
      </c>
      <c r="FX112" s="339">
        <v>187.74799999999999</v>
      </c>
      <c r="FY112" s="339">
        <v>21.58</v>
      </c>
      <c r="FZ112" s="339">
        <v>0.1575</v>
      </c>
      <c r="GA112" s="339">
        <v>185.16</v>
      </c>
      <c r="GB112" s="339">
        <v>23.6</v>
      </c>
      <c r="GC112" s="339">
        <v>0.1575</v>
      </c>
      <c r="GD112" s="339">
        <v>183.964</v>
      </c>
      <c r="GE112" s="339">
        <v>20.85</v>
      </c>
      <c r="GF112" s="339">
        <v>0.155</v>
      </c>
      <c r="GG112" s="339">
        <v>183.78700000000001</v>
      </c>
      <c r="GH112" s="339">
        <v>18.97</v>
      </c>
      <c r="GI112" s="339">
        <v>0.155</v>
      </c>
      <c r="GJ112" s="339">
        <v>183.6</v>
      </c>
      <c r="GK112" s="339">
        <v>16.14</v>
      </c>
      <c r="GL112" s="339">
        <v>0.155</v>
      </c>
      <c r="GM112" s="339">
        <v>183.21899999999999</v>
      </c>
      <c r="GN112" s="339">
        <v>21.58</v>
      </c>
      <c r="GO112" s="339">
        <v>0.155</v>
      </c>
      <c r="GP112" s="339">
        <v>182.97200000000001</v>
      </c>
      <c r="GQ112" s="339">
        <v>29</v>
      </c>
      <c r="GR112" s="339">
        <v>0.155</v>
      </c>
      <c r="GS112" s="339">
        <v>182.6</v>
      </c>
      <c r="GT112" s="339">
        <v>34.86</v>
      </c>
      <c r="GU112" s="339">
        <v>0.14499999999999999</v>
      </c>
      <c r="GV112" s="339">
        <v>181.946</v>
      </c>
      <c r="GW112" s="339">
        <v>24.55</v>
      </c>
      <c r="GX112" s="339">
        <v>0.14499999999999999</v>
      </c>
      <c r="GY112" s="339">
        <v>182.19200000000001</v>
      </c>
      <c r="GZ112" s="339">
        <v>27.61</v>
      </c>
      <c r="HA112" s="339">
        <v>0.14499999999999999</v>
      </c>
      <c r="HB112" s="339">
        <v>181.84700000000001</v>
      </c>
      <c r="HC112" s="339">
        <v>27.84</v>
      </c>
      <c r="HD112" s="339">
        <v>0.14499999999999999</v>
      </c>
      <c r="HE112" s="339">
        <v>181.34100000000001</v>
      </c>
      <c r="HF112" s="339">
        <v>28.04</v>
      </c>
      <c r="HG112" s="339">
        <v>0.13500000000000001</v>
      </c>
      <c r="HH112" s="339">
        <v>180.23400000000001</v>
      </c>
      <c r="HI112" s="505">
        <v>28.74</v>
      </c>
      <c r="HJ112" s="339">
        <v>0.13500000000000001</v>
      </c>
      <c r="HK112" s="340">
        <v>180.291</v>
      </c>
      <c r="HL112" s="340">
        <v>25.64</v>
      </c>
      <c r="HM112" s="340">
        <v>0.13500000000000001</v>
      </c>
      <c r="HN112" s="339">
        <v>179.911</v>
      </c>
      <c r="HO112" s="339">
        <v>22.34</v>
      </c>
      <c r="HP112" s="533">
        <v>0.13500000000000001</v>
      </c>
      <c r="HQ112" s="339">
        <v>179.82</v>
      </c>
      <c r="HR112" s="339">
        <v>24.41</v>
      </c>
      <c r="HS112" s="339">
        <v>0.126666</v>
      </c>
      <c r="HT112" s="339">
        <v>179.72</v>
      </c>
      <c r="HU112" s="339">
        <v>22.3</v>
      </c>
      <c r="HV112" s="339">
        <v>0.126666</v>
      </c>
      <c r="HW112" s="339">
        <v>179.42850000000001</v>
      </c>
      <c r="HX112" s="506">
        <v>21.83</v>
      </c>
      <c r="HY112" s="339">
        <v>0.126666</v>
      </c>
      <c r="HZ112" s="339">
        <v>177.52199999999999</v>
      </c>
      <c r="IA112" s="339">
        <v>23.77</v>
      </c>
      <c r="IB112" s="339">
        <v>0.126666</v>
      </c>
      <c r="IC112" s="339">
        <v>176.74</v>
      </c>
      <c r="ID112" s="339">
        <v>18.78</v>
      </c>
      <c r="IE112" s="339">
        <v>0.12</v>
      </c>
      <c r="IF112" s="339">
        <v>175.66</v>
      </c>
      <c r="IG112" s="339">
        <v>18.41</v>
      </c>
      <c r="IH112" s="339">
        <v>0.12</v>
      </c>
      <c r="II112" s="339">
        <v>175.66399999999999</v>
      </c>
      <c r="IJ112" s="505">
        <v>17.79</v>
      </c>
      <c r="IK112" s="339">
        <v>0.12</v>
      </c>
      <c r="IL112" s="339">
        <v>174.839</v>
      </c>
      <c r="IM112" s="339">
        <v>17.55</v>
      </c>
      <c r="IN112" s="339">
        <v>0.12</v>
      </c>
      <c r="IO112" s="339">
        <v>171.98699999999999</v>
      </c>
      <c r="IP112" s="339">
        <v>16.02</v>
      </c>
      <c r="IQ112" s="339">
        <v>0.1133333</v>
      </c>
      <c r="IR112" s="339">
        <v>168.9</v>
      </c>
      <c r="IS112" s="339">
        <v>15.66</v>
      </c>
      <c r="IT112" s="339">
        <v>0.1133333</v>
      </c>
      <c r="IU112" s="339">
        <v>168.53899999999999</v>
      </c>
      <c r="IV112" s="339">
        <v>15.87</v>
      </c>
      <c r="IW112" s="339">
        <v>0.1133333</v>
      </c>
      <c r="IX112" s="339">
        <v>167.00899999999999</v>
      </c>
      <c r="IY112" s="339">
        <v>15.01</v>
      </c>
      <c r="IZ112" s="339">
        <v>0.1133333</v>
      </c>
      <c r="JA112" s="339">
        <v>165.47900000000001</v>
      </c>
      <c r="JB112" s="339">
        <v>14.88</v>
      </c>
      <c r="JC112" s="339">
        <v>0.106666</v>
      </c>
      <c r="JD112" s="339">
        <v>162.22499999999999</v>
      </c>
      <c r="JE112" s="339">
        <v>12.41</v>
      </c>
      <c r="JF112" s="339">
        <v>0.106666</v>
      </c>
      <c r="JG112" s="339">
        <v>159.578</v>
      </c>
      <c r="JH112" s="339">
        <v>11.47</v>
      </c>
      <c r="JI112" s="339">
        <v>0.106666</v>
      </c>
      <c r="JJ112" s="339">
        <v>158.52600000000001</v>
      </c>
      <c r="JK112" s="339">
        <v>10.15</v>
      </c>
      <c r="JL112" s="339">
        <v>0.106666</v>
      </c>
      <c r="JM112" s="339">
        <v>156.30600000000001</v>
      </c>
      <c r="JN112" s="339">
        <v>11.68</v>
      </c>
      <c r="JO112" s="339">
        <v>0.1022</v>
      </c>
      <c r="JP112" s="339">
        <v>154.57499999999999</v>
      </c>
      <c r="JQ112" s="339">
        <v>13.77</v>
      </c>
      <c r="JR112" s="339">
        <v>0.1022</v>
      </c>
      <c r="JS112" s="339">
        <v>152.21299999999999</v>
      </c>
      <c r="JT112" s="339">
        <v>12.51</v>
      </c>
      <c r="JU112" s="339">
        <v>0.1022</v>
      </c>
      <c r="JV112" s="339">
        <v>151.34399999999999</v>
      </c>
      <c r="JW112" s="339">
        <v>10.39</v>
      </c>
      <c r="JX112" s="339">
        <v>0.1022</v>
      </c>
      <c r="JY112" s="339">
        <v>147.15</v>
      </c>
      <c r="JZ112" s="339">
        <v>14.06</v>
      </c>
      <c r="KA112" s="339">
        <v>9.7733329999999993E-2</v>
      </c>
      <c r="KB112" s="339">
        <v>146.25</v>
      </c>
      <c r="KC112" s="339">
        <v>15.87</v>
      </c>
      <c r="KD112" s="339">
        <v>9.7733329999999993E-2</v>
      </c>
      <c r="KE112" s="339">
        <v>144.44999999999999</v>
      </c>
      <c r="KF112" s="339">
        <v>14.44</v>
      </c>
      <c r="KG112" s="339">
        <v>9.7733329999999993E-2</v>
      </c>
      <c r="KH112" s="339">
        <v>135</v>
      </c>
      <c r="KI112" s="339">
        <v>13.24</v>
      </c>
      <c r="KJ112" s="339">
        <v>9.7733329999999993E-2</v>
      </c>
      <c r="KK112" s="339">
        <v>128.47499999999999</v>
      </c>
      <c r="KL112" s="339">
        <v>14.42</v>
      </c>
      <c r="KM112" s="339">
        <v>9.3332999999999999E-2</v>
      </c>
      <c r="KN112" s="339">
        <v>128.25</v>
      </c>
      <c r="KO112" s="339">
        <v>13.83</v>
      </c>
      <c r="KP112" s="339">
        <v>9.3332999999999999E-2</v>
      </c>
      <c r="KQ112" s="339">
        <v>82.492500000000007</v>
      </c>
      <c r="KR112" s="339">
        <v>13.33</v>
      </c>
      <c r="KS112" s="339">
        <v>0.14000000000000001</v>
      </c>
      <c r="KT112" s="339">
        <v>80.0595</v>
      </c>
      <c r="KU112" s="339">
        <v>15</v>
      </c>
      <c r="KV112" s="339">
        <v>0.14000000000000001</v>
      </c>
      <c r="KW112" s="334">
        <v>75.81</v>
      </c>
      <c r="KX112" s="334">
        <v>15.21</v>
      </c>
      <c r="KY112" s="334">
        <v>0.1333</v>
      </c>
      <c r="KZ112" s="334">
        <v>79.05</v>
      </c>
      <c r="LA112" s="334">
        <v>15.25</v>
      </c>
      <c r="LB112" s="334">
        <v>0.1333</v>
      </c>
      <c r="LC112" s="334">
        <v>79.05</v>
      </c>
      <c r="LD112" s="334">
        <v>17.54</v>
      </c>
      <c r="LE112" s="334">
        <v>0.1333</v>
      </c>
      <c r="LF112" s="334">
        <v>68.745000000000005</v>
      </c>
      <c r="LG112" s="334">
        <v>26.25</v>
      </c>
      <c r="LH112" s="334">
        <v>0.193</v>
      </c>
      <c r="LI112" s="334">
        <v>68.745000000000005</v>
      </c>
      <c r="LJ112" s="334">
        <v>23.554079999999999</v>
      </c>
      <c r="LK112" s="334">
        <v>0.19008</v>
      </c>
      <c r="LL112" s="334">
        <v>66.03</v>
      </c>
      <c r="LM112" s="334">
        <v>24.585000000000001</v>
      </c>
      <c r="LN112" s="334">
        <v>0.19008</v>
      </c>
      <c r="LO112" s="334">
        <v>44.016666666666602</v>
      </c>
      <c r="LP112" s="334">
        <v>20.872499999999999</v>
      </c>
      <c r="LQ112" s="334">
        <v>0.18975</v>
      </c>
      <c r="LR112" s="334">
        <v>43.3272727272727</v>
      </c>
      <c r="LS112" s="334">
        <v>15.84</v>
      </c>
      <c r="LT112" s="334">
        <v>0.18315000000000001</v>
      </c>
      <c r="LU112" s="334">
        <v>43.3272727272727</v>
      </c>
      <c r="LV112" s="334">
        <v>15.84</v>
      </c>
      <c r="LW112" s="334">
        <v>0.18315000000000001</v>
      </c>
      <c r="LX112" s="334">
        <v>43.145454545454498</v>
      </c>
      <c r="LY112" s="334">
        <v>14.4375</v>
      </c>
      <c r="LZ112" s="334">
        <v>0.18315000000000001</v>
      </c>
      <c r="MA112" s="334">
        <v>43.145454545454498</v>
      </c>
      <c r="MB112" s="334">
        <v>15.18</v>
      </c>
      <c r="MC112" s="334">
        <v>0.18315000000000001</v>
      </c>
      <c r="MD112" s="334">
        <v>43.145454545454498</v>
      </c>
      <c r="ME112" s="334">
        <v>14.19</v>
      </c>
      <c r="MF112" s="334">
        <v>0.18315000000000001</v>
      </c>
      <c r="MG112" s="334">
        <v>43.145454545454498</v>
      </c>
      <c r="MH112" s="334">
        <v>14.19</v>
      </c>
      <c r="MI112" s="334">
        <v>0.17985000000000001</v>
      </c>
      <c r="MJ112" s="334">
        <v>43.145454545454498</v>
      </c>
      <c r="MK112" s="334">
        <v>15.18</v>
      </c>
      <c r="ML112" s="334">
        <v>0.17985000000000001</v>
      </c>
      <c r="MM112" s="334">
        <v>43.145454545454498</v>
      </c>
      <c r="MN112" s="334">
        <v>13.120799999999999</v>
      </c>
      <c r="MO112" s="334">
        <v>0.17985000000000001</v>
      </c>
      <c r="MP112" s="334">
        <v>43.145454545454498</v>
      </c>
      <c r="MQ112" s="334">
        <v>14.025</v>
      </c>
      <c r="MR112" s="334">
        <v>0.17985000000000001</v>
      </c>
      <c r="MS112" s="334">
        <v>43.145454545454498</v>
      </c>
      <c r="MT112" s="334">
        <v>13.0878</v>
      </c>
      <c r="MU112" s="334">
        <v>0.17621999999999999</v>
      </c>
      <c r="MV112" s="334">
        <v>43.145454545454498</v>
      </c>
      <c r="MW112" s="334">
        <v>11.715</v>
      </c>
      <c r="MX112" s="334">
        <v>0.17621999999999999</v>
      </c>
      <c r="MY112" s="334">
        <v>43.145454545454498</v>
      </c>
      <c r="MZ112" s="334">
        <v>11.9328</v>
      </c>
      <c r="NA112" s="334">
        <v>0.17621999999999999</v>
      </c>
      <c r="NB112" s="334">
        <v>43.145454545454498</v>
      </c>
      <c r="NC112" s="334">
        <v>11.9328</v>
      </c>
      <c r="ND112" s="334">
        <v>0.17621999999999999</v>
      </c>
      <c r="NE112" s="334">
        <v>43.145454545454498</v>
      </c>
      <c r="NF112" s="334">
        <v>11.767799999999999</v>
      </c>
      <c r="NG112" s="334">
        <v>0.1716</v>
      </c>
      <c r="NH112" s="334">
        <v>43.145454545454498</v>
      </c>
      <c r="NI112" s="334">
        <v>13.86</v>
      </c>
      <c r="NJ112" s="334">
        <v>0.1716</v>
      </c>
      <c r="NK112" s="334">
        <v>43.145454545454498</v>
      </c>
      <c r="NL112" s="334">
        <v>13.86</v>
      </c>
      <c r="NM112" s="334">
        <v>0.1716</v>
      </c>
      <c r="NN112" s="334">
        <v>43.145454545454498</v>
      </c>
      <c r="NO112" s="334">
        <v>14.025</v>
      </c>
      <c r="NP112" s="334">
        <v>0.1716</v>
      </c>
      <c r="NQ112" s="334">
        <v>43.145454545454498</v>
      </c>
      <c r="NR112" s="334">
        <v>13.1472</v>
      </c>
      <c r="NS112" s="334">
        <v>0.16302</v>
      </c>
      <c r="NT112" s="334">
        <v>43.145454545454498</v>
      </c>
      <c r="NU112" s="334">
        <v>12.87</v>
      </c>
      <c r="NV112" s="334">
        <v>0.16302</v>
      </c>
      <c r="NW112" s="334">
        <v>43.145454545454498</v>
      </c>
      <c r="NX112" s="334">
        <v>11.6028</v>
      </c>
      <c r="NY112" s="334">
        <v>0.16300000000000001</v>
      </c>
      <c r="NZ112" s="334">
        <v>43.145454545454498</v>
      </c>
      <c r="OA112" s="334">
        <v>11.167199999999999</v>
      </c>
      <c r="OB112" s="334">
        <v>0.16300000000000001</v>
      </c>
      <c r="OC112" s="334">
        <v>43.145454545454498</v>
      </c>
      <c r="OD112" s="334">
        <v>10.56</v>
      </c>
      <c r="OE112" s="334">
        <v>0.158</v>
      </c>
      <c r="OF112" s="334">
        <v>43.145454545454498</v>
      </c>
      <c r="OG112" s="334">
        <v>11.3322</v>
      </c>
      <c r="OH112" s="334">
        <v>0.158</v>
      </c>
      <c r="OI112" s="334">
        <v>43.145454545454498</v>
      </c>
      <c r="OJ112" s="334">
        <v>10.837199999999999</v>
      </c>
      <c r="OK112" s="334">
        <v>0.158</v>
      </c>
      <c r="OL112" s="334">
        <v>43.145454545454498</v>
      </c>
      <c r="OM112" s="334">
        <v>10.117800000000001</v>
      </c>
      <c r="ON112" s="334">
        <v>0.158</v>
      </c>
      <c r="OO112" s="334">
        <v>43.145454545454498</v>
      </c>
      <c r="OP112" s="334">
        <v>9.1278000000000006</v>
      </c>
      <c r="OQ112" s="334">
        <v>0.15840000000000001</v>
      </c>
      <c r="OR112" s="334">
        <v>43.145454545454498</v>
      </c>
      <c r="OS112" s="334">
        <v>9.0749999999999993</v>
      </c>
      <c r="OT112" s="334">
        <v>0.156222</v>
      </c>
      <c r="OU112" s="334">
        <v>43.145454545454498</v>
      </c>
      <c r="OV112" s="334">
        <v>9.0221999999999998</v>
      </c>
    </row>
    <row r="113" spans="1:412">
      <c r="A113" s="294" t="s">
        <v>79</v>
      </c>
      <c r="B113" s="335" t="s">
        <v>160</v>
      </c>
      <c r="C113" s="335">
        <v>103.845</v>
      </c>
      <c r="D113" s="335">
        <v>43.62</v>
      </c>
      <c r="E113" s="335">
        <v>0.5</v>
      </c>
      <c r="F113" s="335">
        <v>103.03400000000001</v>
      </c>
      <c r="G113" s="335">
        <v>47.9</v>
      </c>
      <c r="H113" s="335">
        <v>0.5</v>
      </c>
      <c r="I113" s="335">
        <v>101.29900000000001</v>
      </c>
      <c r="J113" s="335">
        <v>43.24</v>
      </c>
      <c r="K113" s="335">
        <v>0.5</v>
      </c>
      <c r="L113" s="335">
        <v>101.16500000000001</v>
      </c>
      <c r="M113" s="335">
        <v>42</v>
      </c>
      <c r="N113" s="335">
        <v>0.47499999999999998</v>
      </c>
      <c r="O113" s="335">
        <v>100.849</v>
      </c>
      <c r="P113" s="335">
        <v>43.34</v>
      </c>
      <c r="Q113" s="335">
        <v>0.47499999999999998</v>
      </c>
      <c r="R113" s="340">
        <v>97.087000000000003</v>
      </c>
      <c r="S113" s="340">
        <v>40.479999999999997</v>
      </c>
      <c r="T113" s="340">
        <v>0.47499999999999998</v>
      </c>
      <c r="U113" s="340">
        <v>91.84</v>
      </c>
      <c r="V113" s="340">
        <v>46.83</v>
      </c>
      <c r="W113" s="340">
        <v>0.47499999999999998</v>
      </c>
      <c r="X113" s="340">
        <v>89.29</v>
      </c>
      <c r="Y113" s="340">
        <v>48.89</v>
      </c>
      <c r="Z113" s="340">
        <v>0.45250000000000001</v>
      </c>
      <c r="AA113" s="340">
        <v>89.263000000000005</v>
      </c>
      <c r="AB113" s="340">
        <v>49</v>
      </c>
      <c r="AC113" s="340">
        <v>0.45250000000000001</v>
      </c>
      <c r="AD113" s="340">
        <v>89.224999999999994</v>
      </c>
      <c r="AE113" s="340">
        <v>43.46</v>
      </c>
      <c r="AF113" s="340">
        <v>0.45250000000000001</v>
      </c>
      <c r="AG113" s="340">
        <v>89.396000000000001</v>
      </c>
      <c r="AH113" s="340">
        <v>48.33</v>
      </c>
      <c r="AI113" s="340">
        <v>0.45250000000000001</v>
      </c>
      <c r="AJ113" s="340">
        <v>89.480999999999995</v>
      </c>
      <c r="AK113" s="340">
        <v>55.15</v>
      </c>
      <c r="AL113" s="340">
        <v>0.43</v>
      </c>
      <c r="AM113" s="340">
        <v>89.406999999999996</v>
      </c>
      <c r="AN113" s="340">
        <v>52.92</v>
      </c>
      <c r="AO113" s="340">
        <v>0.43</v>
      </c>
      <c r="AP113" s="340">
        <v>89.554000000000002</v>
      </c>
      <c r="AQ113" s="340">
        <v>46.99</v>
      </c>
      <c r="AR113" s="340">
        <v>0.43</v>
      </c>
      <c r="AS113" s="340">
        <v>89.555999999999997</v>
      </c>
      <c r="AT113" s="340">
        <v>46.08</v>
      </c>
      <c r="AU113" s="340">
        <v>0.43</v>
      </c>
      <c r="AV113" s="340">
        <v>89.484999999999999</v>
      </c>
      <c r="AW113" s="340">
        <v>47.47</v>
      </c>
      <c r="AX113" s="340">
        <v>0.40749999999999997</v>
      </c>
      <c r="AY113" s="504">
        <v>89.509</v>
      </c>
      <c r="AZ113" s="504">
        <v>42.77</v>
      </c>
      <c r="BA113" s="504">
        <v>0.40749999999999997</v>
      </c>
      <c r="BB113" s="504">
        <v>89.489000000000004</v>
      </c>
      <c r="BC113" s="504">
        <v>35.5</v>
      </c>
      <c r="BD113" s="504">
        <v>0.40749999999999997</v>
      </c>
      <c r="BE113" s="504">
        <v>89.429000000000002</v>
      </c>
      <c r="BF113" s="504">
        <v>41.81</v>
      </c>
      <c r="BG113" s="504">
        <v>0.38500000000000001</v>
      </c>
      <c r="BH113" s="504">
        <v>89.352999999999994</v>
      </c>
      <c r="BI113" s="504">
        <v>47.94</v>
      </c>
      <c r="BJ113" s="504">
        <v>0.38500000000000001</v>
      </c>
      <c r="BK113" s="504">
        <v>89.372</v>
      </c>
      <c r="BL113" s="504">
        <v>55.79</v>
      </c>
      <c r="BM113" s="504">
        <v>0.38500000000000001</v>
      </c>
      <c r="BN113" s="504">
        <v>89.356999999999999</v>
      </c>
      <c r="BO113" s="504">
        <v>56.37</v>
      </c>
      <c r="BP113" s="504">
        <v>0.38500000000000001</v>
      </c>
      <c r="BQ113" s="504">
        <v>89.308999999999997</v>
      </c>
      <c r="BR113" s="504">
        <v>54.17</v>
      </c>
      <c r="BS113" s="507">
        <v>0.38500000000000001</v>
      </c>
      <c r="BT113" s="504">
        <v>89.215000000000003</v>
      </c>
      <c r="BU113" s="504">
        <v>51.84</v>
      </c>
      <c r="BV113" s="504">
        <v>0.36249999999999999</v>
      </c>
      <c r="BW113" s="504">
        <v>89.239000000000004</v>
      </c>
      <c r="BX113" s="504">
        <v>45.85</v>
      </c>
      <c r="BY113" s="504">
        <v>0.36249999999999999</v>
      </c>
      <c r="BZ113" s="504">
        <v>89.215000000000003</v>
      </c>
      <c r="CA113" s="504">
        <v>45.61</v>
      </c>
      <c r="CB113" s="504">
        <v>0.36249999999999999</v>
      </c>
      <c r="CC113" s="503">
        <v>89.16</v>
      </c>
      <c r="CD113" s="503">
        <v>42.76</v>
      </c>
      <c r="CE113" s="508">
        <v>0.36249999999999999</v>
      </c>
      <c r="CF113" s="503">
        <v>89.055999999999997</v>
      </c>
      <c r="CG113" s="503">
        <v>40.51</v>
      </c>
      <c r="CH113" s="503">
        <v>0.34</v>
      </c>
      <c r="CI113" s="503">
        <v>89.064999999999998</v>
      </c>
      <c r="CJ113" s="503">
        <v>45.58</v>
      </c>
      <c r="CK113" s="503">
        <v>0.34</v>
      </c>
      <c r="CL113" s="503">
        <v>89.063000000000002</v>
      </c>
      <c r="CM113" s="503">
        <v>45.64</v>
      </c>
      <c r="CN113" s="503">
        <v>0.34</v>
      </c>
      <c r="CO113" s="503">
        <v>89.003</v>
      </c>
      <c r="CP113" s="503">
        <v>45.69</v>
      </c>
      <c r="CQ113" s="508">
        <v>0.34</v>
      </c>
      <c r="CR113" s="504">
        <v>88.896000000000001</v>
      </c>
      <c r="CS113" s="504">
        <v>44.42</v>
      </c>
      <c r="CT113" s="504">
        <v>0.32</v>
      </c>
      <c r="CU113" s="503">
        <v>88.921000000000006</v>
      </c>
      <c r="CV113" s="503">
        <v>43.33</v>
      </c>
      <c r="CW113" s="503">
        <v>0.32</v>
      </c>
      <c r="CX113" s="339">
        <v>88.902000000000001</v>
      </c>
      <c r="CY113" s="339">
        <v>42.59</v>
      </c>
      <c r="CZ113" s="339">
        <v>0.32</v>
      </c>
      <c r="DA113" s="339">
        <v>88.832999999999998</v>
      </c>
      <c r="DB113" s="339">
        <v>44.12</v>
      </c>
      <c r="DC113" s="339">
        <v>0.32</v>
      </c>
      <c r="DD113" s="339">
        <v>84.18</v>
      </c>
      <c r="DE113" s="339">
        <v>39.49</v>
      </c>
      <c r="DF113" s="339">
        <v>0.3</v>
      </c>
      <c r="DG113" s="339">
        <v>88.766000000000005</v>
      </c>
      <c r="DH113" s="339">
        <v>36.369999999999997</v>
      </c>
      <c r="DI113" s="339">
        <v>0.3</v>
      </c>
      <c r="DJ113" s="339">
        <v>80.745000000000005</v>
      </c>
      <c r="DK113" s="339">
        <v>36.97</v>
      </c>
      <c r="DL113" s="339">
        <v>0.3</v>
      </c>
      <c r="DM113" s="339">
        <v>78.271000000000001</v>
      </c>
      <c r="DN113" s="339">
        <v>33.159999999999997</v>
      </c>
      <c r="DO113" s="510">
        <v>0.3</v>
      </c>
      <c r="DP113" s="340">
        <v>78.209999999999994</v>
      </c>
      <c r="DQ113" s="340">
        <v>37.090000000000003</v>
      </c>
      <c r="DR113" s="340">
        <v>0.28000000000000003</v>
      </c>
      <c r="DS113" s="339">
        <v>78.203000000000003</v>
      </c>
      <c r="DT113" s="339">
        <v>37.83</v>
      </c>
      <c r="DU113" s="339">
        <v>0.28000000000000003</v>
      </c>
      <c r="DV113" s="339">
        <v>78.183000000000007</v>
      </c>
      <c r="DW113" s="339">
        <v>32.119999999999997</v>
      </c>
      <c r="DX113" s="339">
        <v>0.28000000000000003</v>
      </c>
      <c r="DY113" s="339">
        <v>78.992000000000004</v>
      </c>
      <c r="DZ113" s="339">
        <v>34.67</v>
      </c>
      <c r="EA113" s="510">
        <v>0.28000000000000003</v>
      </c>
      <c r="EB113" s="340">
        <v>76.820999999999998</v>
      </c>
      <c r="EC113" s="340">
        <v>32.340000000000003</v>
      </c>
      <c r="ED113" s="340">
        <v>0.27500000000000002</v>
      </c>
      <c r="EE113" s="339">
        <v>77.637</v>
      </c>
      <c r="EF113" s="339">
        <v>30.2</v>
      </c>
      <c r="EG113" s="339">
        <v>0.27500000000000002</v>
      </c>
      <c r="EH113" s="339">
        <v>75.935000000000002</v>
      </c>
      <c r="EI113" s="339">
        <v>28.23</v>
      </c>
      <c r="EJ113" s="339">
        <v>0.27500000000000002</v>
      </c>
      <c r="EK113" s="339">
        <v>75.608000000000004</v>
      </c>
      <c r="EL113" s="339">
        <v>30.59</v>
      </c>
      <c r="EM113" s="339">
        <v>0.27500000000000002</v>
      </c>
      <c r="EN113" s="340">
        <v>75.498000000000005</v>
      </c>
      <c r="EO113" s="340">
        <v>30.33</v>
      </c>
      <c r="EP113" s="340">
        <v>0.27</v>
      </c>
      <c r="EQ113" s="339">
        <v>75.528000000000006</v>
      </c>
      <c r="ER113" s="339">
        <v>27.36</v>
      </c>
      <c r="ES113" s="339">
        <v>0.27</v>
      </c>
      <c r="ET113" s="339">
        <v>75.507000000000005</v>
      </c>
      <c r="EU113" s="339">
        <v>27.04</v>
      </c>
      <c r="EV113" s="339">
        <v>0.27</v>
      </c>
      <c r="EW113" s="339">
        <v>75.423000000000002</v>
      </c>
      <c r="EX113" s="339">
        <v>26.66</v>
      </c>
      <c r="EY113" s="510">
        <v>0.27</v>
      </c>
      <c r="EZ113" s="340">
        <v>75.332999999999998</v>
      </c>
      <c r="FA113" s="340">
        <v>24.98</v>
      </c>
      <c r="FB113" s="340">
        <v>0.26500000000000001</v>
      </c>
      <c r="FC113" s="339">
        <v>75.341999999999999</v>
      </c>
      <c r="FD113" s="339">
        <v>25.3</v>
      </c>
      <c r="FE113" s="339">
        <v>0.26500000000000001</v>
      </c>
      <c r="FF113" s="339">
        <v>75.325999999999993</v>
      </c>
      <c r="FG113" s="339">
        <v>23.69</v>
      </c>
      <c r="FH113" s="339">
        <v>0.26500000000000001</v>
      </c>
      <c r="FI113" s="339">
        <v>75.317999999999998</v>
      </c>
      <c r="FJ113" s="339">
        <v>25.28</v>
      </c>
      <c r="FK113" s="511">
        <v>0.26500000000000001</v>
      </c>
      <c r="FL113" s="339">
        <v>75.299000000000007</v>
      </c>
      <c r="FM113" s="339">
        <v>23.78</v>
      </c>
      <c r="FN113" s="339">
        <v>0.26</v>
      </c>
      <c r="FO113" s="339">
        <v>75.295000000000002</v>
      </c>
      <c r="FP113" s="339">
        <v>21.72</v>
      </c>
      <c r="FQ113" s="339">
        <v>0.26</v>
      </c>
      <c r="FR113" s="339">
        <v>75.275999999999996</v>
      </c>
      <c r="FS113" s="339">
        <v>20.28</v>
      </c>
      <c r="FT113" s="339">
        <v>0.26</v>
      </c>
      <c r="FU113" s="339">
        <v>75.228999999999999</v>
      </c>
      <c r="FV113" s="339">
        <v>18.329999999999998</v>
      </c>
      <c r="FW113" s="339">
        <v>0.26</v>
      </c>
      <c r="FX113" s="339">
        <v>75.191999999999993</v>
      </c>
      <c r="FY113" s="339">
        <v>19.309999999999999</v>
      </c>
      <c r="FZ113" s="339">
        <v>0.255</v>
      </c>
      <c r="GA113" s="339">
        <v>75.182000000000002</v>
      </c>
      <c r="GB113" s="339">
        <v>20.41</v>
      </c>
      <c r="GC113" s="339">
        <v>0.255</v>
      </c>
      <c r="GD113" s="339">
        <v>75.131</v>
      </c>
      <c r="GE113" s="339">
        <v>19.72</v>
      </c>
      <c r="GF113" s="339">
        <v>0.255</v>
      </c>
      <c r="GG113" s="339">
        <v>65.521000000000001</v>
      </c>
      <c r="GH113" s="339">
        <v>19.48</v>
      </c>
      <c r="GI113" s="339">
        <v>0.255</v>
      </c>
      <c r="GJ113" s="339">
        <v>62.56</v>
      </c>
      <c r="GK113" s="339">
        <v>17.59</v>
      </c>
      <c r="GL113" s="339">
        <v>0.245</v>
      </c>
      <c r="GM113" s="339">
        <v>62.554000000000002</v>
      </c>
      <c r="GN113" s="339">
        <v>19.47</v>
      </c>
      <c r="GO113" s="339">
        <v>0.245</v>
      </c>
      <c r="GP113" s="339">
        <v>62.531999999999996</v>
      </c>
      <c r="GQ113" s="339">
        <v>23.66</v>
      </c>
      <c r="GR113" s="339">
        <v>0.245</v>
      </c>
      <c r="GS113" s="339">
        <v>62.53</v>
      </c>
      <c r="GT113" s="339">
        <v>22.52</v>
      </c>
      <c r="GU113" s="510">
        <v>0.245</v>
      </c>
      <c r="GV113" s="339">
        <v>62.512</v>
      </c>
      <c r="GW113" s="339">
        <v>22.55</v>
      </c>
      <c r="GX113" s="339">
        <v>0.23499999999999999</v>
      </c>
      <c r="GY113" s="339">
        <v>62.515999999999998</v>
      </c>
      <c r="GZ113" s="339">
        <v>27.78</v>
      </c>
      <c r="HA113" s="339">
        <v>0.23499999999999999</v>
      </c>
      <c r="HB113" s="339">
        <v>62.506999999999998</v>
      </c>
      <c r="HC113" s="339">
        <v>27.8</v>
      </c>
      <c r="HD113" s="339">
        <v>0.23499999999999999</v>
      </c>
      <c r="HE113" s="339">
        <v>62.505000000000003</v>
      </c>
      <c r="HF113" s="339">
        <v>27.44</v>
      </c>
      <c r="HG113" s="339">
        <v>0.23499999999999999</v>
      </c>
      <c r="HH113" s="339">
        <v>62.500999999999998</v>
      </c>
      <c r="HI113" s="506">
        <v>29.2</v>
      </c>
      <c r="HJ113" s="339">
        <v>0.22500000000000001</v>
      </c>
      <c r="HK113" s="339">
        <v>62.5</v>
      </c>
      <c r="HL113" s="339">
        <v>27.25</v>
      </c>
      <c r="HM113" s="340"/>
      <c r="HN113" s="340"/>
      <c r="HO113" s="340"/>
      <c r="HP113" s="340"/>
      <c r="HQ113" s="340"/>
      <c r="HR113" s="340"/>
      <c r="HS113" s="340"/>
      <c r="HT113" s="340"/>
      <c r="HU113" s="340"/>
      <c r="HV113" s="340"/>
      <c r="HW113" s="339"/>
      <c r="HX113" s="339"/>
      <c r="HY113" s="339"/>
      <c r="HZ113" s="339"/>
      <c r="IA113" s="339"/>
      <c r="IB113" s="339"/>
      <c r="IC113" s="339"/>
      <c r="ID113" s="339"/>
      <c r="IE113" s="339"/>
      <c r="IF113" s="339"/>
      <c r="IG113" s="339"/>
      <c r="IH113" s="339"/>
      <c r="II113" s="340"/>
      <c r="IJ113" s="340"/>
      <c r="IK113" s="340"/>
      <c r="IL113" s="339"/>
      <c r="IM113" s="339"/>
      <c r="IN113" s="339"/>
      <c r="IO113" s="339"/>
      <c r="IP113" s="339"/>
      <c r="IQ113" s="339"/>
      <c r="IR113" s="340"/>
      <c r="IS113" s="340"/>
      <c r="IT113" s="340"/>
      <c r="IU113" s="340"/>
      <c r="IV113" s="340"/>
      <c r="IW113" s="340"/>
      <c r="IX113" s="339"/>
      <c r="IY113" s="339"/>
      <c r="IZ113" s="339"/>
      <c r="JA113" s="339"/>
      <c r="JB113" s="339"/>
      <c r="JC113" s="339"/>
      <c r="JD113" s="340"/>
      <c r="JE113" s="340"/>
      <c r="JF113" s="340"/>
      <c r="JG113" s="340"/>
      <c r="JH113" s="340"/>
      <c r="JI113" s="340"/>
      <c r="JJ113" s="340"/>
      <c r="JK113" s="340"/>
      <c r="JL113" s="340"/>
      <c r="JM113" s="340"/>
      <c r="JN113" s="340"/>
      <c r="JO113" s="340"/>
      <c r="JP113" s="340"/>
      <c r="JQ113" s="340"/>
      <c r="JR113" s="340"/>
      <c r="JS113" s="339"/>
      <c r="JT113" s="339"/>
      <c r="JU113" s="339"/>
      <c r="JV113" s="340"/>
      <c r="JW113" s="340"/>
      <c r="JX113" s="340"/>
      <c r="JY113" s="340"/>
      <c r="JZ113" s="340"/>
      <c r="KA113" s="340"/>
      <c r="KB113" s="339"/>
      <c r="KC113" s="339"/>
      <c r="KD113" s="339"/>
      <c r="KE113" s="340"/>
      <c r="KF113" s="340"/>
      <c r="KG113" s="340"/>
      <c r="KH113" s="340"/>
      <c r="KI113" s="340"/>
      <c r="KJ113" s="340"/>
      <c r="KK113" s="340"/>
      <c r="KL113" s="340"/>
      <c r="KM113" s="340"/>
      <c r="KN113" s="339"/>
      <c r="KO113" s="339"/>
      <c r="KP113" s="339"/>
      <c r="KQ113" s="340"/>
      <c r="KR113" s="340"/>
      <c r="KS113" s="340"/>
      <c r="KT113" s="339"/>
      <c r="KU113" s="339"/>
      <c r="KV113" s="339"/>
      <c r="KW113" s="334"/>
      <c r="KX113" s="334"/>
      <c r="KY113" s="334"/>
      <c r="KZ113" s="334"/>
      <c r="LA113" s="334"/>
      <c r="LB113" s="334"/>
      <c r="LC113" s="334"/>
      <c r="LD113" s="334"/>
      <c r="LE113" s="334"/>
      <c r="LF113" s="334"/>
      <c r="LG113" s="334"/>
      <c r="LH113" s="334"/>
      <c r="LI113" s="334"/>
      <c r="LJ113" s="334"/>
      <c r="LK113" s="334"/>
      <c r="LL113" s="334"/>
      <c r="LM113" s="334"/>
      <c r="LN113" s="334"/>
      <c r="LO113" s="334"/>
      <c r="LP113" s="334"/>
      <c r="LQ113" s="334"/>
      <c r="LR113" s="334"/>
      <c r="LS113" s="334"/>
      <c r="LT113" s="334"/>
      <c r="LU113" s="334"/>
      <c r="LV113" s="334"/>
      <c r="LW113" s="334"/>
      <c r="LX113" s="334"/>
      <c r="LY113" s="334"/>
      <c r="LZ113" s="334"/>
      <c r="MA113" s="334"/>
      <c r="MB113" s="334"/>
      <c r="MC113" s="334"/>
      <c r="MD113" s="334"/>
      <c r="ME113" s="334"/>
      <c r="MF113" s="334"/>
      <c r="MG113" s="334"/>
      <c r="MH113" s="334"/>
      <c r="MI113" s="334"/>
      <c r="MJ113" s="334"/>
      <c r="MK113" s="334"/>
      <c r="ML113" s="334"/>
      <c r="MM113" s="334"/>
      <c r="MN113" s="334"/>
      <c r="MO113" s="334"/>
      <c r="MP113" s="334"/>
      <c r="MQ113" s="334"/>
      <c r="MR113" s="334"/>
      <c r="MS113" s="334"/>
      <c r="MT113" s="334"/>
      <c r="MU113" s="334"/>
      <c r="MV113" s="334"/>
      <c r="MW113" s="334"/>
      <c r="MX113" s="334"/>
      <c r="MY113" s="334"/>
      <c r="MZ113" s="334"/>
      <c r="NA113" s="334"/>
      <c r="NB113" s="334"/>
      <c r="NC113" s="334"/>
      <c r="ND113" s="334"/>
      <c r="NE113" s="334"/>
      <c r="NF113" s="334"/>
      <c r="NG113" s="334"/>
      <c r="NH113" s="334"/>
      <c r="NI113" s="334"/>
      <c r="NJ113" s="334"/>
      <c r="NK113" s="334"/>
      <c r="NL113" s="334"/>
      <c r="NM113" s="334"/>
      <c r="NN113" s="334"/>
      <c r="NO113" s="334"/>
      <c r="NP113" s="334"/>
      <c r="NQ113" s="334"/>
      <c r="NR113" s="334"/>
      <c r="NS113" s="334"/>
      <c r="NT113" s="334"/>
      <c r="NU113" s="334"/>
      <c r="NV113" s="334"/>
      <c r="NW113" s="334"/>
      <c r="NX113" s="334"/>
      <c r="NY113" s="334"/>
      <c r="NZ113" s="334"/>
      <c r="OA113" s="334"/>
      <c r="OB113" s="334"/>
      <c r="OC113" s="334"/>
      <c r="OD113" s="334"/>
      <c r="OE113" s="334"/>
      <c r="OF113" s="334"/>
      <c r="OG113" s="334"/>
      <c r="OH113" s="334"/>
      <c r="OI113" s="334"/>
      <c r="OJ113" s="334"/>
      <c r="OK113" s="334"/>
      <c r="OL113" s="334"/>
      <c r="OM113" s="334"/>
      <c r="ON113" s="334"/>
      <c r="OO113" s="334"/>
      <c r="OP113" s="334"/>
      <c r="OQ113" s="334"/>
      <c r="OR113" s="334"/>
      <c r="OS113" s="334"/>
      <c r="OT113" s="334"/>
      <c r="OU113" s="334"/>
      <c r="OV113" s="334"/>
    </row>
    <row r="114" spans="1:412">
      <c r="A114" s="294" t="s">
        <v>537</v>
      </c>
      <c r="B114" s="335" t="s">
        <v>538</v>
      </c>
      <c r="C114" s="335">
        <v>387.01014900000001</v>
      </c>
      <c r="D114" s="335">
        <v>38.340000000000003</v>
      </c>
      <c r="E114" s="335">
        <v>0.44</v>
      </c>
      <c r="F114" s="335">
        <v>387.01014900000001</v>
      </c>
      <c r="G114" s="335">
        <v>35.79</v>
      </c>
      <c r="H114" s="335">
        <v>0.44</v>
      </c>
      <c r="I114" s="335">
        <v>386.91623399999997</v>
      </c>
      <c r="J114" s="335">
        <v>35.53</v>
      </c>
      <c r="K114" s="335">
        <v>0.44</v>
      </c>
      <c r="L114" s="335">
        <v>386.9</v>
      </c>
      <c r="M114" s="335">
        <v>36.44</v>
      </c>
      <c r="N114" s="335">
        <v>0.44</v>
      </c>
      <c r="O114" s="335">
        <v>386.86934100000002</v>
      </c>
      <c r="P114" s="335">
        <v>32.409999999999997</v>
      </c>
      <c r="Q114" s="335">
        <v>0.44</v>
      </c>
      <c r="R114" s="340">
        <v>386.74900000000002</v>
      </c>
      <c r="S114" s="340">
        <v>30.17</v>
      </c>
      <c r="T114" s="340">
        <v>0.44</v>
      </c>
      <c r="U114" s="340">
        <v>386.74499600000001</v>
      </c>
      <c r="V114" s="340">
        <v>37.68</v>
      </c>
      <c r="W114" s="340">
        <v>0.44</v>
      </c>
      <c r="X114" s="340">
        <v>386.72724599999998</v>
      </c>
      <c r="Y114" s="340">
        <v>39.880000000000003</v>
      </c>
      <c r="Z114" s="340">
        <v>0.44</v>
      </c>
      <c r="AA114" s="340">
        <v>386.73677400000003</v>
      </c>
      <c r="AB114" s="340">
        <v>42.98</v>
      </c>
      <c r="AC114" s="340">
        <v>0.44</v>
      </c>
      <c r="AD114" s="340">
        <v>386.73677400000003</v>
      </c>
      <c r="AE114" s="340">
        <v>41.7</v>
      </c>
      <c r="AF114" s="340">
        <v>0.44</v>
      </c>
      <c r="AG114" s="340">
        <v>386.69813199999999</v>
      </c>
      <c r="AH114" s="340">
        <v>46.12</v>
      </c>
      <c r="AI114" s="340">
        <v>0.44</v>
      </c>
      <c r="AJ114" s="340">
        <v>358.08662099999998</v>
      </c>
      <c r="AK114" s="340">
        <v>46.74</v>
      </c>
      <c r="AL114" s="340">
        <v>0.44</v>
      </c>
      <c r="AM114" s="340">
        <v>387.321484</v>
      </c>
      <c r="AN114" s="340">
        <v>49.88</v>
      </c>
      <c r="AO114" s="340">
        <v>0.44</v>
      </c>
      <c r="AP114" s="340">
        <v>347.121197</v>
      </c>
      <c r="AQ114" s="340">
        <v>48.6</v>
      </c>
      <c r="AR114" s="340">
        <v>0.44</v>
      </c>
      <c r="AS114" s="340">
        <v>309.49525</v>
      </c>
      <c r="AT114" s="340">
        <v>51.43</v>
      </c>
      <c r="AU114" s="340">
        <v>0.44</v>
      </c>
      <c r="AV114" s="340">
        <v>309.49493899999999</v>
      </c>
      <c r="AW114" s="340">
        <v>49.81</v>
      </c>
      <c r="AX114" s="340">
        <v>0.44</v>
      </c>
      <c r="AY114" s="504">
        <v>309.49108200000001</v>
      </c>
      <c r="AZ114" s="504">
        <v>45.45</v>
      </c>
      <c r="BA114" s="504">
        <v>0.44</v>
      </c>
      <c r="BB114" s="504">
        <v>309.506595</v>
      </c>
      <c r="BC114" s="504">
        <v>50.46</v>
      </c>
      <c r="BD114" s="504">
        <v>0.44</v>
      </c>
      <c r="BE114" s="504">
        <v>309.49108200000001</v>
      </c>
      <c r="BF114" s="504">
        <v>41.98</v>
      </c>
      <c r="BG114" s="504">
        <v>0.44</v>
      </c>
      <c r="BH114" s="504">
        <v>309.49108200000001</v>
      </c>
      <c r="BI114" s="504">
        <v>43.78</v>
      </c>
      <c r="BJ114" s="504">
        <v>0.44</v>
      </c>
      <c r="BK114" s="504">
        <v>309.49108200000001</v>
      </c>
      <c r="BL114" s="504">
        <v>51.16</v>
      </c>
      <c r="BM114" s="504">
        <v>0.44</v>
      </c>
      <c r="BN114" s="504">
        <v>309.49108200000001</v>
      </c>
      <c r="BO114" s="504">
        <v>52.25</v>
      </c>
      <c r="BP114" s="504">
        <v>0.44</v>
      </c>
      <c r="BQ114" s="504">
        <v>309.49108200000001</v>
      </c>
      <c r="BR114" s="504">
        <v>50.5</v>
      </c>
      <c r="BS114" s="504">
        <v>0.44</v>
      </c>
      <c r="BT114" s="504">
        <v>309.50331899999998</v>
      </c>
      <c r="BU114" s="504">
        <v>50.35</v>
      </c>
      <c r="BV114" s="504">
        <v>0.44</v>
      </c>
      <c r="BW114" s="504">
        <v>309.49108200000001</v>
      </c>
      <c r="BX114" s="504">
        <v>50.09</v>
      </c>
      <c r="BY114" s="504">
        <v>0.44</v>
      </c>
      <c r="BZ114" s="504">
        <v>309.517854</v>
      </c>
      <c r="CA114" s="504">
        <v>47.93</v>
      </c>
      <c r="CB114" s="514">
        <v>0.44</v>
      </c>
      <c r="CC114" s="503">
        <v>309.51364000000001</v>
      </c>
      <c r="CD114" s="503">
        <v>52.93</v>
      </c>
      <c r="CE114" s="503">
        <v>0.432</v>
      </c>
      <c r="CF114" s="503">
        <v>309.5</v>
      </c>
      <c r="CG114" s="503">
        <v>51.12</v>
      </c>
      <c r="CH114" s="503">
        <v>0.432</v>
      </c>
      <c r="CI114" s="503">
        <v>309.49108200000001</v>
      </c>
      <c r="CJ114" s="503">
        <v>50.58</v>
      </c>
      <c r="CK114" s="503">
        <v>0.432</v>
      </c>
      <c r="CL114" s="503">
        <v>309.52071799999999</v>
      </c>
      <c r="CM114" s="503">
        <v>47.42</v>
      </c>
      <c r="CN114" s="503">
        <v>0.432</v>
      </c>
      <c r="CO114" s="503">
        <v>309.50888900000001</v>
      </c>
      <c r="CP114" s="503">
        <v>44.15</v>
      </c>
      <c r="CQ114" s="503">
        <v>0.432</v>
      </c>
      <c r="CR114" s="504">
        <v>309.51255300000003</v>
      </c>
      <c r="CS114" s="504">
        <v>42.74</v>
      </c>
      <c r="CT114" s="504">
        <v>0.432</v>
      </c>
      <c r="CU114" s="503">
        <v>309.49514099999999</v>
      </c>
      <c r="CV114" s="503">
        <v>37.880000000000003</v>
      </c>
      <c r="CW114" s="503">
        <v>0.432</v>
      </c>
      <c r="CX114" s="339">
        <v>309.52786800000001</v>
      </c>
      <c r="CY114" s="339">
        <v>41.78</v>
      </c>
      <c r="CZ114" s="339">
        <v>0.432</v>
      </c>
      <c r="DA114" s="339">
        <v>309.53821499999998</v>
      </c>
      <c r="DB114" s="339">
        <v>46.06</v>
      </c>
      <c r="DC114" s="339">
        <v>0.432</v>
      </c>
      <c r="DD114" s="339">
        <v>309.49108200000001</v>
      </c>
      <c r="DE114" s="339">
        <v>40.11</v>
      </c>
      <c r="DF114" s="339">
        <v>0.432</v>
      </c>
      <c r="DG114" s="340">
        <v>309.49108200000001</v>
      </c>
      <c r="DH114" s="342">
        <v>38.4</v>
      </c>
      <c r="DI114" s="342"/>
      <c r="DJ114" s="342"/>
      <c r="DK114" s="342"/>
      <c r="DL114" s="342"/>
      <c r="DM114" s="342"/>
      <c r="DN114" s="342"/>
      <c r="DO114" s="342"/>
      <c r="DP114" s="342"/>
      <c r="DQ114" s="342"/>
      <c r="DR114" s="342"/>
      <c r="DS114" s="342"/>
      <c r="DT114" s="342"/>
      <c r="DU114" s="342"/>
      <c r="DV114" s="342"/>
      <c r="DW114" s="342"/>
      <c r="DX114" s="342"/>
      <c r="DY114" s="342"/>
      <c r="DZ114" s="342"/>
      <c r="EA114" s="342"/>
      <c r="EB114" s="539"/>
      <c r="EC114" s="539"/>
      <c r="ED114" s="539"/>
      <c r="EE114" s="342"/>
      <c r="EF114" s="342"/>
      <c r="EG114" s="342"/>
      <c r="EH114" s="342"/>
      <c r="EI114" s="342"/>
      <c r="EJ114" s="342"/>
      <c r="EK114" s="342"/>
      <c r="EL114" s="342"/>
      <c r="EM114" s="340"/>
      <c r="EN114" s="340"/>
      <c r="EO114" s="340"/>
      <c r="EP114" s="342"/>
      <c r="EQ114" s="342"/>
      <c r="ER114" s="342"/>
      <c r="ES114" s="342"/>
      <c r="ET114" s="342"/>
      <c r="EU114" s="342"/>
      <c r="EV114" s="342"/>
      <c r="EW114" s="342"/>
      <c r="EX114" s="342"/>
      <c r="EY114" s="342"/>
      <c r="EZ114" s="342"/>
      <c r="FA114" s="342"/>
      <c r="FB114" s="342"/>
      <c r="FC114" s="342"/>
      <c r="FD114" s="342"/>
      <c r="FE114" s="342"/>
      <c r="FF114" s="342"/>
      <c r="FG114" s="342"/>
      <c r="FH114" s="342"/>
      <c r="FI114" s="342"/>
      <c r="FJ114" s="342"/>
      <c r="FK114" s="342"/>
      <c r="FL114" s="342"/>
      <c r="FM114" s="342"/>
      <c r="FN114" s="342"/>
      <c r="FO114" s="342"/>
      <c r="FP114" s="342"/>
      <c r="FQ114" s="342"/>
      <c r="FR114" s="342"/>
      <c r="FS114" s="342"/>
      <c r="FT114" s="342"/>
      <c r="FU114" s="342"/>
      <c r="FV114" s="342"/>
      <c r="FW114" s="342"/>
      <c r="FX114" s="342"/>
      <c r="FY114" s="342"/>
      <c r="FZ114" s="342"/>
      <c r="GA114" s="342"/>
      <c r="GB114" s="342"/>
      <c r="GC114" s="342"/>
      <c r="GD114" s="342"/>
      <c r="GE114" s="342"/>
      <c r="GF114" s="342"/>
      <c r="GG114" s="342"/>
      <c r="GH114" s="342"/>
      <c r="GI114" s="342"/>
      <c r="GJ114" s="342"/>
      <c r="GK114" s="342"/>
      <c r="GL114" s="342"/>
      <c r="GM114" s="342"/>
      <c r="GN114" s="342"/>
      <c r="GO114" s="342"/>
      <c r="GP114" s="342"/>
      <c r="GQ114" s="342"/>
      <c r="GR114" s="342"/>
      <c r="GS114" s="342"/>
      <c r="GT114" s="342"/>
      <c r="GU114" s="342"/>
      <c r="GV114" s="342"/>
      <c r="GW114" s="342"/>
      <c r="GX114" s="342"/>
      <c r="GY114" s="342"/>
      <c r="GZ114" s="342"/>
      <c r="HA114" s="342"/>
      <c r="HB114" s="342"/>
      <c r="HC114" s="342"/>
      <c r="HD114" s="342"/>
      <c r="HE114" s="342"/>
      <c r="HF114" s="342"/>
      <c r="HG114" s="342"/>
      <c r="HH114" s="342"/>
      <c r="HI114" s="540"/>
      <c r="HJ114" s="342"/>
      <c r="HK114" s="342"/>
      <c r="HL114" s="342"/>
      <c r="HM114" s="342"/>
      <c r="HN114" s="342"/>
      <c r="HO114" s="342"/>
      <c r="HP114" s="342"/>
      <c r="HQ114" s="342"/>
      <c r="HR114" s="342"/>
      <c r="HS114" s="342"/>
      <c r="HT114" s="342"/>
      <c r="HU114" s="342"/>
      <c r="HV114" s="342"/>
      <c r="HW114" s="342"/>
      <c r="HX114" s="342"/>
      <c r="HY114" s="342"/>
      <c r="HZ114" s="342"/>
      <c r="IA114" s="342"/>
      <c r="IB114" s="342"/>
      <c r="IC114" s="342"/>
      <c r="ID114" s="342"/>
      <c r="IE114" s="342"/>
      <c r="IF114" s="342"/>
      <c r="IG114" s="342"/>
      <c r="IH114" s="342"/>
      <c r="II114" s="342"/>
      <c r="IJ114" s="342"/>
      <c r="IK114" s="342"/>
      <c r="IL114" s="342"/>
      <c r="IM114" s="342"/>
      <c r="IN114" s="342"/>
      <c r="IO114" s="342"/>
      <c r="IP114" s="342"/>
      <c r="IQ114" s="342"/>
      <c r="IR114" s="342"/>
      <c r="IS114" s="342"/>
      <c r="IT114" s="342"/>
      <c r="IU114" s="539"/>
      <c r="IV114" s="539"/>
      <c r="IW114" s="539"/>
      <c r="IX114" s="342"/>
      <c r="IY114" s="342"/>
      <c r="IZ114" s="342"/>
      <c r="JA114" s="342"/>
      <c r="JB114" s="342"/>
      <c r="JC114" s="342"/>
      <c r="JD114" s="342"/>
      <c r="JE114" s="342"/>
      <c r="JF114" s="342"/>
      <c r="JG114" s="342"/>
      <c r="JH114" s="342"/>
      <c r="JI114" s="342"/>
      <c r="JJ114" s="342"/>
      <c r="JK114" s="342"/>
      <c r="JL114" s="342"/>
      <c r="JM114" s="342"/>
      <c r="JN114" s="342"/>
      <c r="JO114" s="342"/>
      <c r="JP114" s="342"/>
      <c r="JQ114" s="342"/>
      <c r="JR114" s="342"/>
      <c r="JS114" s="342"/>
      <c r="JT114" s="342"/>
      <c r="JU114" s="342"/>
      <c r="JV114" s="342"/>
      <c r="JW114" s="342"/>
      <c r="JX114" s="342"/>
      <c r="JY114" s="342"/>
      <c r="JZ114" s="342"/>
      <c r="KA114" s="342"/>
      <c r="KB114" s="342"/>
      <c r="KC114" s="342"/>
      <c r="KD114" s="342"/>
      <c r="KE114" s="342"/>
      <c r="KF114" s="342"/>
      <c r="KG114" s="342"/>
      <c r="KH114" s="342"/>
      <c r="KI114" s="342"/>
      <c r="KJ114" s="342"/>
      <c r="KK114" s="342"/>
      <c r="KL114" s="342"/>
      <c r="KM114" s="342"/>
      <c r="KN114" s="342"/>
      <c r="KO114" s="342"/>
      <c r="KP114" s="342"/>
      <c r="KQ114" s="339">
        <v>60.591999999999999</v>
      </c>
      <c r="KR114" s="339">
        <v>33.6875</v>
      </c>
      <c r="KS114" s="339">
        <v>0</v>
      </c>
      <c r="KT114" s="339">
        <v>60.036999999999999</v>
      </c>
      <c r="KU114" s="339">
        <v>29.5</v>
      </c>
      <c r="KV114" s="339">
        <v>0</v>
      </c>
      <c r="KW114" s="334">
        <v>58.8</v>
      </c>
      <c r="KX114" s="334">
        <v>34.625</v>
      </c>
      <c r="KY114" s="334">
        <v>0</v>
      </c>
      <c r="KZ114" s="334">
        <v>58.8</v>
      </c>
      <c r="LA114" s="334">
        <v>28</v>
      </c>
      <c r="LB114" s="334">
        <v>0</v>
      </c>
      <c r="LC114" s="334">
        <v>59.6</v>
      </c>
      <c r="LD114" s="334">
        <v>34.6875</v>
      </c>
      <c r="LE114" s="334">
        <v>0</v>
      </c>
      <c r="LF114" s="334">
        <v>59.5</v>
      </c>
      <c r="LG114" s="334">
        <v>26.5</v>
      </c>
      <c r="LH114" s="334">
        <v>0</v>
      </c>
      <c r="LI114" s="334">
        <v>60.03</v>
      </c>
      <c r="LJ114" s="334">
        <v>30.0625</v>
      </c>
      <c r="LK114" s="334">
        <v>0</v>
      </c>
      <c r="LL114" s="334">
        <v>60.4</v>
      </c>
      <c r="LM114" s="334">
        <v>28.25</v>
      </c>
      <c r="LN114" s="334">
        <v>0</v>
      </c>
      <c r="LO114" s="334">
        <v>81.3</v>
      </c>
      <c r="LP114" s="334">
        <v>28.75</v>
      </c>
      <c r="LQ114" s="334">
        <v>0</v>
      </c>
      <c r="LR114" s="334">
        <v>82.2</v>
      </c>
      <c r="LS114" s="334">
        <v>33.25</v>
      </c>
      <c r="LT114" s="334">
        <v>0</v>
      </c>
      <c r="LU114" s="334">
        <v>63.7</v>
      </c>
      <c r="LV114" s="334">
        <v>38</v>
      </c>
      <c r="LW114" s="334">
        <v>0</v>
      </c>
      <c r="LX114" s="334">
        <v>63.5</v>
      </c>
      <c r="LY114" s="334">
        <v>34</v>
      </c>
      <c r="LZ114" s="334">
        <v>0</v>
      </c>
      <c r="MA114" s="334">
        <v>63.4</v>
      </c>
      <c r="MB114" s="334">
        <v>33.625</v>
      </c>
      <c r="MC114" s="334">
        <v>0</v>
      </c>
      <c r="MD114" s="334">
        <v>63.7</v>
      </c>
      <c r="ME114" s="334">
        <v>31.875</v>
      </c>
      <c r="MF114" s="334">
        <v>0</v>
      </c>
      <c r="MG114" s="334">
        <v>52.2</v>
      </c>
      <c r="MH114" s="334">
        <v>25.5</v>
      </c>
      <c r="MI114" s="334">
        <v>0</v>
      </c>
      <c r="MJ114" s="334">
        <v>52</v>
      </c>
      <c r="MK114" s="334"/>
      <c r="ML114" s="334"/>
      <c r="MM114" s="334"/>
      <c r="MN114" s="334"/>
      <c r="MO114" s="334"/>
      <c r="MP114" s="334"/>
      <c r="MQ114" s="334"/>
      <c r="MR114" s="334"/>
      <c r="MS114" s="334"/>
      <c r="MT114" s="334"/>
      <c r="MU114" s="334"/>
      <c r="MV114" s="334"/>
      <c r="MW114" s="334"/>
      <c r="MX114" s="334"/>
      <c r="MY114" s="334"/>
      <c r="MZ114" s="334"/>
      <c r="NA114" s="334"/>
      <c r="NB114" s="334"/>
      <c r="NC114" s="334"/>
      <c r="ND114" s="334"/>
      <c r="NE114" s="334"/>
      <c r="NF114" s="334"/>
      <c r="NG114" s="334"/>
      <c r="NH114" s="334"/>
      <c r="NI114" s="334"/>
      <c r="NJ114" s="334"/>
      <c r="NK114" s="334"/>
      <c r="NL114" s="334"/>
      <c r="NM114" s="334"/>
      <c r="NN114" s="334"/>
      <c r="NO114" s="334"/>
      <c r="NP114" s="334"/>
      <c r="NQ114" s="334"/>
      <c r="NR114" s="334"/>
      <c r="NS114" s="334"/>
      <c r="NT114" s="334"/>
      <c r="NU114" s="334"/>
      <c r="NV114" s="334"/>
      <c r="NW114" s="334"/>
      <c r="NX114" s="334"/>
      <c r="NY114" s="334"/>
      <c r="NZ114" s="334"/>
      <c r="OA114" s="334"/>
      <c r="OB114" s="334"/>
      <c r="OC114" s="334"/>
      <c r="OD114" s="334"/>
      <c r="OE114" s="334"/>
      <c r="OF114" s="334"/>
      <c r="OG114" s="334"/>
      <c r="OH114" s="334"/>
      <c r="OI114" s="334"/>
      <c r="OJ114" s="334"/>
      <c r="OK114" s="334"/>
      <c r="OL114" s="334"/>
      <c r="OM114" s="334"/>
      <c r="ON114" s="334"/>
      <c r="OO114" s="334"/>
      <c r="OP114" s="334"/>
      <c r="OQ114" s="334"/>
      <c r="OR114" s="334"/>
      <c r="OS114" s="334"/>
      <c r="OT114" s="334"/>
      <c r="OU114" s="334"/>
      <c r="OV114" s="334"/>
    </row>
    <row r="115" spans="1:412">
      <c r="B115" s="336"/>
      <c r="C115" s="336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 s="336"/>
      <c r="AE115" s="336"/>
      <c r="AF115" s="336"/>
      <c r="AG115" s="336"/>
      <c r="AH115" s="336"/>
      <c r="AI115" s="336"/>
      <c r="AJ115" s="336"/>
      <c r="AK115" s="336"/>
      <c r="AL115" s="336"/>
      <c r="AM115" s="336"/>
      <c r="AN115" s="336"/>
      <c r="AO115" s="336"/>
      <c r="AP115" s="336"/>
      <c r="AQ115" s="336"/>
      <c r="AR115" s="336"/>
      <c r="AS115" s="336"/>
      <c r="AT115" s="336"/>
      <c r="AU115" s="336"/>
      <c r="AV115" s="336"/>
      <c r="AW115" s="336"/>
      <c r="AX115" s="336"/>
      <c r="BB115" s="361"/>
      <c r="BC115" s="361"/>
      <c r="BD115" s="361"/>
      <c r="BE115" s="361"/>
      <c r="BF115" s="361"/>
      <c r="BG115" s="361"/>
      <c r="BH115" s="361"/>
      <c r="BI115" s="361"/>
      <c r="BJ115" s="361"/>
      <c r="BK115" s="353"/>
      <c r="BL115" s="353"/>
      <c r="BM115" s="353"/>
      <c r="BN115" s="353"/>
      <c r="BO115" s="353"/>
      <c r="BP115" s="353"/>
      <c r="BQ115" s="353"/>
      <c r="BR115" s="353"/>
      <c r="BS115" s="353"/>
      <c r="BT115" s="353"/>
      <c r="BU115" s="353"/>
      <c r="BV115" s="353"/>
      <c r="BZ115" s="56"/>
      <c r="CA115" s="56"/>
      <c r="CB115" s="56"/>
      <c r="CO115" s="336"/>
      <c r="CP115" s="336"/>
      <c r="CQ115" s="336"/>
      <c r="CR115" s="336"/>
      <c r="CS115" s="336"/>
      <c r="CT115" s="336"/>
      <c r="CU115" s="336"/>
      <c r="CV115" s="336"/>
      <c r="CW115" s="336"/>
      <c r="CX115" s="336"/>
      <c r="CY115" s="336"/>
      <c r="CZ115" s="336"/>
      <c r="DA115" s="336"/>
      <c r="DB115" s="336"/>
      <c r="DC115" s="336"/>
      <c r="DD115" s="336"/>
      <c r="DE115" s="336"/>
      <c r="DF115" s="336"/>
      <c r="DG115" s="336"/>
      <c r="DH115" s="336"/>
      <c r="DI115" s="336"/>
      <c r="DJ115" s="336"/>
      <c r="DK115" s="336"/>
      <c r="DL115" s="336"/>
      <c r="DM115" s="336"/>
      <c r="DN115" s="336"/>
      <c r="DO115" s="336"/>
      <c r="DP115" s="336"/>
      <c r="DQ115" s="140"/>
      <c r="DR115" s="336"/>
      <c r="DS115" s="336"/>
      <c r="DT115" s="336"/>
      <c r="DU115" s="336"/>
      <c r="DV115" s="336"/>
      <c r="DW115" s="336"/>
      <c r="DX115" s="336"/>
      <c r="DY115" s="336"/>
      <c r="DZ115" s="336"/>
      <c r="EA115" s="336"/>
      <c r="EB115" s="341"/>
      <c r="EC115" s="341"/>
      <c r="ED115" s="341"/>
      <c r="EE115" s="336"/>
      <c r="EF115" s="336"/>
      <c r="EG115" s="336"/>
      <c r="EH115" s="336"/>
      <c r="EI115" s="336"/>
      <c r="EJ115" s="336"/>
      <c r="EK115" s="336"/>
      <c r="EL115" s="336"/>
      <c r="EM115" s="336"/>
      <c r="EN115" s="336"/>
      <c r="EO115" s="336"/>
      <c r="EP115" s="336"/>
      <c r="EQ115" s="336"/>
      <c r="ER115" s="336"/>
      <c r="ES115" s="336"/>
      <c r="ET115" s="336"/>
      <c r="EU115" s="336"/>
      <c r="EV115" s="336"/>
      <c r="EW115" s="336"/>
      <c r="EX115" s="336"/>
      <c r="EY115" s="336"/>
      <c r="EZ115" s="140">
        <f>SUM(EZ11:EZ113)</f>
        <v>12629.939631000003</v>
      </c>
      <c r="FA115" s="140"/>
      <c r="FB115" s="289"/>
      <c r="FC115" s="336"/>
      <c r="FD115" s="336"/>
      <c r="FE115" s="336"/>
      <c r="FF115" s="336"/>
      <c r="FG115" s="336"/>
      <c r="FH115" s="336"/>
      <c r="FI115" s="140"/>
      <c r="FJ115" s="336"/>
      <c r="FK115" s="336"/>
      <c r="FL115" s="336"/>
      <c r="FM115" s="336"/>
      <c r="FN115" s="336"/>
      <c r="FO115" s="336"/>
      <c r="FP115" s="336"/>
      <c r="FQ115" s="336"/>
      <c r="FR115" s="336"/>
      <c r="FS115" s="140"/>
      <c r="FT115" s="336"/>
      <c r="FU115" s="336"/>
      <c r="FV115" s="336"/>
      <c r="FW115" s="336"/>
      <c r="FX115" s="336"/>
      <c r="FY115" s="336"/>
      <c r="FZ115" s="336"/>
      <c r="GA115" s="336"/>
      <c r="GB115" s="336"/>
      <c r="GC115" s="336"/>
      <c r="GD115" s="336"/>
      <c r="GE115" s="336"/>
      <c r="GF115" s="336"/>
      <c r="GG115" s="336"/>
      <c r="GH115" s="336"/>
      <c r="GI115" s="336"/>
      <c r="GJ115" s="336"/>
      <c r="GK115" s="336"/>
      <c r="GL115" s="336"/>
      <c r="GM115" s="336"/>
      <c r="GN115" s="336"/>
      <c r="GO115" s="336"/>
      <c r="GP115" s="336"/>
      <c r="GQ115" s="336"/>
      <c r="GR115" s="336"/>
      <c r="GS115" s="336"/>
      <c r="GT115" s="336"/>
      <c r="GU115" s="336"/>
      <c r="GV115" s="336"/>
      <c r="GW115" s="336"/>
      <c r="GX115" s="336"/>
      <c r="GY115" s="336"/>
      <c r="GZ115" s="336"/>
      <c r="HA115" s="336"/>
      <c r="HB115" s="336"/>
      <c r="HC115" s="336"/>
      <c r="HD115" s="336"/>
      <c r="HE115" s="336"/>
      <c r="HF115" s="336"/>
      <c r="HG115" s="336"/>
      <c r="HH115" s="336"/>
      <c r="HI115" s="140"/>
      <c r="HJ115" s="336"/>
      <c r="HK115" s="336"/>
      <c r="HL115" s="336"/>
      <c r="HM115" s="336"/>
      <c r="HN115" s="336"/>
      <c r="HO115" s="336"/>
      <c r="HP115" s="336"/>
      <c r="HQ115" s="336"/>
      <c r="HR115" s="336"/>
      <c r="HS115" s="336"/>
      <c r="HT115" s="336"/>
      <c r="HU115" s="336"/>
      <c r="HV115" s="336"/>
      <c r="HW115" s="336"/>
      <c r="HX115" s="336"/>
      <c r="HY115" s="336"/>
      <c r="HZ115" s="336"/>
      <c r="IA115" s="140"/>
      <c r="IB115" s="336"/>
      <c r="IC115" s="336"/>
      <c r="ID115" s="336"/>
      <c r="IE115" s="336"/>
      <c r="IF115" s="336"/>
      <c r="IG115" s="336"/>
      <c r="IH115" s="336"/>
      <c r="II115" s="336"/>
      <c r="IJ115" s="336"/>
      <c r="IK115" s="342"/>
      <c r="IL115" s="336"/>
      <c r="IM115" s="336"/>
      <c r="IN115" s="341"/>
      <c r="IO115" s="336"/>
      <c r="IP115" s="336"/>
      <c r="IQ115" s="336"/>
      <c r="IR115" s="336"/>
      <c r="IS115" s="336"/>
      <c r="IT115" s="336"/>
      <c r="IU115" s="341"/>
      <c r="IV115" s="341"/>
      <c r="IW115" s="341"/>
      <c r="IX115" s="336"/>
      <c r="IY115" s="336"/>
      <c r="IZ115" s="336"/>
      <c r="JA115" s="336"/>
      <c r="JB115" s="336"/>
      <c r="JC115" s="336"/>
      <c r="JD115" s="336"/>
      <c r="JE115" s="336"/>
      <c r="JF115" s="336"/>
      <c r="JG115" s="336"/>
      <c r="JH115" s="336"/>
      <c r="JI115" s="336"/>
      <c r="JJ115" s="336"/>
      <c r="JK115" s="336"/>
      <c r="JL115" s="336"/>
      <c r="JM115" s="336"/>
      <c r="JN115" s="336"/>
      <c r="JO115" s="336"/>
      <c r="JP115" s="336"/>
      <c r="JQ115" s="336"/>
      <c r="JR115" s="336"/>
      <c r="JS115" s="336"/>
      <c r="JT115" s="336"/>
      <c r="JU115" s="336"/>
      <c r="JV115" s="336"/>
      <c r="JW115" s="336"/>
      <c r="JX115" s="336"/>
      <c r="JY115" s="336"/>
      <c r="JZ115" s="336"/>
      <c r="KA115" s="336"/>
      <c r="KB115" s="336"/>
      <c r="KC115" s="336"/>
      <c r="KD115" s="336"/>
      <c r="KE115" s="336"/>
      <c r="KF115" s="336"/>
      <c r="KG115" s="336"/>
      <c r="KH115" s="336"/>
      <c r="KI115" s="336"/>
      <c r="KJ115" s="336"/>
      <c r="KK115" s="336"/>
      <c r="KL115" s="336"/>
      <c r="KM115" s="336"/>
      <c r="KN115" s="336"/>
      <c r="KO115" s="336"/>
      <c r="KP115" s="336"/>
      <c r="KQ115" s="336"/>
      <c r="KR115" s="336"/>
      <c r="KS115" s="336"/>
      <c r="KT115" s="333"/>
      <c r="KU115" s="333">
        <v>63.8125</v>
      </c>
      <c r="KV115" s="333"/>
      <c r="KX115" s="332">
        <v>58.125</v>
      </c>
      <c r="KY115" s="332">
        <v>0</v>
      </c>
      <c r="LA115" s="332">
        <v>37.25</v>
      </c>
      <c r="LB115" s="332">
        <v>0</v>
      </c>
      <c r="LD115" s="332">
        <v>47.375</v>
      </c>
      <c r="LE115" s="332">
        <v>0</v>
      </c>
    </row>
    <row r="116" spans="1:412">
      <c r="A116" s="295"/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6"/>
      <c r="Z116" s="336"/>
      <c r="AA116" s="336"/>
      <c r="AB116" s="336"/>
      <c r="AC116" s="336"/>
      <c r="AD116" s="336"/>
      <c r="AE116" s="336"/>
      <c r="AF116" s="336"/>
      <c r="AG116" s="336"/>
      <c r="AH116" s="336"/>
      <c r="AI116" s="336"/>
      <c r="AJ116" s="336"/>
      <c r="AK116" s="336"/>
      <c r="AL116" s="336"/>
      <c r="AM116" s="336"/>
      <c r="AN116" s="336"/>
      <c r="AO116" s="336"/>
      <c r="AP116" s="336"/>
      <c r="AQ116" s="336"/>
      <c r="AR116" s="336"/>
      <c r="AS116" s="336"/>
      <c r="AT116" s="336"/>
      <c r="AU116" s="336"/>
      <c r="AV116" s="336"/>
      <c r="AW116" s="336"/>
      <c r="AX116" s="336"/>
      <c r="BB116" s="360"/>
      <c r="BC116" s="360"/>
      <c r="BD116" s="360"/>
      <c r="BE116" s="360"/>
      <c r="BF116" s="360"/>
      <c r="BG116" s="360"/>
      <c r="BH116" s="360"/>
      <c r="BI116" s="360"/>
      <c r="BJ116" s="360"/>
      <c r="BK116" s="357"/>
      <c r="BL116" s="357"/>
      <c r="BM116" s="357"/>
      <c r="BN116" s="357"/>
      <c r="BO116" s="357"/>
      <c r="BP116" s="357"/>
      <c r="BQ116" s="357"/>
      <c r="BR116" s="357"/>
      <c r="BS116" s="357"/>
      <c r="BT116" s="357"/>
      <c r="BU116" s="357"/>
      <c r="BV116" s="357"/>
      <c r="BW116" s="350"/>
      <c r="BX116" s="350"/>
      <c r="BY116" s="350"/>
      <c r="BZ116" s="350"/>
      <c r="CA116" s="350"/>
      <c r="CB116" s="350"/>
      <c r="CC116" s="336"/>
      <c r="CD116" s="336"/>
      <c r="CE116" s="336"/>
      <c r="CF116" s="336"/>
      <c r="CG116" s="336"/>
      <c r="CH116" s="336"/>
      <c r="CI116" s="350"/>
      <c r="CJ116" s="350"/>
      <c r="CK116" s="350"/>
      <c r="CL116" s="350"/>
      <c r="CM116" s="351"/>
      <c r="CN116" s="350"/>
      <c r="CO116" s="336"/>
      <c r="CP116" s="336"/>
      <c r="CQ116" s="343"/>
      <c r="CR116" s="336"/>
      <c r="CS116" s="336"/>
      <c r="CT116" s="343"/>
      <c r="CU116" s="336"/>
      <c r="CV116" s="336"/>
      <c r="CW116" s="343"/>
      <c r="CX116" s="336"/>
      <c r="CY116" s="336"/>
      <c r="CZ116" s="343"/>
      <c r="DA116" s="336"/>
      <c r="DB116" s="336"/>
      <c r="DC116" s="336"/>
      <c r="DD116" s="336"/>
      <c r="DE116" s="336"/>
      <c r="DF116" s="336"/>
      <c r="DG116" s="336"/>
      <c r="DH116" s="336"/>
      <c r="DI116" s="336"/>
      <c r="DJ116" s="336"/>
      <c r="DK116" s="336"/>
      <c r="DL116" s="336"/>
      <c r="DM116" s="336"/>
      <c r="DN116" s="336"/>
      <c r="DO116" s="336"/>
      <c r="DP116" s="336"/>
      <c r="DQ116" s="336"/>
      <c r="DR116" s="336"/>
      <c r="DS116" s="336"/>
      <c r="DT116" s="336"/>
      <c r="DU116" s="336"/>
      <c r="DV116" s="336"/>
      <c r="DW116" s="336"/>
      <c r="DX116" s="336"/>
      <c r="DY116" s="336"/>
      <c r="DZ116" s="336"/>
      <c r="EA116" s="336"/>
      <c r="EB116" s="341"/>
      <c r="EC116" s="341"/>
      <c r="ED116" s="341"/>
      <c r="EE116" s="336"/>
      <c r="EF116" s="336"/>
      <c r="EG116" s="336"/>
      <c r="EH116" s="336"/>
      <c r="EI116" s="336"/>
      <c r="EJ116" s="336"/>
      <c r="EK116" s="336"/>
      <c r="EL116" s="336"/>
      <c r="EM116" s="336"/>
      <c r="EN116" s="336"/>
      <c r="EO116" s="336"/>
      <c r="EP116" s="336"/>
      <c r="EQ116" s="336"/>
      <c r="ER116" s="336"/>
      <c r="ES116" s="336"/>
      <c r="ET116" s="336"/>
      <c r="EU116" s="336"/>
      <c r="EV116" s="336"/>
      <c r="EW116" s="336"/>
      <c r="EX116" s="336"/>
      <c r="EY116" s="336"/>
      <c r="EZ116" s="336"/>
      <c r="FA116" s="336"/>
      <c r="FB116" s="290"/>
      <c r="FC116" s="336"/>
      <c r="FD116" s="336"/>
      <c r="FE116" s="336"/>
      <c r="FF116" s="336"/>
      <c r="FG116" s="336"/>
      <c r="FH116" s="336"/>
      <c r="FI116" s="336"/>
      <c r="FJ116" s="336"/>
      <c r="FK116" s="336"/>
      <c r="FL116" s="336"/>
      <c r="FM116" s="336"/>
      <c r="FN116" s="336"/>
      <c r="FO116" s="336"/>
      <c r="FP116" s="336"/>
      <c r="FQ116" s="336"/>
      <c r="FR116" s="336"/>
      <c r="FS116" s="336"/>
      <c r="FT116" s="336"/>
      <c r="FU116" s="336"/>
      <c r="FV116" s="336"/>
      <c r="FW116" s="336"/>
      <c r="FX116" s="336"/>
      <c r="FY116" s="336"/>
      <c r="FZ116" s="336"/>
      <c r="GA116" s="336"/>
      <c r="GB116" s="336"/>
      <c r="GC116" s="336"/>
      <c r="GD116" s="336"/>
      <c r="GE116" s="336"/>
      <c r="GF116" s="336"/>
      <c r="GG116" s="336"/>
      <c r="GH116" s="336"/>
      <c r="GI116" s="336"/>
      <c r="GJ116" s="336"/>
      <c r="GK116" s="336"/>
      <c r="GL116" s="336"/>
      <c r="GM116" s="336"/>
      <c r="GN116" s="336"/>
      <c r="GO116" s="336"/>
      <c r="GP116" s="336"/>
      <c r="GQ116" s="336"/>
      <c r="GR116" s="336"/>
      <c r="GS116" s="336"/>
      <c r="GT116" s="336"/>
      <c r="GU116" s="336"/>
      <c r="GV116" s="336"/>
      <c r="GW116" s="336"/>
      <c r="GX116" s="336"/>
      <c r="GY116" s="336"/>
      <c r="GZ116" s="336"/>
      <c r="HA116" s="336"/>
      <c r="HB116" s="336"/>
      <c r="HC116" s="336"/>
      <c r="HD116" s="336"/>
      <c r="HE116" s="336"/>
      <c r="HF116" s="336"/>
      <c r="HG116" s="336"/>
      <c r="HH116" s="336"/>
      <c r="HI116" s="140"/>
      <c r="HJ116" s="336"/>
      <c r="HK116" s="336"/>
      <c r="HL116" s="336"/>
      <c r="HM116" s="336"/>
      <c r="HN116" s="336"/>
      <c r="HO116" s="336"/>
      <c r="HP116" s="336"/>
      <c r="HQ116" s="336"/>
      <c r="HR116" s="336"/>
      <c r="HS116" s="336"/>
      <c r="HT116" s="336"/>
      <c r="HU116" s="336"/>
      <c r="HV116" s="336"/>
      <c r="HW116" s="336"/>
      <c r="HX116" s="336"/>
      <c r="HY116" s="336"/>
      <c r="HZ116" s="336"/>
      <c r="IA116" s="336"/>
      <c r="IB116" s="336"/>
      <c r="IC116" s="336"/>
      <c r="ID116" s="336"/>
      <c r="IE116" s="336"/>
      <c r="IF116" s="336"/>
      <c r="IG116" s="336"/>
      <c r="IH116" s="336"/>
      <c r="II116" s="336"/>
      <c r="IJ116" s="336"/>
      <c r="IK116" s="342"/>
      <c r="IL116" s="336"/>
      <c r="IM116" s="336"/>
      <c r="IN116" s="341"/>
      <c r="IO116" s="336"/>
      <c r="IP116" s="336"/>
      <c r="IQ116" s="336"/>
      <c r="IR116" s="336"/>
      <c r="IS116" s="336"/>
      <c r="IT116" s="336"/>
      <c r="IU116" s="341"/>
      <c r="IV116" s="341"/>
      <c r="IW116" s="341"/>
      <c r="IX116" s="336"/>
      <c r="IY116" s="336"/>
      <c r="IZ116" s="336"/>
      <c r="JA116" s="336"/>
      <c r="JB116" s="336"/>
      <c r="JC116" s="336"/>
      <c r="JD116" s="336"/>
      <c r="JE116" s="336"/>
      <c r="JF116" s="336"/>
      <c r="JG116" s="336"/>
      <c r="JH116" s="336"/>
      <c r="JI116" s="336"/>
      <c r="JJ116" s="336"/>
      <c r="JK116" s="336"/>
      <c r="JL116" s="336"/>
      <c r="JM116" s="336"/>
      <c r="JN116" s="336"/>
      <c r="JO116" s="336"/>
      <c r="JP116" s="336"/>
      <c r="JQ116" s="336"/>
      <c r="JR116" s="336"/>
      <c r="JS116" s="336"/>
      <c r="JT116" s="336"/>
      <c r="JU116" s="336"/>
      <c r="JV116" s="336"/>
      <c r="JW116" s="336"/>
      <c r="JX116" s="336"/>
      <c r="JY116" s="336"/>
      <c r="JZ116" s="336"/>
      <c r="KA116" s="336"/>
      <c r="KB116" s="336"/>
      <c r="KC116" s="336"/>
      <c r="KD116" s="336"/>
      <c r="KE116" s="336"/>
      <c r="KF116" s="336"/>
      <c r="KG116" s="336"/>
      <c r="KH116" s="336"/>
      <c r="KI116" s="336"/>
      <c r="KJ116" s="336"/>
      <c r="KK116" s="336"/>
      <c r="KL116" s="336"/>
      <c r="KM116" s="336"/>
      <c r="KN116" s="336"/>
      <c r="KO116" s="336"/>
      <c r="KP116" s="336"/>
      <c r="KQ116" s="336"/>
      <c r="KR116" s="336"/>
      <c r="KS116" s="336"/>
      <c r="KT116" s="335"/>
      <c r="KU116" s="335"/>
      <c r="KV116" s="335"/>
    </row>
    <row r="117" spans="1:412">
      <c r="A117" s="295"/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  <c r="AI117" s="336"/>
      <c r="AJ117" s="336"/>
      <c r="AK117" s="336"/>
      <c r="AL117" s="336"/>
      <c r="AM117" s="336"/>
      <c r="AN117" s="336"/>
      <c r="AO117" s="336"/>
      <c r="AP117" s="336"/>
      <c r="AQ117" s="336"/>
      <c r="AR117" s="336"/>
      <c r="AS117" s="336"/>
      <c r="AT117" s="336"/>
      <c r="AU117" s="336"/>
      <c r="AV117" s="336"/>
      <c r="AW117" s="336"/>
      <c r="AX117" s="336"/>
      <c r="BB117" s="360"/>
      <c r="BC117" s="360"/>
      <c r="BD117" s="360"/>
      <c r="BE117" s="360"/>
      <c r="BF117" s="360"/>
      <c r="BG117" s="360"/>
      <c r="BH117" s="360"/>
      <c r="BI117" s="360"/>
      <c r="BJ117" s="360"/>
      <c r="BK117" s="350"/>
      <c r="BL117" s="350"/>
      <c r="BM117" s="350"/>
      <c r="BN117" s="350"/>
      <c r="BO117" s="350"/>
      <c r="BP117" s="350"/>
      <c r="BQ117" s="350"/>
      <c r="BR117" s="350"/>
      <c r="BS117" s="350"/>
      <c r="BT117" s="350"/>
      <c r="BU117" s="350"/>
      <c r="BV117" s="350"/>
      <c r="BW117" s="350"/>
      <c r="BX117" s="350"/>
      <c r="BY117" s="350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50"/>
      <c r="CJ117" s="350"/>
      <c r="CK117" s="350"/>
      <c r="CL117" s="350"/>
      <c r="CM117" s="350"/>
      <c r="CN117" s="350"/>
      <c r="CO117" s="336"/>
      <c r="CP117" s="336"/>
      <c r="CQ117" s="336"/>
      <c r="CR117" s="336"/>
      <c r="CS117" s="336"/>
      <c r="CT117" s="336"/>
      <c r="CU117" s="336"/>
      <c r="CV117" s="336"/>
      <c r="CW117" s="336"/>
      <c r="CX117" s="336"/>
      <c r="CY117" s="336"/>
      <c r="CZ117" s="336"/>
      <c r="DA117" s="336"/>
      <c r="DB117" s="336"/>
      <c r="DC117" s="336"/>
      <c r="DD117" s="336"/>
      <c r="DE117" s="336"/>
      <c r="DF117" s="336"/>
      <c r="DG117" s="336"/>
      <c r="DH117" s="336"/>
      <c r="DI117" s="336"/>
      <c r="DJ117" s="336"/>
      <c r="DK117" s="336"/>
      <c r="DL117" s="336"/>
      <c r="DM117" s="336"/>
      <c r="DN117" s="336"/>
      <c r="DO117" s="336"/>
      <c r="DP117" s="336"/>
      <c r="DQ117" s="336"/>
      <c r="DR117" s="336"/>
      <c r="DS117" s="336"/>
      <c r="DT117" s="336"/>
      <c r="DU117" s="336"/>
      <c r="DV117" s="336"/>
      <c r="DW117" s="336"/>
      <c r="DX117" s="336"/>
      <c r="DY117" s="336"/>
      <c r="DZ117" s="336"/>
      <c r="EA117" s="336"/>
      <c r="EB117" s="341"/>
      <c r="EC117" s="341"/>
      <c r="ED117" s="341"/>
      <c r="EE117" s="336"/>
      <c r="EF117" s="336"/>
      <c r="EG117" s="336"/>
      <c r="EH117" s="336"/>
      <c r="EI117" s="336"/>
      <c r="EJ117" s="336"/>
      <c r="EK117" s="336"/>
      <c r="EL117" s="336"/>
      <c r="EM117" s="336"/>
      <c r="EN117" s="336"/>
      <c r="EO117" s="336"/>
      <c r="EP117" s="336"/>
      <c r="EQ117" s="336"/>
      <c r="ER117" s="336"/>
      <c r="ES117" s="336"/>
      <c r="ET117" s="336"/>
      <c r="EU117" s="336"/>
      <c r="EV117" s="336"/>
      <c r="EW117" s="336"/>
      <c r="EX117" s="336"/>
      <c r="EY117" s="336"/>
      <c r="EZ117" s="336"/>
      <c r="FA117" s="336"/>
      <c r="FB117" s="336"/>
      <c r="FC117" s="336"/>
      <c r="FD117" s="336"/>
      <c r="FE117" s="336"/>
      <c r="FF117" s="336"/>
      <c r="FG117" s="336"/>
      <c r="FH117" s="336"/>
      <c r="FI117" s="336"/>
      <c r="FJ117" s="336"/>
      <c r="FK117" s="336"/>
      <c r="FL117" s="336"/>
      <c r="FM117" s="336"/>
      <c r="FN117" s="336"/>
      <c r="FO117" s="336"/>
      <c r="FP117" s="336"/>
      <c r="FQ117" s="336"/>
      <c r="FR117" s="336"/>
      <c r="FS117" s="336"/>
      <c r="FT117" s="336"/>
      <c r="FU117" s="336"/>
      <c r="FV117" s="336"/>
      <c r="FW117" s="336"/>
      <c r="FX117" s="336"/>
      <c r="FY117" s="336"/>
      <c r="FZ117" s="336"/>
      <c r="GA117" s="336"/>
      <c r="GB117" s="336"/>
      <c r="GC117" s="336"/>
      <c r="GD117" s="336"/>
      <c r="GE117" s="336"/>
      <c r="GF117" s="336"/>
      <c r="GG117" s="336"/>
      <c r="GH117" s="336"/>
      <c r="GI117" s="336"/>
      <c r="GJ117" s="336"/>
      <c r="GK117" s="336"/>
      <c r="GL117" s="336"/>
      <c r="GM117" s="336"/>
      <c r="GN117" s="336"/>
      <c r="GO117" s="336"/>
      <c r="GP117" s="336"/>
      <c r="GQ117" s="336"/>
      <c r="GR117" s="336"/>
      <c r="GS117" s="336"/>
      <c r="GT117" s="336"/>
      <c r="GU117" s="336"/>
      <c r="GV117" s="336"/>
      <c r="GW117" s="336"/>
      <c r="GX117" s="336"/>
      <c r="GY117" s="336"/>
      <c r="GZ117" s="336"/>
      <c r="HA117" s="336"/>
      <c r="HB117" s="336"/>
      <c r="HC117" s="336"/>
      <c r="HD117" s="336"/>
      <c r="HE117" s="336"/>
      <c r="HF117" s="336"/>
      <c r="HG117" s="336"/>
      <c r="HH117" s="336"/>
      <c r="HI117" s="140"/>
      <c r="HJ117" s="336"/>
      <c r="HK117" s="336"/>
      <c r="HL117" s="336"/>
      <c r="HM117" s="336"/>
      <c r="HN117" s="336"/>
      <c r="HO117" s="336"/>
      <c r="HP117" s="336"/>
      <c r="HQ117" s="336"/>
      <c r="HR117" s="336"/>
      <c r="HS117" s="336"/>
      <c r="HT117" s="336"/>
      <c r="HU117" s="336"/>
      <c r="HV117" s="336"/>
      <c r="HW117" s="336"/>
      <c r="HX117" s="336"/>
      <c r="HY117" s="336"/>
      <c r="HZ117" s="336"/>
      <c r="IA117" s="336"/>
      <c r="IB117" s="336"/>
      <c r="IC117" s="336"/>
      <c r="ID117" s="336"/>
      <c r="IE117" s="336"/>
      <c r="IF117" s="336"/>
      <c r="IG117" s="336"/>
      <c r="IH117" s="336"/>
      <c r="II117" s="336"/>
      <c r="IJ117" s="336"/>
      <c r="IK117" s="342"/>
      <c r="IL117" s="336"/>
      <c r="IM117" s="336"/>
      <c r="IN117" s="341"/>
      <c r="IO117" s="336"/>
      <c r="IP117" s="336"/>
      <c r="IQ117" s="336"/>
      <c r="IR117" s="336"/>
      <c r="IS117" s="336"/>
      <c r="IT117" s="336"/>
      <c r="IU117" s="341"/>
      <c r="IV117" s="341"/>
      <c r="IW117" s="341"/>
      <c r="IX117" s="336"/>
      <c r="IY117" s="336"/>
      <c r="IZ117" s="336"/>
      <c r="JA117" s="336"/>
      <c r="JB117" s="336"/>
      <c r="JC117" s="336"/>
      <c r="JD117" s="336"/>
      <c r="JE117" s="336"/>
      <c r="JF117" s="336"/>
      <c r="JG117" s="336"/>
      <c r="JH117" s="336"/>
      <c r="JI117" s="336"/>
      <c r="JJ117" s="336"/>
      <c r="JK117" s="336"/>
      <c r="JL117" s="336"/>
      <c r="JM117" s="336"/>
      <c r="JN117" s="336"/>
      <c r="JO117" s="336"/>
      <c r="JP117" s="336"/>
      <c r="JQ117" s="336"/>
      <c r="JR117" s="336"/>
      <c r="JS117" s="336"/>
      <c r="JT117" s="336"/>
      <c r="JU117" s="336"/>
      <c r="JV117" s="336"/>
      <c r="JW117" s="336"/>
      <c r="JX117" s="336"/>
      <c r="JY117" s="336"/>
      <c r="JZ117" s="336"/>
      <c r="KA117" s="336"/>
      <c r="KB117" s="336"/>
      <c r="KC117" s="336"/>
      <c r="KD117" s="336"/>
      <c r="KE117" s="336"/>
      <c r="KF117" s="336"/>
      <c r="KG117" s="336"/>
      <c r="KH117" s="336"/>
      <c r="KI117" s="336"/>
      <c r="KJ117" s="336"/>
      <c r="KK117" s="336"/>
      <c r="KL117" s="336"/>
      <c r="KM117" s="336"/>
      <c r="KN117" s="336"/>
      <c r="KO117" s="336"/>
      <c r="KP117" s="336"/>
      <c r="KQ117" s="336"/>
      <c r="KR117" s="336"/>
      <c r="KS117" s="336"/>
      <c r="KT117" s="335"/>
      <c r="KU117" s="335"/>
      <c r="KV117" s="335"/>
    </row>
    <row r="118" spans="1:412">
      <c r="A118" s="295"/>
      <c r="B118" s="336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  <c r="X118" s="336"/>
      <c r="Y118" s="336"/>
      <c r="Z118" s="336"/>
      <c r="AA118" s="336"/>
      <c r="AB118" s="336"/>
      <c r="AC118" s="336"/>
      <c r="AD118" s="336"/>
      <c r="AE118" s="336"/>
      <c r="AF118" s="336"/>
      <c r="AG118" s="336"/>
      <c r="AH118" s="336"/>
      <c r="AI118" s="336"/>
      <c r="AJ118" s="336"/>
      <c r="AK118" s="336"/>
      <c r="AL118" s="336"/>
      <c r="AM118" s="336"/>
      <c r="AN118" s="336"/>
      <c r="AO118" s="336"/>
      <c r="AP118" s="336"/>
      <c r="AQ118" s="336"/>
      <c r="AR118" s="336"/>
      <c r="AS118" s="336"/>
      <c r="AT118" s="336"/>
      <c r="AU118" s="336"/>
      <c r="AV118" s="336"/>
      <c r="AW118" s="336"/>
      <c r="AX118" s="336"/>
      <c r="AY118" s="360"/>
      <c r="AZ118" s="360"/>
      <c r="BA118" s="360"/>
      <c r="BB118" s="360"/>
      <c r="BC118" s="360"/>
      <c r="BD118" s="360"/>
      <c r="BE118" s="360"/>
      <c r="BF118" s="360"/>
      <c r="BG118" s="360"/>
      <c r="BH118" s="360"/>
      <c r="BI118" s="360"/>
      <c r="BJ118" s="360"/>
      <c r="BK118" s="350"/>
      <c r="BL118" s="350"/>
      <c r="BM118" s="350"/>
      <c r="BN118" s="350"/>
      <c r="BO118" s="350"/>
      <c r="BP118" s="350"/>
      <c r="BQ118" s="350"/>
      <c r="BR118" s="350"/>
      <c r="BS118" s="350"/>
      <c r="BT118" s="350"/>
      <c r="BU118" s="350"/>
      <c r="BV118" s="350"/>
      <c r="BW118" s="350"/>
      <c r="BX118" s="350"/>
      <c r="BY118" s="350"/>
      <c r="BZ118" s="336"/>
      <c r="CA118" s="336"/>
      <c r="CB118" s="336"/>
      <c r="CC118" s="336"/>
      <c r="CD118" s="336"/>
      <c r="CE118" s="336"/>
      <c r="CF118" s="336"/>
      <c r="CG118" s="336"/>
      <c r="CH118" s="336"/>
      <c r="CI118" s="350"/>
      <c r="CJ118" s="350"/>
      <c r="CK118" s="350"/>
      <c r="CL118" s="350"/>
      <c r="CM118" s="350"/>
      <c r="CN118" s="350"/>
      <c r="CO118" s="336"/>
      <c r="CP118" s="336"/>
      <c r="CQ118" s="336"/>
      <c r="CR118" s="336"/>
      <c r="CS118" s="336"/>
      <c r="CT118" s="336"/>
      <c r="CU118" s="336"/>
      <c r="CV118" s="336"/>
      <c r="CW118" s="336"/>
      <c r="CX118" s="336"/>
      <c r="CY118" s="336"/>
      <c r="CZ118" s="336"/>
      <c r="DA118" s="336"/>
      <c r="DB118" s="336"/>
      <c r="DC118" s="336"/>
      <c r="DD118" s="336"/>
      <c r="DE118" s="336"/>
      <c r="DF118" s="336"/>
      <c r="DG118" s="336"/>
      <c r="DH118" s="336"/>
      <c r="DI118" s="336"/>
      <c r="DJ118" s="336"/>
      <c r="DK118" s="336"/>
      <c r="DL118" s="336"/>
      <c r="DM118" s="336"/>
      <c r="DN118" s="336"/>
      <c r="DO118" s="336"/>
      <c r="DP118" s="336"/>
      <c r="DQ118" s="336"/>
      <c r="DR118" s="336"/>
      <c r="DS118" s="336"/>
      <c r="DT118" s="336"/>
      <c r="DU118" s="336"/>
      <c r="DV118" s="336"/>
      <c r="DW118" s="336"/>
      <c r="DX118" s="336"/>
      <c r="DY118" s="336"/>
      <c r="DZ118" s="336"/>
      <c r="EA118" s="336"/>
      <c r="EB118" s="341"/>
      <c r="EC118" s="341"/>
      <c r="ED118" s="341"/>
      <c r="EE118" s="336"/>
      <c r="EF118" s="336"/>
      <c r="EG118" s="336"/>
      <c r="EH118" s="336"/>
      <c r="EI118" s="336"/>
      <c r="EJ118" s="336"/>
      <c r="EK118" s="336"/>
      <c r="EL118" s="336"/>
      <c r="EM118" s="336"/>
      <c r="EN118" s="336"/>
      <c r="EO118" s="336"/>
      <c r="EP118" s="336"/>
      <c r="EQ118" s="336"/>
      <c r="ER118" s="336"/>
      <c r="ES118" s="336"/>
      <c r="ET118" s="336"/>
      <c r="EU118" s="336"/>
      <c r="EV118" s="336"/>
      <c r="EW118" s="336"/>
      <c r="EX118" s="336"/>
      <c r="EY118" s="336"/>
      <c r="EZ118" s="336"/>
      <c r="FA118" s="336"/>
      <c r="FB118" s="336"/>
      <c r="FC118" s="336"/>
      <c r="FD118" s="336"/>
      <c r="FE118" s="336"/>
      <c r="FF118" s="336"/>
      <c r="FG118" s="336"/>
      <c r="FH118" s="336"/>
      <c r="FI118" s="336"/>
      <c r="FJ118" s="336"/>
      <c r="FK118" s="336"/>
      <c r="FL118" s="336"/>
      <c r="FM118" s="336"/>
      <c r="FN118" s="336"/>
      <c r="FO118" s="336"/>
      <c r="FP118" s="336"/>
      <c r="FQ118" s="336"/>
      <c r="FR118" s="336"/>
      <c r="FS118" s="336"/>
      <c r="FT118" s="336"/>
      <c r="FU118" s="336"/>
      <c r="FV118" s="336"/>
      <c r="FW118" s="336"/>
      <c r="FX118" s="336"/>
      <c r="FY118" s="336"/>
      <c r="FZ118" s="336"/>
      <c r="GA118" s="336"/>
      <c r="GB118" s="336"/>
      <c r="GC118" s="336"/>
      <c r="GD118" s="336"/>
      <c r="GE118" s="336"/>
      <c r="GF118" s="336"/>
      <c r="GG118" s="336"/>
      <c r="GH118" s="336"/>
      <c r="GI118" s="336"/>
      <c r="GJ118" s="336"/>
      <c r="GK118" s="336"/>
      <c r="GL118" s="336"/>
      <c r="GM118" s="336"/>
      <c r="GN118" s="336"/>
      <c r="GO118" s="336"/>
      <c r="GP118" s="336"/>
      <c r="GQ118" s="336"/>
      <c r="GR118" s="336"/>
      <c r="GS118" s="336"/>
      <c r="GT118" s="336"/>
      <c r="GU118" s="336"/>
      <c r="GV118" s="336"/>
      <c r="GW118" s="336"/>
      <c r="GX118" s="336"/>
      <c r="GY118" s="336"/>
      <c r="GZ118" s="336"/>
      <c r="HA118" s="336"/>
      <c r="HB118" s="336"/>
      <c r="HC118" s="336"/>
      <c r="HD118" s="336"/>
      <c r="HE118" s="336"/>
      <c r="HF118" s="336"/>
      <c r="HG118" s="336"/>
      <c r="HH118" s="336"/>
      <c r="HI118" s="140"/>
      <c r="HJ118" s="336"/>
      <c r="HK118" s="336"/>
      <c r="HL118" s="336"/>
      <c r="HM118" s="336"/>
      <c r="HN118" s="336"/>
      <c r="HO118" s="336"/>
      <c r="HP118" s="336"/>
      <c r="HQ118" s="336"/>
      <c r="HR118" s="336"/>
      <c r="HS118" s="336"/>
      <c r="HT118" s="336"/>
      <c r="HU118" s="336"/>
      <c r="HV118" s="336"/>
      <c r="HW118" s="336"/>
      <c r="HX118" s="336"/>
      <c r="HY118" s="336"/>
      <c r="HZ118" s="336"/>
      <c r="IA118" s="336"/>
      <c r="IB118" s="336"/>
      <c r="IC118" s="336"/>
      <c r="ID118" s="336"/>
      <c r="IE118" s="336"/>
      <c r="IF118" s="336"/>
      <c r="IG118" s="336"/>
      <c r="IH118" s="336"/>
      <c r="II118" s="336"/>
      <c r="IJ118" s="336"/>
      <c r="IK118" s="342"/>
      <c r="IL118" s="336"/>
      <c r="IM118" s="336"/>
      <c r="IN118" s="341"/>
      <c r="IO118" s="336"/>
      <c r="IP118" s="336"/>
      <c r="IQ118" s="336"/>
      <c r="IR118" s="336"/>
      <c r="IS118" s="336"/>
      <c r="IT118" s="336"/>
      <c r="IU118" s="341"/>
      <c r="IV118" s="341"/>
      <c r="IW118" s="341"/>
      <c r="IX118" s="336"/>
      <c r="IY118" s="336"/>
      <c r="IZ118" s="336"/>
      <c r="JA118" s="336"/>
      <c r="JB118" s="336"/>
      <c r="JC118" s="336"/>
      <c r="JD118" s="336"/>
      <c r="JE118" s="336"/>
      <c r="JF118" s="336"/>
      <c r="JG118" s="336"/>
      <c r="JH118" s="336"/>
      <c r="JI118" s="336"/>
      <c r="JJ118" s="336"/>
      <c r="JK118" s="336"/>
      <c r="JL118" s="336"/>
      <c r="JM118" s="336"/>
      <c r="JN118" s="336"/>
      <c r="JO118" s="336"/>
      <c r="JP118" s="336"/>
      <c r="JQ118" s="336"/>
      <c r="JR118" s="336"/>
      <c r="JS118" s="336"/>
      <c r="JT118" s="336"/>
      <c r="JU118" s="336"/>
      <c r="JV118" s="336"/>
      <c r="JW118" s="336"/>
      <c r="JX118" s="336"/>
      <c r="JY118" s="336"/>
      <c r="JZ118" s="336"/>
      <c r="KA118" s="336"/>
      <c r="KB118" s="336"/>
      <c r="KC118" s="336"/>
      <c r="KD118" s="336"/>
      <c r="KE118" s="336"/>
      <c r="KF118" s="336"/>
      <c r="KG118" s="336"/>
      <c r="KH118" s="336"/>
      <c r="KI118" s="336"/>
      <c r="KJ118" s="336"/>
      <c r="KK118" s="336"/>
      <c r="KL118" s="336"/>
      <c r="KM118" s="336"/>
      <c r="KN118" s="336"/>
      <c r="KO118" s="336"/>
      <c r="KP118" s="336"/>
      <c r="KQ118" s="336"/>
      <c r="KR118" s="336"/>
      <c r="KS118" s="336"/>
      <c r="KT118" s="335"/>
      <c r="KU118" s="335"/>
      <c r="KV118" s="335"/>
    </row>
    <row r="119" spans="1:412">
      <c r="A119" s="295"/>
      <c r="B119" s="336"/>
      <c r="C119" s="336"/>
      <c r="D119" s="336"/>
      <c r="E119" s="336"/>
      <c r="F119" s="336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336"/>
      <c r="U119" s="336"/>
      <c r="V119" s="336"/>
      <c r="W119" s="336"/>
      <c r="X119" s="336"/>
      <c r="Y119" s="336"/>
      <c r="Z119" s="336"/>
      <c r="AA119" s="336"/>
      <c r="AB119" s="336"/>
      <c r="AC119" s="336"/>
      <c r="AD119" s="336"/>
      <c r="AE119" s="336"/>
      <c r="AF119" s="336"/>
      <c r="AG119" s="336"/>
      <c r="AH119" s="336"/>
      <c r="AI119" s="336"/>
      <c r="AJ119" s="336"/>
      <c r="AK119" s="336"/>
      <c r="AL119" s="336"/>
      <c r="AM119" s="336"/>
      <c r="AN119" s="336"/>
      <c r="AO119" s="336"/>
      <c r="AP119" s="336"/>
      <c r="AQ119" s="336"/>
      <c r="AR119" s="336"/>
      <c r="AS119" s="336"/>
      <c r="AT119" s="336"/>
      <c r="AU119" s="336"/>
      <c r="AV119" s="336"/>
      <c r="AW119" s="336"/>
      <c r="AX119" s="336"/>
      <c r="AY119" s="360"/>
      <c r="AZ119" s="360"/>
      <c r="BA119" s="360"/>
      <c r="BB119" s="360"/>
      <c r="BC119" s="360"/>
      <c r="BD119" s="360"/>
      <c r="BE119" s="360"/>
      <c r="BF119" s="360"/>
      <c r="BG119" s="360"/>
      <c r="BH119" s="360"/>
      <c r="BI119" s="360"/>
      <c r="BJ119" s="360"/>
      <c r="BK119" s="350"/>
      <c r="BL119" s="350"/>
      <c r="BM119" s="350"/>
      <c r="BN119" s="350"/>
      <c r="BO119" s="350"/>
      <c r="BP119" s="350"/>
      <c r="BQ119" s="350"/>
      <c r="BR119" s="350"/>
      <c r="BS119" s="350"/>
      <c r="BT119" s="350"/>
      <c r="BU119" s="350"/>
      <c r="BV119" s="350"/>
      <c r="BW119" s="350"/>
      <c r="BX119" s="350"/>
      <c r="BY119" s="350"/>
      <c r="BZ119" s="336"/>
      <c r="CA119" s="336"/>
      <c r="CB119" s="336"/>
      <c r="CC119" s="336"/>
      <c r="CD119" s="336"/>
      <c r="CE119" s="336"/>
      <c r="CF119" s="336"/>
      <c r="CG119" s="336"/>
      <c r="CH119" s="336"/>
      <c r="CI119" s="350"/>
      <c r="CJ119" s="350"/>
      <c r="CK119" s="350"/>
      <c r="CL119" s="350"/>
      <c r="CM119" s="352">
        <v>0</v>
      </c>
      <c r="CN119" s="350"/>
      <c r="CO119" s="336"/>
      <c r="CP119" s="336"/>
      <c r="CQ119" s="336"/>
      <c r="CR119" s="336"/>
      <c r="CS119" s="336"/>
      <c r="CT119" s="336"/>
      <c r="CU119" s="336"/>
      <c r="CV119" s="336"/>
      <c r="CW119" s="336"/>
      <c r="CX119" s="336"/>
      <c r="CY119" s="336"/>
      <c r="CZ119" s="336"/>
      <c r="DA119" s="336"/>
      <c r="DB119" s="336"/>
      <c r="DC119" s="336"/>
      <c r="DD119" s="336"/>
      <c r="DE119" s="336"/>
      <c r="DF119" s="336"/>
      <c r="DG119" s="336"/>
      <c r="DH119" s="336"/>
      <c r="DI119" s="336"/>
      <c r="DJ119" s="336"/>
      <c r="DK119" s="336"/>
      <c r="DL119" s="336"/>
      <c r="DM119" s="336"/>
      <c r="DN119" s="336"/>
      <c r="DO119" s="336"/>
      <c r="DP119" s="336"/>
      <c r="DQ119" s="336"/>
      <c r="DR119" s="336"/>
      <c r="DS119" s="336"/>
      <c r="DT119" s="336"/>
      <c r="DU119" s="336"/>
      <c r="DV119" s="336"/>
      <c r="DW119" s="336"/>
      <c r="DX119" s="336"/>
      <c r="DY119" s="336"/>
      <c r="DZ119" s="336"/>
      <c r="EA119" s="336"/>
      <c r="EB119" s="341"/>
      <c r="EC119" s="341"/>
      <c r="ED119" s="341"/>
      <c r="EE119" s="336"/>
      <c r="EF119" s="336"/>
      <c r="EG119" s="336"/>
      <c r="EH119" s="336"/>
      <c r="EI119" s="336"/>
      <c r="EJ119" s="336"/>
      <c r="EK119" s="336"/>
      <c r="EL119" s="336"/>
      <c r="EM119" s="336"/>
      <c r="EN119" s="336"/>
      <c r="EO119" s="336"/>
      <c r="EP119" s="336"/>
      <c r="EQ119" s="336"/>
      <c r="ER119" s="336"/>
      <c r="ES119" s="336"/>
      <c r="ET119" s="336"/>
      <c r="EU119" s="336"/>
      <c r="EV119" s="336"/>
      <c r="EW119" s="336"/>
      <c r="EX119" s="336"/>
      <c r="EY119" s="336"/>
      <c r="EZ119" s="336"/>
      <c r="FA119" s="336"/>
      <c r="FB119" s="336"/>
      <c r="FC119" s="336"/>
      <c r="FD119" s="336"/>
      <c r="FE119" s="336"/>
      <c r="FF119" s="336"/>
      <c r="FG119" s="336"/>
      <c r="FH119" s="336"/>
      <c r="FI119" s="336"/>
      <c r="FJ119" s="336"/>
      <c r="FK119" s="336"/>
      <c r="FL119" s="336"/>
      <c r="FM119" s="336"/>
      <c r="FN119" s="336"/>
      <c r="FO119" s="336"/>
      <c r="FP119" s="336"/>
      <c r="FQ119" s="336"/>
      <c r="FR119" s="336"/>
      <c r="FS119" s="336"/>
      <c r="FT119" s="336"/>
      <c r="FU119" s="336"/>
      <c r="FV119" s="336"/>
      <c r="FW119" s="336"/>
      <c r="FX119" s="336"/>
      <c r="FY119" s="336"/>
      <c r="FZ119" s="336"/>
      <c r="GA119" s="336"/>
      <c r="GB119" s="336"/>
      <c r="GC119" s="336"/>
      <c r="GD119" s="336"/>
      <c r="GE119" s="336"/>
      <c r="GF119" s="336"/>
      <c r="GG119" s="336"/>
      <c r="GH119" s="336"/>
      <c r="GI119" s="336"/>
      <c r="GJ119" s="336"/>
      <c r="GK119" s="336"/>
      <c r="GL119" s="336"/>
      <c r="GM119" s="336"/>
      <c r="GN119" s="336"/>
      <c r="GO119" s="336"/>
      <c r="GP119" s="336"/>
      <c r="GQ119" s="336"/>
      <c r="GR119" s="336"/>
      <c r="GS119" s="336"/>
      <c r="GT119" s="336"/>
      <c r="GU119" s="336"/>
      <c r="GV119" s="336"/>
      <c r="GW119" s="336"/>
      <c r="GX119" s="336"/>
      <c r="GY119" s="336"/>
      <c r="GZ119" s="336"/>
      <c r="HA119" s="336"/>
      <c r="HB119" s="336"/>
      <c r="HC119" s="336"/>
      <c r="HD119" s="336"/>
      <c r="HE119" s="336"/>
      <c r="HF119" s="336"/>
      <c r="HG119" s="336"/>
      <c r="HH119" s="336"/>
      <c r="HI119" s="140"/>
      <c r="HJ119" s="336"/>
      <c r="HK119" s="336"/>
      <c r="HL119" s="336"/>
      <c r="HM119" s="336"/>
      <c r="HN119" s="336"/>
      <c r="HO119" s="336"/>
      <c r="HP119" s="336"/>
      <c r="HQ119" s="336"/>
      <c r="HR119" s="336"/>
      <c r="HS119" s="336"/>
      <c r="HT119" s="336"/>
      <c r="HU119" s="336"/>
      <c r="HV119" s="336"/>
      <c r="HW119" s="336"/>
      <c r="HX119" s="336"/>
      <c r="HY119" s="336"/>
      <c r="HZ119" s="336"/>
      <c r="IA119" s="336"/>
      <c r="IB119" s="336"/>
      <c r="IC119" s="336"/>
      <c r="ID119" s="336"/>
      <c r="IE119" s="336"/>
      <c r="IF119" s="336"/>
      <c r="IG119" s="336"/>
      <c r="IH119" s="336"/>
      <c r="II119" s="336"/>
      <c r="IJ119" s="336"/>
      <c r="IK119" s="342"/>
      <c r="IL119" s="336"/>
      <c r="IM119" s="336"/>
      <c r="IN119" s="341"/>
      <c r="IO119" s="336"/>
      <c r="IP119" s="336"/>
      <c r="IQ119" s="336"/>
      <c r="IR119" s="336"/>
      <c r="IS119" s="336"/>
      <c r="IT119" s="336"/>
      <c r="IU119" s="341"/>
      <c r="IV119" s="341"/>
      <c r="IW119" s="341"/>
      <c r="IX119" s="336"/>
      <c r="IY119" s="336"/>
      <c r="IZ119" s="336"/>
      <c r="JA119" s="336"/>
      <c r="JB119" s="336"/>
      <c r="JC119" s="336"/>
      <c r="JD119" s="336"/>
      <c r="JE119" s="336"/>
      <c r="JF119" s="336"/>
      <c r="JG119" s="336"/>
      <c r="JH119" s="336"/>
      <c r="JI119" s="336"/>
      <c r="JJ119" s="336"/>
      <c r="JK119" s="336"/>
      <c r="JL119" s="336"/>
      <c r="JM119" s="336"/>
      <c r="JN119" s="336"/>
      <c r="JO119" s="336"/>
      <c r="JP119" s="336"/>
      <c r="JQ119" s="336"/>
      <c r="JR119" s="336"/>
      <c r="JS119" s="336"/>
      <c r="JT119" s="336"/>
      <c r="JU119" s="336"/>
      <c r="JV119" s="336"/>
      <c r="JW119" s="336"/>
      <c r="JX119" s="336"/>
      <c r="JY119" s="336"/>
      <c r="JZ119" s="336"/>
      <c r="KA119" s="336"/>
      <c r="KB119" s="336"/>
      <c r="KC119" s="336"/>
      <c r="KD119" s="336"/>
      <c r="KE119" s="336"/>
      <c r="KF119" s="336"/>
      <c r="KG119" s="336"/>
      <c r="KH119" s="336"/>
      <c r="KI119" s="336"/>
      <c r="KJ119" s="336"/>
      <c r="KK119" s="336"/>
      <c r="KL119" s="336"/>
      <c r="KM119" s="336"/>
      <c r="KN119" s="336"/>
      <c r="KO119" s="336"/>
      <c r="KP119" s="336"/>
      <c r="KQ119" s="336"/>
      <c r="KR119" s="336"/>
      <c r="KS119" s="336"/>
      <c r="KT119" s="335"/>
      <c r="KU119" s="335"/>
      <c r="KV119" s="335"/>
      <c r="KY119" s="332">
        <v>0.44</v>
      </c>
      <c r="LA119" s="332">
        <v>35.0625</v>
      </c>
      <c r="LB119" s="332">
        <v>0.44</v>
      </c>
      <c r="LD119" s="332">
        <v>41.313000000000002</v>
      </c>
      <c r="LE119" s="332">
        <v>0.433</v>
      </c>
    </row>
    <row r="120" spans="1:412">
      <c r="A120" s="295"/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6"/>
      <c r="Z120" s="336"/>
      <c r="AA120" s="336"/>
      <c r="AB120" s="336"/>
      <c r="AC120" s="336"/>
      <c r="AD120" s="336"/>
      <c r="AE120" s="336"/>
      <c r="AF120" s="336"/>
      <c r="AG120" s="336"/>
      <c r="AH120" s="336"/>
      <c r="AI120" s="336"/>
      <c r="AJ120" s="336"/>
      <c r="AK120" s="336"/>
      <c r="AL120" s="336"/>
      <c r="AM120" s="336"/>
      <c r="AN120" s="336"/>
      <c r="AO120" s="336"/>
      <c r="AP120" s="336"/>
      <c r="AQ120" s="336"/>
      <c r="AR120" s="336"/>
      <c r="AS120" s="336"/>
      <c r="AT120" s="336"/>
      <c r="AU120" s="336"/>
      <c r="AV120" s="336"/>
      <c r="AW120" s="336"/>
      <c r="AX120" s="336"/>
      <c r="AY120" s="360"/>
      <c r="AZ120" s="360"/>
      <c r="BA120" s="360"/>
      <c r="BB120" s="360"/>
      <c r="BC120" s="360"/>
      <c r="BD120" s="360"/>
      <c r="BE120" s="360"/>
      <c r="BF120" s="360"/>
      <c r="BG120" s="360"/>
      <c r="BH120" s="360"/>
      <c r="BI120" s="360"/>
      <c r="BJ120" s="360"/>
      <c r="BK120" s="350"/>
      <c r="BL120" s="350"/>
      <c r="BM120" s="350"/>
      <c r="BN120" s="350"/>
      <c r="BO120" s="350"/>
      <c r="BP120" s="350"/>
      <c r="BQ120" s="350"/>
      <c r="BR120" s="350"/>
      <c r="BS120" s="350"/>
      <c r="BT120" s="350"/>
      <c r="BU120" s="350"/>
      <c r="BV120" s="350"/>
      <c r="BW120" s="350"/>
      <c r="BX120" s="350"/>
      <c r="BY120" s="350"/>
      <c r="BZ120" s="336"/>
      <c r="CA120" s="336"/>
      <c r="CB120" s="336"/>
      <c r="CC120" s="336"/>
      <c r="CD120" s="336"/>
      <c r="CE120" s="336"/>
      <c r="CF120" s="336"/>
      <c r="CG120" s="336"/>
      <c r="CH120" s="336"/>
      <c r="CI120" s="350"/>
      <c r="CJ120" s="350"/>
      <c r="CK120" s="350"/>
      <c r="CL120" s="350"/>
      <c r="CM120" s="350"/>
      <c r="CN120" s="350"/>
      <c r="CO120" s="336"/>
      <c r="CP120" s="336"/>
      <c r="CQ120" s="336"/>
      <c r="CR120" s="336"/>
      <c r="CS120" s="336"/>
      <c r="CT120" s="336"/>
      <c r="CU120" s="336"/>
      <c r="CV120" s="336"/>
      <c r="CW120" s="336"/>
      <c r="CX120" s="336"/>
      <c r="CY120" s="336"/>
      <c r="CZ120" s="336"/>
      <c r="DA120" s="336"/>
      <c r="DB120" s="336"/>
      <c r="DC120" s="336"/>
      <c r="DD120" s="336"/>
      <c r="DE120" s="336"/>
      <c r="DF120" s="336"/>
      <c r="DG120" s="336"/>
      <c r="DH120" s="336"/>
      <c r="DI120" s="336"/>
      <c r="DJ120" s="336"/>
      <c r="DK120" s="336"/>
      <c r="DL120" s="336"/>
      <c r="DM120" s="336"/>
      <c r="DN120" s="336"/>
      <c r="DO120" s="336"/>
      <c r="DP120" s="336"/>
      <c r="DQ120" s="336"/>
      <c r="DR120" s="336"/>
      <c r="DS120" s="336"/>
      <c r="DT120" s="336"/>
      <c r="DU120" s="336"/>
      <c r="DV120" s="336"/>
      <c r="DW120" s="336"/>
      <c r="DX120" s="336"/>
      <c r="DY120" s="336"/>
      <c r="DZ120" s="336"/>
      <c r="EA120" s="336"/>
      <c r="EB120" s="341"/>
      <c r="EC120" s="341"/>
      <c r="ED120" s="341"/>
      <c r="EE120" s="336"/>
      <c r="EF120" s="336"/>
      <c r="EG120" s="336"/>
      <c r="EH120" s="336"/>
      <c r="EI120" s="336"/>
      <c r="EJ120" s="336"/>
      <c r="EK120" s="336"/>
      <c r="EL120" s="336"/>
      <c r="EM120" s="336"/>
      <c r="EN120" s="336"/>
      <c r="EO120" s="336"/>
      <c r="EP120" s="336"/>
      <c r="EQ120" s="336"/>
      <c r="ER120" s="336"/>
      <c r="ES120" s="336"/>
      <c r="ET120" s="336"/>
      <c r="EU120" s="336"/>
      <c r="EV120" s="336"/>
      <c r="EW120" s="336"/>
      <c r="EX120" s="336"/>
      <c r="EY120" s="336"/>
      <c r="EZ120" s="336"/>
      <c r="FA120" s="336"/>
      <c r="FB120" s="336"/>
      <c r="FC120" s="336"/>
      <c r="FD120" s="336"/>
      <c r="FE120" s="336"/>
      <c r="FF120" s="336"/>
      <c r="FG120" s="336"/>
      <c r="FH120" s="336"/>
      <c r="FI120" s="336"/>
      <c r="FJ120" s="336"/>
      <c r="FK120" s="336"/>
      <c r="FL120" s="336"/>
      <c r="FM120" s="336"/>
      <c r="FN120" s="336"/>
      <c r="FO120" s="336"/>
      <c r="FP120" s="336"/>
      <c r="FQ120" s="336"/>
      <c r="FR120" s="336"/>
      <c r="FS120" s="336"/>
      <c r="FT120" s="336"/>
      <c r="FU120" s="336"/>
      <c r="FV120" s="336"/>
      <c r="FW120" s="336"/>
      <c r="FX120" s="336"/>
      <c r="FY120" s="336"/>
      <c r="FZ120" s="336"/>
      <c r="GA120" s="336"/>
      <c r="GB120" s="336"/>
      <c r="GC120" s="336"/>
      <c r="GD120" s="336"/>
      <c r="GE120" s="336"/>
      <c r="GF120" s="336"/>
      <c r="GG120" s="336"/>
      <c r="GH120" s="336"/>
      <c r="GI120" s="336"/>
      <c r="GJ120" s="336"/>
      <c r="GK120" s="336"/>
      <c r="GL120" s="336"/>
      <c r="GM120" s="336"/>
      <c r="GN120" s="336"/>
      <c r="GO120" s="336"/>
      <c r="GP120" s="336"/>
      <c r="GQ120" s="336"/>
      <c r="GR120" s="336"/>
      <c r="GS120" s="336"/>
      <c r="GT120" s="336"/>
      <c r="GU120" s="336"/>
      <c r="GV120" s="336"/>
      <c r="GW120" s="336"/>
      <c r="GX120" s="336"/>
      <c r="GY120" s="336"/>
      <c r="GZ120" s="336"/>
      <c r="HA120" s="336"/>
      <c r="HB120" s="336"/>
      <c r="HC120" s="336"/>
      <c r="HD120" s="336"/>
      <c r="HE120" s="336"/>
      <c r="HF120" s="336"/>
      <c r="HG120" s="336"/>
      <c r="HH120" s="336"/>
      <c r="HI120" s="140"/>
      <c r="HJ120" s="336"/>
      <c r="HK120" s="336"/>
      <c r="HL120" s="336"/>
      <c r="HM120" s="336"/>
      <c r="HN120" s="336"/>
      <c r="HO120" s="336"/>
      <c r="HP120" s="336"/>
      <c r="HQ120" s="336"/>
      <c r="HR120" s="336"/>
      <c r="HS120" s="336"/>
      <c r="HT120" s="336"/>
      <c r="HU120" s="336"/>
      <c r="HV120" s="336"/>
      <c r="HW120" s="336"/>
      <c r="HX120" s="336"/>
      <c r="HY120" s="336"/>
      <c r="HZ120" s="336"/>
      <c r="IA120" s="336"/>
      <c r="IB120" s="336"/>
      <c r="IC120" s="336"/>
      <c r="ID120" s="336"/>
      <c r="IE120" s="336"/>
      <c r="IF120" s="336"/>
      <c r="IG120" s="336"/>
      <c r="IH120" s="336"/>
      <c r="II120" s="336"/>
      <c r="IJ120" s="336"/>
      <c r="IK120" s="342"/>
      <c r="IL120" s="336"/>
      <c r="IM120" s="336"/>
      <c r="IN120" s="341"/>
      <c r="IO120" s="336"/>
      <c r="IP120" s="336"/>
      <c r="IQ120" s="336"/>
      <c r="IR120" s="336"/>
      <c r="IS120" s="336"/>
      <c r="IT120" s="336"/>
      <c r="IU120" s="341"/>
      <c r="IV120" s="341"/>
      <c r="IW120" s="341"/>
      <c r="IX120" s="336"/>
      <c r="IY120" s="336"/>
      <c r="IZ120" s="336"/>
      <c r="JA120" s="336"/>
      <c r="JB120" s="336"/>
      <c r="JC120" s="336"/>
      <c r="JD120" s="336"/>
      <c r="JE120" s="336"/>
      <c r="JF120" s="336"/>
      <c r="JG120" s="336"/>
      <c r="JH120" s="336"/>
      <c r="JI120" s="336"/>
      <c r="JJ120" s="336"/>
      <c r="JK120" s="336"/>
      <c r="JL120" s="336"/>
      <c r="JM120" s="336"/>
      <c r="JN120" s="336"/>
      <c r="JO120" s="336"/>
      <c r="JP120" s="336"/>
      <c r="JQ120" s="336"/>
      <c r="JR120" s="336"/>
      <c r="JS120" s="336"/>
      <c r="JT120" s="336"/>
      <c r="JU120" s="336"/>
      <c r="JV120" s="336"/>
      <c r="JW120" s="336"/>
      <c r="JX120" s="336"/>
      <c r="JY120" s="336"/>
      <c r="JZ120" s="336"/>
      <c r="KA120" s="336"/>
      <c r="KB120" s="336"/>
      <c r="KC120" s="336"/>
      <c r="KD120" s="336"/>
      <c r="KE120" s="336"/>
      <c r="KF120" s="336"/>
      <c r="KG120" s="336"/>
      <c r="KH120" s="336"/>
      <c r="KI120" s="336"/>
      <c r="KJ120" s="336"/>
      <c r="KK120" s="336"/>
      <c r="KL120" s="336"/>
      <c r="KM120" s="336"/>
      <c r="KN120" s="336"/>
      <c r="KO120" s="336"/>
      <c r="KP120" s="336"/>
      <c r="KQ120" s="336"/>
      <c r="KR120" s="336"/>
      <c r="KS120" s="336"/>
      <c r="KT120" s="335"/>
      <c r="KU120" s="335"/>
      <c r="KV120" s="335"/>
    </row>
    <row r="121" spans="1:412">
      <c r="A121" s="295"/>
      <c r="AY121" s="360"/>
      <c r="AZ121" s="360"/>
      <c r="BA121" s="360"/>
      <c r="BB121" s="360"/>
      <c r="BC121" s="360"/>
      <c r="BD121" s="360"/>
      <c r="BE121" s="360"/>
      <c r="BF121" s="360"/>
      <c r="BG121" s="360"/>
      <c r="BH121" s="360"/>
      <c r="BI121" s="360"/>
      <c r="BJ121" s="360"/>
      <c r="BK121" s="350"/>
      <c r="BL121" s="350"/>
      <c r="BM121" s="350"/>
      <c r="BN121" s="350"/>
      <c r="BO121" s="350"/>
      <c r="BP121" s="350"/>
      <c r="BQ121" s="350"/>
      <c r="BR121" s="350"/>
      <c r="BS121" s="350"/>
      <c r="BT121" s="350"/>
      <c r="BU121" s="350"/>
      <c r="BV121" s="350"/>
      <c r="BW121" s="350"/>
      <c r="BX121" s="350"/>
      <c r="BY121" s="350"/>
      <c r="BZ121" s="336"/>
      <c r="CA121" s="336"/>
      <c r="CB121" s="336"/>
      <c r="CC121" s="336"/>
      <c r="CD121" s="336"/>
      <c r="CE121" s="336"/>
      <c r="CF121" s="336"/>
      <c r="CG121" s="336"/>
      <c r="CH121" s="336"/>
      <c r="CI121" s="350"/>
      <c r="CJ121" s="350"/>
      <c r="CK121" s="350"/>
      <c r="CL121" s="350"/>
      <c r="CM121" s="350"/>
      <c r="CN121" s="350"/>
      <c r="DS121" s="333"/>
      <c r="DT121" s="333"/>
      <c r="DU121" s="333"/>
      <c r="EB121" s="335"/>
      <c r="EC121" s="335"/>
      <c r="ED121" s="335"/>
      <c r="EE121" s="333"/>
      <c r="EF121" s="333"/>
      <c r="EG121" s="333"/>
      <c r="EQ121" s="333"/>
      <c r="ER121" s="333"/>
      <c r="ES121" s="333"/>
      <c r="FF121" s="336"/>
      <c r="FG121" s="336"/>
      <c r="FH121" s="336"/>
      <c r="FI121" s="333"/>
      <c r="FJ121" s="333"/>
      <c r="FK121" s="333"/>
      <c r="FL121" s="333"/>
      <c r="FM121" s="333"/>
      <c r="FN121" s="333"/>
      <c r="FO121" s="333"/>
      <c r="FP121" s="333"/>
      <c r="FQ121" s="333"/>
      <c r="FR121" s="333"/>
      <c r="FS121" s="333"/>
      <c r="FT121" s="333"/>
      <c r="FU121" s="333"/>
      <c r="FV121" s="333"/>
      <c r="FW121" s="333"/>
      <c r="FX121" s="333"/>
      <c r="FY121" s="333"/>
      <c r="FZ121" s="333"/>
      <c r="GA121" s="333"/>
      <c r="GB121" s="333"/>
      <c r="GC121" s="333"/>
      <c r="GD121" s="333"/>
      <c r="GE121" s="333"/>
      <c r="GF121" s="333"/>
      <c r="GG121" s="333"/>
      <c r="GH121" s="333"/>
      <c r="GI121" s="333"/>
      <c r="GJ121" s="333"/>
      <c r="GK121" s="333"/>
      <c r="GL121" s="333"/>
      <c r="GM121" s="333"/>
      <c r="GN121" s="333"/>
      <c r="GO121" s="333"/>
      <c r="GP121" s="333"/>
      <c r="GQ121" s="333"/>
      <c r="GR121" s="333"/>
      <c r="GV121" s="333"/>
      <c r="GW121" s="333"/>
      <c r="GX121" s="333"/>
      <c r="GY121" s="333"/>
      <c r="GZ121" s="333"/>
      <c r="HA121" s="333"/>
      <c r="HI121" s="291"/>
      <c r="HW121" s="333"/>
      <c r="HX121" s="333"/>
      <c r="HY121" s="333"/>
      <c r="IK121" s="334"/>
      <c r="IL121" s="333"/>
      <c r="IM121" s="333"/>
      <c r="IN121" s="335"/>
      <c r="IO121" s="333"/>
      <c r="IP121" s="333"/>
      <c r="IQ121" s="333"/>
      <c r="IU121" s="335"/>
      <c r="IV121" s="335"/>
      <c r="IW121" s="335"/>
      <c r="IX121" s="333"/>
      <c r="IY121" s="333"/>
      <c r="IZ121" s="333"/>
      <c r="JA121" s="333"/>
      <c r="JB121" s="333"/>
      <c r="JC121" s="333"/>
      <c r="JS121" s="333"/>
      <c r="JT121" s="333"/>
      <c r="JU121" s="333"/>
    </row>
    <row r="122" spans="1:412">
      <c r="A122" s="295"/>
      <c r="DS122" s="333"/>
      <c r="DT122" s="333"/>
      <c r="DU122" s="333"/>
      <c r="EE122" s="333"/>
      <c r="EF122" s="333"/>
      <c r="EG122" s="333"/>
      <c r="EQ122" s="333"/>
      <c r="ER122" s="333"/>
      <c r="ES122" s="333"/>
      <c r="FF122" s="336"/>
      <c r="FG122" s="336"/>
      <c r="FH122" s="336"/>
      <c r="FI122" s="333"/>
      <c r="FJ122" s="333"/>
      <c r="FK122" s="333"/>
      <c r="FL122" s="333"/>
      <c r="FM122" s="333"/>
      <c r="FN122" s="333"/>
      <c r="FO122" s="333"/>
      <c r="FP122" s="333"/>
      <c r="FQ122" s="333"/>
      <c r="FR122" s="333"/>
      <c r="FS122" s="333"/>
      <c r="FT122" s="333"/>
      <c r="FU122" s="333"/>
      <c r="FV122" s="333"/>
      <c r="FW122" s="333"/>
      <c r="FX122" s="333"/>
      <c r="FY122" s="333"/>
      <c r="FZ122" s="333"/>
      <c r="GA122" s="333"/>
      <c r="GB122" s="333"/>
      <c r="GC122" s="333"/>
      <c r="GD122" s="333"/>
      <c r="GE122" s="333"/>
      <c r="GF122" s="333"/>
      <c r="GG122" s="333"/>
      <c r="GH122" s="333"/>
      <c r="GI122" s="333"/>
      <c r="GJ122" s="333"/>
      <c r="GK122" s="333"/>
      <c r="GL122" s="333"/>
      <c r="GM122" s="333"/>
      <c r="GN122" s="333"/>
      <c r="GO122" s="333"/>
      <c r="GP122" s="333"/>
      <c r="GQ122" s="333"/>
      <c r="GR122" s="333"/>
      <c r="GV122" s="333"/>
      <c r="GW122" s="333"/>
      <c r="GX122" s="333"/>
      <c r="GY122" s="333"/>
      <c r="GZ122" s="333"/>
      <c r="HA122" s="333"/>
      <c r="HI122" s="291"/>
      <c r="HW122" s="333"/>
      <c r="HX122" s="333"/>
      <c r="HY122" s="333"/>
      <c r="IK122" s="334"/>
      <c r="IL122" s="333"/>
      <c r="IM122" s="333"/>
      <c r="IN122" s="335"/>
      <c r="IO122" s="333"/>
      <c r="IP122" s="333"/>
      <c r="IQ122" s="333"/>
      <c r="IU122" s="335"/>
      <c r="IV122" s="335"/>
      <c r="IW122" s="335"/>
      <c r="IX122" s="333"/>
      <c r="IY122" s="333"/>
      <c r="IZ122" s="333"/>
      <c r="JA122" s="333"/>
      <c r="JB122" s="333"/>
      <c r="JC122" s="333"/>
      <c r="JS122" s="333"/>
      <c r="JT122" s="333"/>
      <c r="JU122" s="333"/>
      <c r="KT122" s="335">
        <f t="shared" ref="KT122:LF122" si="38">SUM(KT10:KT112)</f>
        <v>11077.628708999999</v>
      </c>
      <c r="KU122" s="344">
        <f t="shared" si="38"/>
        <v>2209.4625000000005</v>
      </c>
      <c r="KV122" s="335">
        <f t="shared" si="38"/>
        <v>28.703857999999986</v>
      </c>
      <c r="KW122" s="332">
        <f t="shared" si="38"/>
        <v>11600.407130000003</v>
      </c>
      <c r="KX122" s="332">
        <f t="shared" si="38"/>
        <v>2551.2525000000001</v>
      </c>
      <c r="KY122" s="332">
        <f t="shared" si="38"/>
        <v>30.189657999999987</v>
      </c>
      <c r="KZ122" s="332">
        <f t="shared" si="38"/>
        <v>11412.433790000003</v>
      </c>
      <c r="LA122" s="332">
        <f t="shared" si="38"/>
        <v>2437.8187500000004</v>
      </c>
      <c r="LB122" s="332">
        <f t="shared" si="38"/>
        <v>31.476857999999993</v>
      </c>
      <c r="LC122" s="332">
        <f t="shared" si="38"/>
        <v>11294.303790000002</v>
      </c>
      <c r="LD122" s="332">
        <f t="shared" si="38"/>
        <v>2827.4726666666684</v>
      </c>
      <c r="LE122" s="332">
        <f t="shared" si="38"/>
        <v>31.353806999999993</v>
      </c>
      <c r="LF122" s="332">
        <f t="shared" si="38"/>
        <v>10762.358199999997</v>
      </c>
      <c r="LI122" s="332">
        <f>SUM(LI10:LI112)</f>
        <v>10462.858199999995</v>
      </c>
      <c r="NU122" s="332">
        <v>29.060861111111102</v>
      </c>
      <c r="NX122" s="332">
        <v>27.064133986928098</v>
      </c>
    </row>
    <row r="123" spans="1:412">
      <c r="A123" s="295"/>
      <c r="DS123" s="333"/>
      <c r="DT123" s="333"/>
      <c r="DU123" s="333"/>
      <c r="EE123" s="333"/>
      <c r="EF123" s="333"/>
      <c r="EG123" s="333"/>
      <c r="EQ123" s="333"/>
      <c r="ER123" s="333"/>
      <c r="ES123" s="333"/>
      <c r="FF123" s="336"/>
      <c r="FG123" s="336"/>
      <c r="FH123" s="336"/>
      <c r="FI123" s="333"/>
      <c r="FJ123" s="333"/>
      <c r="FK123" s="333"/>
      <c r="FL123" s="333"/>
      <c r="FM123" s="333"/>
      <c r="FN123" s="333"/>
      <c r="FO123" s="333"/>
      <c r="FP123" s="333"/>
      <c r="FQ123" s="333"/>
      <c r="FR123" s="333"/>
      <c r="FS123" s="333"/>
      <c r="FT123" s="333"/>
      <c r="FU123" s="333"/>
      <c r="FV123" s="333"/>
      <c r="FW123" s="333"/>
      <c r="FX123" s="333"/>
      <c r="FY123" s="333"/>
      <c r="FZ123" s="333"/>
      <c r="GA123" s="333"/>
      <c r="GB123" s="333"/>
      <c r="GC123" s="333"/>
      <c r="GD123" s="333"/>
      <c r="GE123" s="333"/>
      <c r="GF123" s="333"/>
      <c r="GG123" s="333"/>
      <c r="GH123" s="333"/>
      <c r="GI123" s="333"/>
      <c r="GJ123" s="333"/>
      <c r="GK123" s="333"/>
      <c r="GL123" s="333"/>
      <c r="GM123" s="333"/>
      <c r="GN123" s="333"/>
      <c r="GO123" s="333"/>
      <c r="GP123" s="333"/>
      <c r="GQ123" s="333"/>
      <c r="GR123" s="333"/>
      <c r="GV123" s="333"/>
      <c r="GW123" s="333"/>
      <c r="GX123" s="333"/>
      <c r="GY123" s="333"/>
      <c r="GZ123" s="333"/>
      <c r="HA123" s="333"/>
      <c r="HI123" s="291"/>
      <c r="HW123" s="333"/>
      <c r="HX123" s="333"/>
      <c r="HY123" s="333"/>
      <c r="IK123" s="334"/>
      <c r="IL123" s="333"/>
      <c r="IM123" s="333"/>
      <c r="IN123" s="335"/>
      <c r="IO123" s="333"/>
      <c r="IP123" s="333"/>
      <c r="IQ123" s="333"/>
      <c r="IU123" s="335"/>
      <c r="IV123" s="335"/>
      <c r="IW123" s="335"/>
      <c r="IX123" s="333"/>
      <c r="IY123" s="333"/>
      <c r="IZ123" s="333"/>
      <c r="JA123" s="333"/>
      <c r="JB123" s="333"/>
      <c r="JC123" s="333"/>
      <c r="JS123" s="333"/>
      <c r="JT123" s="333"/>
      <c r="JU123" s="333"/>
      <c r="MB123" s="332">
        <v>25.826726190476101</v>
      </c>
      <c r="MC123" s="332">
        <v>0.39070578231292502</v>
      </c>
      <c r="MG123" s="332">
        <v>96.128410204081604</v>
      </c>
      <c r="MH123" s="332">
        <v>26.218095238095199</v>
      </c>
      <c r="MI123" s="332">
        <v>0.39236394557823101</v>
      </c>
      <c r="MJ123" s="332">
        <v>96.008093877551005</v>
      </c>
      <c r="MK123" s="332">
        <v>26.174498299319701</v>
      </c>
      <c r="ML123" s="332">
        <v>0.389872448979591</v>
      </c>
      <c r="MM123" s="332">
        <v>95.534300000000002</v>
      </c>
      <c r="MN123" s="332">
        <v>26.690025510203998</v>
      </c>
      <c r="MO123" s="332">
        <v>0.390017006802721</v>
      </c>
      <c r="MP123" s="332">
        <v>94.053529591836707</v>
      </c>
      <c r="MQ123" s="332">
        <v>25.2929931972789</v>
      </c>
      <c r="MR123" s="332">
        <v>0.39026360544217598</v>
      </c>
      <c r="MS123" s="332">
        <v>93.405741717171693</v>
      </c>
      <c r="MT123" s="332">
        <v>23.787819865319801</v>
      </c>
      <c r="MU123" s="332">
        <v>0.38994528619528601</v>
      </c>
      <c r="MV123" s="332">
        <v>93.404786868686799</v>
      </c>
      <c r="MW123" s="332">
        <v>22.768047138047098</v>
      </c>
      <c r="MX123" s="332">
        <v>0.38944865319865302</v>
      </c>
      <c r="MY123" s="332">
        <v>93.116365656565605</v>
      </c>
      <c r="MZ123" s="332">
        <v>22.076182659932599</v>
      </c>
      <c r="NA123" s="332">
        <v>0.38763047138047102</v>
      </c>
      <c r="NB123" s="332">
        <v>92.747162000000003</v>
      </c>
      <c r="NC123" s="332">
        <v>22.300034013605401</v>
      </c>
      <c r="ND123" s="332">
        <v>0.38852500000000001</v>
      </c>
      <c r="NE123" s="332">
        <v>92.909961999999993</v>
      </c>
      <c r="NF123" s="332">
        <v>21.837174999999998</v>
      </c>
      <c r="NG123" s="332">
        <v>0.39067000000000002</v>
      </c>
      <c r="NH123" s="332">
        <v>92.670856000000001</v>
      </c>
      <c r="NI123" s="332">
        <v>24.1315833333333</v>
      </c>
      <c r="NJ123" s="332">
        <v>0.39067000000000002</v>
      </c>
      <c r="NK123" s="332">
        <v>92.314500990099006</v>
      </c>
      <c r="NL123" s="332">
        <v>26.6825825082508</v>
      </c>
      <c r="NM123" s="332">
        <v>0.386658415841584</v>
      </c>
      <c r="NN123" s="332">
        <v>92.314500990099006</v>
      </c>
      <c r="NO123" s="332">
        <v>28.961608333333299</v>
      </c>
      <c r="NP123" s="332">
        <v>0.38362046204620398</v>
      </c>
      <c r="NQ123" s="332">
        <v>91.896510396039602</v>
      </c>
      <c r="NR123" s="332">
        <v>28.002929042904199</v>
      </c>
      <c r="NS123" s="332">
        <v>0.38155940594059401</v>
      </c>
      <c r="NT123" s="332">
        <v>91.441153960395994</v>
      </c>
      <c r="NU123" s="332">
        <v>27.7003712871287</v>
      </c>
      <c r="NV123" s="332">
        <v>0.38075247524752398</v>
      </c>
      <c r="NW123" s="332">
        <v>89.956360891089105</v>
      </c>
      <c r="NX123" s="332">
        <v>25.796023102310201</v>
      </c>
      <c r="NY123" s="332">
        <v>0.381254125412541</v>
      </c>
      <c r="NZ123" s="332">
        <v>89.956360891089105</v>
      </c>
      <c r="OA123" s="332">
        <v>25.808688118811801</v>
      </c>
      <c r="OB123" s="332">
        <v>0.37884653465346502</v>
      </c>
      <c r="OC123" s="332">
        <v>89.682603960395994</v>
      </c>
      <c r="OD123" s="332">
        <v>24.860132013201302</v>
      </c>
      <c r="OE123" s="332">
        <v>0.37980693069306898</v>
      </c>
      <c r="OF123" s="332">
        <v>88.731234701960702</v>
      </c>
      <c r="OG123" s="332">
        <v>24.344584909987301</v>
      </c>
      <c r="OH123" s="332">
        <v>0.37733147820531698</v>
      </c>
      <c r="OI123" s="332">
        <v>87.823384211764704</v>
      </c>
      <c r="OJ123" s="332">
        <v>25.513451213818801</v>
      </c>
      <c r="OK123" s="332">
        <v>0.37487413795927699</v>
      </c>
      <c r="OL123" s="332">
        <v>87.626654799999997</v>
      </c>
      <c r="OM123" s="332">
        <v>24.183883933690399</v>
      </c>
      <c r="ON123" s="332">
        <v>0.370160085671695</v>
      </c>
      <c r="OO123" s="332">
        <v>87.490982741176396</v>
      </c>
      <c r="OP123" s="332">
        <v>22.3826785100004</v>
      </c>
      <c r="OQ123" s="332">
        <v>0.36462795059544201</v>
      </c>
      <c r="OR123" s="332">
        <v>87.365138133333303</v>
      </c>
      <c r="OS123" s="332">
        <v>23.314315199764099</v>
      </c>
      <c r="OT123" s="332">
        <v>0.36906259111831802</v>
      </c>
      <c r="OU123" s="332">
        <v>86.740340211764703</v>
      </c>
      <c r="OV123" s="332">
        <v>21.552963802480001</v>
      </c>
    </row>
    <row r="124" spans="1:412">
      <c r="A124" s="295"/>
      <c r="DS124" s="333"/>
      <c r="DT124" s="333"/>
      <c r="DU124" s="333"/>
      <c r="EE124" s="333"/>
      <c r="EF124" s="333"/>
      <c r="EG124" s="333"/>
      <c r="EQ124" s="333"/>
      <c r="ER124" s="333"/>
      <c r="ES124" s="333"/>
      <c r="FF124" s="336"/>
      <c r="FG124" s="336"/>
      <c r="FH124" s="336"/>
      <c r="FI124" s="333"/>
      <c r="FJ124" s="333"/>
      <c r="FK124" s="333"/>
      <c r="FL124" s="333"/>
      <c r="FM124" s="333"/>
      <c r="FN124" s="333"/>
      <c r="FO124" s="333"/>
      <c r="FP124" s="333"/>
      <c r="FQ124" s="333"/>
      <c r="FR124" s="333"/>
      <c r="FS124" s="333"/>
      <c r="FT124" s="333"/>
      <c r="FU124" s="333"/>
      <c r="FV124" s="333"/>
      <c r="FW124" s="333"/>
      <c r="FX124" s="333"/>
      <c r="FY124" s="333"/>
      <c r="FZ124" s="333"/>
      <c r="GA124" s="333"/>
      <c r="GB124" s="333"/>
      <c r="GC124" s="333"/>
      <c r="GD124" s="333"/>
      <c r="GE124" s="333"/>
      <c r="GF124" s="333"/>
      <c r="GG124" s="333"/>
      <c r="GH124" s="333"/>
      <c r="GI124" s="333"/>
      <c r="GJ124" s="333"/>
      <c r="GK124" s="333"/>
      <c r="GL124" s="333"/>
      <c r="GM124" s="333"/>
      <c r="GN124" s="333"/>
      <c r="GO124" s="333"/>
      <c r="GP124" s="333"/>
      <c r="GQ124" s="333"/>
      <c r="GR124" s="333"/>
      <c r="GV124" s="333"/>
      <c r="GW124" s="333"/>
      <c r="GX124" s="333"/>
      <c r="GY124" s="333"/>
      <c r="GZ124" s="333"/>
      <c r="HA124" s="333"/>
      <c r="HI124" s="291"/>
      <c r="HW124" s="333"/>
      <c r="HX124" s="333"/>
      <c r="HY124" s="333"/>
      <c r="IK124" s="334"/>
      <c r="IL124" s="333"/>
      <c r="IM124" s="333"/>
      <c r="IN124" s="335"/>
      <c r="IO124" s="333"/>
      <c r="IP124" s="333"/>
      <c r="IQ124" s="333"/>
      <c r="IU124" s="335"/>
      <c r="IV124" s="335"/>
      <c r="IW124" s="335"/>
      <c r="IX124" s="333"/>
      <c r="IY124" s="333"/>
      <c r="IZ124" s="333"/>
      <c r="JA124" s="333"/>
      <c r="JB124" s="333"/>
      <c r="JC124" s="333"/>
      <c r="JS124" s="333"/>
      <c r="JT124" s="333"/>
      <c r="JU124" s="333"/>
    </row>
    <row r="125" spans="1:412">
      <c r="A125" s="295"/>
      <c r="DS125" s="333"/>
      <c r="DT125" s="333"/>
      <c r="DU125" s="333"/>
      <c r="EE125" s="333"/>
      <c r="EF125" s="333"/>
      <c r="EG125" s="333"/>
      <c r="EQ125" s="333"/>
      <c r="ER125" s="333"/>
      <c r="ES125" s="333"/>
      <c r="FF125" s="336"/>
      <c r="FG125" s="336"/>
      <c r="FH125" s="336"/>
      <c r="FI125" s="333"/>
      <c r="FJ125" s="333"/>
      <c r="FK125" s="333"/>
      <c r="FL125" s="333"/>
      <c r="FM125" s="333"/>
      <c r="FN125" s="333"/>
      <c r="FO125" s="333"/>
      <c r="FP125" s="333"/>
      <c r="FQ125" s="333"/>
      <c r="FR125" s="333"/>
      <c r="FS125" s="333"/>
      <c r="FT125" s="333"/>
      <c r="FU125" s="333"/>
      <c r="FV125" s="333"/>
      <c r="FW125" s="333"/>
      <c r="FX125" s="333"/>
      <c r="FY125" s="333"/>
      <c r="FZ125" s="333"/>
      <c r="GA125" s="333"/>
      <c r="GB125" s="333"/>
      <c r="GC125" s="333"/>
      <c r="GD125" s="333"/>
      <c r="GE125" s="333"/>
      <c r="GF125" s="333"/>
      <c r="GG125" s="333"/>
      <c r="GH125" s="333"/>
      <c r="GI125" s="333"/>
      <c r="GJ125" s="333"/>
      <c r="GK125" s="333"/>
      <c r="GL125" s="333"/>
      <c r="GM125" s="333"/>
      <c r="GN125" s="333"/>
      <c r="GO125" s="333"/>
      <c r="GP125" s="333"/>
      <c r="GQ125" s="333"/>
      <c r="GR125" s="333"/>
      <c r="GV125" s="333"/>
      <c r="GW125" s="333"/>
      <c r="GX125" s="333"/>
      <c r="GY125" s="333"/>
      <c r="GZ125" s="333"/>
      <c r="HA125" s="333"/>
      <c r="HI125" s="291"/>
      <c r="HW125" s="333"/>
      <c r="HX125" s="333"/>
      <c r="HY125" s="333"/>
      <c r="IK125" s="334"/>
      <c r="IL125" s="333"/>
      <c r="IM125" s="333"/>
      <c r="IN125" s="335"/>
      <c r="IO125" s="333"/>
      <c r="IP125" s="333"/>
      <c r="IQ125" s="333"/>
      <c r="IU125" s="335"/>
      <c r="IV125" s="335"/>
      <c r="IW125" s="335"/>
      <c r="IX125" s="333"/>
      <c r="IY125" s="333"/>
      <c r="IZ125" s="333"/>
      <c r="JA125" s="333"/>
      <c r="JB125" s="333"/>
      <c r="JC125" s="333"/>
      <c r="JS125" s="333"/>
      <c r="JT125" s="333"/>
      <c r="JU125" s="333"/>
    </row>
    <row r="126" spans="1:412">
      <c r="A126" s="295"/>
      <c r="DS126" s="333"/>
      <c r="DT126" s="333"/>
      <c r="DU126" s="333"/>
      <c r="EE126" s="333"/>
      <c r="EF126" s="333"/>
      <c r="EG126" s="333"/>
      <c r="EQ126" s="333"/>
      <c r="ER126" s="333"/>
      <c r="ES126" s="333"/>
      <c r="FF126" s="336"/>
      <c r="FG126" s="336"/>
      <c r="FH126" s="336"/>
      <c r="FI126" s="333"/>
      <c r="FJ126" s="333"/>
      <c r="FK126" s="333"/>
      <c r="FL126" s="333"/>
      <c r="FM126" s="333"/>
      <c r="FN126" s="333"/>
      <c r="FO126" s="333"/>
      <c r="FP126" s="333"/>
      <c r="FQ126" s="333"/>
      <c r="FR126" s="333"/>
      <c r="FS126" s="333"/>
      <c r="FT126" s="333"/>
      <c r="FU126" s="333"/>
      <c r="FV126" s="333"/>
      <c r="FW126" s="333"/>
      <c r="FX126" s="333"/>
      <c r="FY126" s="333"/>
      <c r="FZ126" s="333"/>
      <c r="GA126" s="333"/>
      <c r="GB126" s="333"/>
      <c r="GC126" s="333"/>
      <c r="GD126" s="333"/>
      <c r="GE126" s="333"/>
      <c r="GF126" s="333"/>
      <c r="GG126" s="333"/>
      <c r="GH126" s="333"/>
      <c r="GI126" s="333"/>
      <c r="GJ126" s="333"/>
      <c r="GK126" s="333"/>
      <c r="GL126" s="333"/>
      <c r="GM126" s="333"/>
      <c r="GN126" s="333"/>
      <c r="GO126" s="333"/>
      <c r="GP126" s="333"/>
      <c r="GQ126" s="333"/>
      <c r="GR126" s="333"/>
      <c r="GV126" s="333"/>
      <c r="GW126" s="333"/>
      <c r="GX126" s="333"/>
      <c r="GY126" s="333"/>
      <c r="GZ126" s="333"/>
      <c r="HA126" s="333"/>
      <c r="HI126" s="291"/>
      <c r="HW126" s="333"/>
      <c r="HX126" s="333"/>
      <c r="HY126" s="333"/>
      <c r="IK126" s="334"/>
      <c r="IL126" s="333"/>
      <c r="IM126" s="333"/>
      <c r="IN126" s="335"/>
      <c r="IO126" s="333"/>
      <c r="IP126" s="333"/>
      <c r="IQ126" s="333"/>
      <c r="IU126" s="335"/>
      <c r="IV126" s="335"/>
      <c r="IW126" s="335"/>
      <c r="IX126" s="333"/>
      <c r="IY126" s="333"/>
      <c r="IZ126" s="333"/>
      <c r="JA126" s="333"/>
      <c r="JB126" s="333"/>
      <c r="JC126" s="333"/>
      <c r="JS126" s="333"/>
      <c r="JT126" s="333"/>
      <c r="JU126" s="333"/>
    </row>
    <row r="127" spans="1:412">
      <c r="A127" s="295"/>
      <c r="DS127" s="333"/>
      <c r="DT127" s="333"/>
      <c r="DU127" s="333"/>
      <c r="EE127" s="333"/>
      <c r="EF127" s="333"/>
      <c r="EG127" s="333"/>
      <c r="EQ127" s="333"/>
      <c r="ER127" s="333"/>
      <c r="ES127" s="333"/>
      <c r="FF127" s="333"/>
      <c r="FG127" s="333"/>
      <c r="FH127" s="333"/>
      <c r="FI127" s="333"/>
      <c r="FJ127" s="333"/>
      <c r="FK127" s="333"/>
      <c r="FL127" s="333"/>
      <c r="FM127" s="333"/>
      <c r="FN127" s="333"/>
      <c r="FO127" s="333"/>
      <c r="FP127" s="333"/>
      <c r="FQ127" s="333"/>
      <c r="FR127" s="333"/>
      <c r="FS127" s="333"/>
      <c r="FT127" s="333"/>
      <c r="FU127" s="333"/>
      <c r="FV127" s="333"/>
      <c r="FW127" s="333"/>
      <c r="FX127" s="333"/>
      <c r="FY127" s="333"/>
      <c r="FZ127" s="333"/>
      <c r="GA127" s="333"/>
      <c r="GB127" s="333"/>
      <c r="GC127" s="333"/>
      <c r="GD127" s="333"/>
      <c r="GE127" s="333"/>
      <c r="GF127" s="333"/>
      <c r="GG127" s="333"/>
      <c r="GH127" s="333"/>
      <c r="GI127" s="333"/>
      <c r="GJ127" s="333"/>
      <c r="GK127" s="333"/>
      <c r="GL127" s="333"/>
      <c r="GM127" s="333"/>
      <c r="GN127" s="333"/>
      <c r="GO127" s="333"/>
      <c r="GP127" s="333"/>
      <c r="GQ127" s="333"/>
      <c r="GR127" s="333"/>
      <c r="GV127" s="333"/>
      <c r="GW127" s="333"/>
      <c r="GX127" s="333"/>
      <c r="GY127" s="333"/>
      <c r="GZ127" s="333"/>
      <c r="HA127" s="333"/>
      <c r="HI127" s="291"/>
      <c r="HW127" s="333"/>
      <c r="HX127" s="333"/>
      <c r="HY127" s="333"/>
      <c r="IK127" s="334"/>
      <c r="IL127" s="333"/>
      <c r="IM127" s="333"/>
      <c r="IN127" s="335"/>
      <c r="IO127" s="333"/>
      <c r="IP127" s="333"/>
      <c r="IQ127" s="333"/>
      <c r="IU127" s="335"/>
      <c r="IV127" s="335"/>
      <c r="IW127" s="335"/>
      <c r="IX127" s="333"/>
      <c r="IY127" s="333"/>
      <c r="IZ127" s="333"/>
      <c r="JA127" s="333"/>
      <c r="JB127" s="333"/>
      <c r="JC127" s="333"/>
      <c r="JS127" s="333"/>
      <c r="JT127" s="333"/>
      <c r="JU127" s="333"/>
      <c r="MA127" s="332">
        <v>9487.14</v>
      </c>
      <c r="MC127" s="332">
        <v>25.827000000000002</v>
      </c>
      <c r="MG127" s="332">
        <v>9420.5840000000007</v>
      </c>
      <c r="MJ127" s="332">
        <v>9408.7929999999997</v>
      </c>
      <c r="MM127" s="332">
        <v>9362.3610000000008</v>
      </c>
      <c r="MP127" s="332">
        <v>9217.2459999999992</v>
      </c>
      <c r="MS127" s="332">
        <v>9247.1679999999997</v>
      </c>
      <c r="MV127" s="332">
        <v>9247.0740000000005</v>
      </c>
      <c r="MY127" s="332">
        <v>9218.52</v>
      </c>
      <c r="NB127" s="332">
        <v>9274.7160000000003</v>
      </c>
      <c r="NC127" s="332">
        <v>21.853999999999999</v>
      </c>
    </row>
    <row r="128" spans="1:412">
      <c r="A128" s="295"/>
      <c r="DS128" s="333"/>
      <c r="DT128" s="333"/>
      <c r="DU128" s="333"/>
      <c r="EE128" s="333"/>
      <c r="EF128" s="333"/>
      <c r="EG128" s="333"/>
      <c r="EQ128" s="333"/>
      <c r="ER128" s="333"/>
      <c r="ES128" s="333"/>
      <c r="FF128" s="333"/>
      <c r="FG128" s="333"/>
      <c r="FH128" s="333"/>
      <c r="FI128" s="333"/>
      <c r="FJ128" s="333"/>
      <c r="FK128" s="333"/>
      <c r="FL128" s="333"/>
      <c r="FM128" s="333"/>
      <c r="FN128" s="333"/>
      <c r="FO128" s="333"/>
      <c r="FP128" s="333"/>
      <c r="FQ128" s="333"/>
      <c r="FR128" s="333"/>
      <c r="FS128" s="333"/>
      <c r="FT128" s="333"/>
      <c r="FU128" s="333"/>
      <c r="FV128" s="333"/>
      <c r="FW128" s="333"/>
      <c r="FX128" s="333"/>
      <c r="FY128" s="333"/>
      <c r="FZ128" s="333"/>
      <c r="GA128" s="333"/>
      <c r="GB128" s="333"/>
      <c r="GC128" s="333"/>
      <c r="GD128" s="333"/>
      <c r="GE128" s="333"/>
      <c r="GF128" s="333"/>
      <c r="GG128" s="333"/>
      <c r="GH128" s="333"/>
      <c r="GI128" s="333"/>
      <c r="GJ128" s="333"/>
      <c r="GK128" s="333"/>
      <c r="GL128" s="333"/>
      <c r="GM128" s="333"/>
      <c r="GN128" s="333"/>
      <c r="GO128" s="333"/>
      <c r="GP128" s="333"/>
      <c r="GQ128" s="333"/>
      <c r="GR128" s="333"/>
      <c r="GV128" s="333"/>
      <c r="GW128" s="333"/>
      <c r="GX128" s="333"/>
      <c r="GY128" s="333"/>
      <c r="GZ128" s="333"/>
      <c r="HA128" s="333"/>
      <c r="HI128" s="291"/>
      <c r="HW128" s="333"/>
      <c r="HX128" s="333"/>
      <c r="HY128" s="333"/>
      <c r="IK128" s="334"/>
      <c r="IL128" s="333"/>
      <c r="IM128" s="333"/>
      <c r="IN128" s="335"/>
      <c r="IO128" s="333"/>
      <c r="IP128" s="333"/>
      <c r="IQ128" s="333"/>
      <c r="IU128" s="335"/>
      <c r="IV128" s="335"/>
      <c r="IW128" s="335"/>
      <c r="IX128" s="333"/>
      <c r="IY128" s="333"/>
      <c r="IZ128" s="333"/>
      <c r="JA128" s="333"/>
      <c r="JB128" s="333"/>
      <c r="JC128" s="333"/>
      <c r="JS128" s="333"/>
      <c r="JT128" s="333"/>
      <c r="JU128" s="333"/>
      <c r="MB128" s="332">
        <v>25.826726190476101</v>
      </c>
      <c r="MC128" s="332">
        <v>1.5628231292517001</v>
      </c>
      <c r="MD128" s="332">
        <v>6.0510000000000001E-2</v>
      </c>
      <c r="NL128" s="332">
        <v>26.6825825082508</v>
      </c>
      <c r="NM128" s="332">
        <v>1.5325907590759</v>
      </c>
      <c r="NX128" s="332">
        <v>25.796023102310201</v>
      </c>
      <c r="NY128" s="332">
        <v>1.51723906896439</v>
      </c>
      <c r="OJ128" s="332">
        <v>25.513451213818801</v>
      </c>
      <c r="OK128" s="332">
        <v>1.47872476534473</v>
      </c>
      <c r="OV128" s="332">
        <v>21.552963802480001</v>
      </c>
    </row>
    <row r="129" spans="1:412">
      <c r="A129" s="295"/>
      <c r="DS129" s="333"/>
      <c r="DT129" s="333"/>
      <c r="DU129" s="333"/>
      <c r="EE129" s="333"/>
      <c r="EF129" s="333"/>
      <c r="EG129" s="333"/>
      <c r="EQ129" s="333"/>
      <c r="ER129" s="333"/>
      <c r="ES129" s="333"/>
      <c r="FF129" s="333"/>
      <c r="FG129" s="333"/>
      <c r="FH129" s="333"/>
      <c r="FI129" s="333"/>
      <c r="FJ129" s="333"/>
      <c r="FK129" s="333"/>
      <c r="FL129" s="333"/>
      <c r="FM129" s="333"/>
      <c r="FN129" s="333"/>
      <c r="FO129" s="333"/>
      <c r="FP129" s="333"/>
      <c r="FQ129" s="333"/>
      <c r="FR129" s="333"/>
      <c r="FS129" s="333"/>
      <c r="FT129" s="333"/>
      <c r="FU129" s="333"/>
      <c r="FV129" s="333"/>
      <c r="FW129" s="333"/>
      <c r="FX129" s="333"/>
      <c r="FY129" s="333"/>
      <c r="FZ129" s="333"/>
      <c r="GA129" s="333"/>
      <c r="GB129" s="333"/>
      <c r="GC129" s="333"/>
      <c r="GD129" s="333"/>
      <c r="GE129" s="333"/>
      <c r="GF129" s="333"/>
      <c r="GG129" s="333"/>
      <c r="GH129" s="333"/>
      <c r="GI129" s="333"/>
      <c r="GJ129" s="333"/>
      <c r="GK129" s="333"/>
      <c r="GL129" s="333"/>
      <c r="GM129" s="333"/>
      <c r="GN129" s="333"/>
      <c r="GO129" s="333"/>
      <c r="GP129" s="333"/>
      <c r="GQ129" s="333"/>
      <c r="GR129" s="333"/>
      <c r="GV129" s="333"/>
      <c r="GW129" s="333"/>
      <c r="GX129" s="333"/>
      <c r="GY129" s="333"/>
      <c r="GZ129" s="333"/>
      <c r="HA129" s="333"/>
      <c r="HI129" s="291"/>
      <c r="HW129" s="333"/>
      <c r="HX129" s="333"/>
      <c r="HY129" s="333"/>
      <c r="IK129" s="334"/>
      <c r="IL129" s="333"/>
      <c r="IM129" s="333"/>
      <c r="IN129" s="335"/>
      <c r="IO129" s="333"/>
      <c r="IP129" s="333"/>
      <c r="IQ129" s="333"/>
      <c r="IU129" s="335"/>
      <c r="IV129" s="335"/>
      <c r="IW129" s="335"/>
      <c r="IX129" s="333"/>
      <c r="IY129" s="333"/>
      <c r="IZ129" s="333"/>
      <c r="JA129" s="333"/>
      <c r="JB129" s="333"/>
      <c r="JC129" s="333"/>
      <c r="JS129" s="333"/>
      <c r="JT129" s="333"/>
      <c r="JU129" s="333"/>
      <c r="NK129" s="332">
        <v>1993</v>
      </c>
      <c r="NL129" s="345">
        <v>9.3799999999999994E-2</v>
      </c>
      <c r="NX129" s="345">
        <v>7.0499999999999993E-2</v>
      </c>
      <c r="OJ129" s="345">
        <v>0.25240000000000001</v>
      </c>
      <c r="OV129" s="345">
        <v>-6.2600000000000003E-2</v>
      </c>
    </row>
    <row r="130" spans="1:412">
      <c r="A130" s="295"/>
      <c r="DS130" s="333"/>
      <c r="DT130" s="333"/>
      <c r="DU130" s="333"/>
      <c r="EE130" s="333"/>
      <c r="EF130" s="333"/>
      <c r="EG130" s="333"/>
      <c r="EQ130" s="333"/>
      <c r="ER130" s="333"/>
      <c r="ES130" s="333"/>
      <c r="FF130" s="333"/>
      <c r="FG130" s="333"/>
      <c r="FH130" s="333"/>
      <c r="FI130" s="333"/>
      <c r="FJ130" s="333"/>
      <c r="FK130" s="333"/>
      <c r="FL130" s="333"/>
      <c r="FM130" s="333"/>
      <c r="FN130" s="333"/>
      <c r="FO130" s="333"/>
      <c r="FP130" s="333"/>
      <c r="FQ130" s="333"/>
      <c r="FR130" s="333"/>
      <c r="FS130" s="333"/>
      <c r="FT130" s="333"/>
      <c r="FU130" s="333"/>
      <c r="FV130" s="333"/>
      <c r="FW130" s="333"/>
      <c r="FX130" s="333"/>
      <c r="FY130" s="333"/>
      <c r="FZ130" s="333"/>
      <c r="GA130" s="333"/>
      <c r="GB130" s="333"/>
      <c r="GC130" s="333"/>
      <c r="GD130" s="333"/>
      <c r="GE130" s="333"/>
      <c r="GF130" s="333"/>
      <c r="GG130" s="333"/>
      <c r="GH130" s="333"/>
      <c r="GI130" s="333"/>
      <c r="GJ130" s="333"/>
      <c r="GK130" s="333"/>
      <c r="GL130" s="333"/>
      <c r="GM130" s="333"/>
      <c r="GN130" s="333"/>
      <c r="GO130" s="333"/>
      <c r="GP130" s="333"/>
      <c r="GQ130" s="333"/>
      <c r="GR130" s="333"/>
      <c r="GV130" s="333"/>
      <c r="GW130" s="333"/>
      <c r="GX130" s="333"/>
      <c r="GY130" s="333"/>
      <c r="GZ130" s="333"/>
      <c r="HA130" s="333"/>
      <c r="HI130" s="291"/>
      <c r="HW130" s="333"/>
      <c r="HX130" s="333"/>
      <c r="HY130" s="333"/>
      <c r="IK130" s="334"/>
      <c r="IL130" s="333"/>
      <c r="IM130" s="333"/>
      <c r="IN130" s="335"/>
      <c r="IO130" s="333"/>
      <c r="IP130" s="333"/>
      <c r="IQ130" s="333"/>
      <c r="IU130" s="335"/>
      <c r="IV130" s="335"/>
      <c r="IW130" s="335"/>
      <c r="IX130" s="333"/>
      <c r="IY130" s="333"/>
      <c r="IZ130" s="333"/>
      <c r="JA130" s="333"/>
      <c r="JB130" s="333"/>
      <c r="JC130" s="333"/>
      <c r="JS130" s="333"/>
      <c r="JT130" s="333"/>
      <c r="JU130" s="333"/>
      <c r="KZ130" s="332">
        <f t="shared" ref="KZ130:KZ193" si="39">KZ10*LA10</f>
        <v>3611.6850000000004</v>
      </c>
      <c r="LA130" s="332">
        <f t="shared" ref="LA130:LA193" si="40">MZ10*MY10</f>
        <v>2561.8454999999999</v>
      </c>
      <c r="MD130" s="332">
        <v>0</v>
      </c>
      <c r="ME130" s="345">
        <v>0</v>
      </c>
      <c r="MF130" s="332">
        <v>0</v>
      </c>
      <c r="MG130" s="332">
        <v>0</v>
      </c>
      <c r="MH130" s="332">
        <v>0</v>
      </c>
      <c r="MI130" s="332">
        <v>0</v>
      </c>
      <c r="NK130" s="332">
        <v>1990</v>
      </c>
      <c r="NL130" s="345">
        <v>-6.2600000000000003E-2</v>
      </c>
    </row>
    <row r="131" spans="1:412">
      <c r="A131" s="295"/>
      <c r="DS131" s="333"/>
      <c r="DT131" s="333"/>
      <c r="DU131" s="333"/>
      <c r="EE131" s="333"/>
      <c r="EF131" s="333"/>
      <c r="EG131" s="333"/>
      <c r="EQ131" s="333"/>
      <c r="ER131" s="333"/>
      <c r="ES131" s="333"/>
      <c r="FF131" s="333"/>
      <c r="FG131" s="333"/>
      <c r="FH131" s="333"/>
      <c r="FI131" s="333"/>
      <c r="FJ131" s="333"/>
      <c r="FK131" s="333"/>
      <c r="FL131" s="333"/>
      <c r="FM131" s="333"/>
      <c r="FN131" s="333"/>
      <c r="FO131" s="333"/>
      <c r="FP131" s="333"/>
      <c r="FQ131" s="333"/>
      <c r="FR131" s="333"/>
      <c r="FS131" s="333"/>
      <c r="FT131" s="333"/>
      <c r="FU131" s="333"/>
      <c r="FV131" s="333"/>
      <c r="FW131" s="333"/>
      <c r="FX131" s="333"/>
      <c r="FY131" s="333"/>
      <c r="FZ131" s="333"/>
      <c r="GA131" s="333"/>
      <c r="GB131" s="333"/>
      <c r="GC131" s="333"/>
      <c r="GD131" s="333"/>
      <c r="GE131" s="333"/>
      <c r="GF131" s="333"/>
      <c r="GG131" s="333"/>
      <c r="GH131" s="333"/>
      <c r="GI131" s="333"/>
      <c r="GJ131" s="333"/>
      <c r="GK131" s="333"/>
      <c r="GL131" s="333"/>
      <c r="GM131" s="333"/>
      <c r="GN131" s="333"/>
      <c r="GO131" s="333"/>
      <c r="GP131" s="333"/>
      <c r="GQ131" s="333"/>
      <c r="GR131" s="333"/>
      <c r="GV131" s="333"/>
      <c r="GW131" s="333"/>
      <c r="GX131" s="333"/>
      <c r="GY131" s="333"/>
      <c r="GZ131" s="333"/>
      <c r="HA131" s="333"/>
      <c r="HI131" s="291"/>
      <c r="HW131" s="333"/>
      <c r="HX131" s="333"/>
      <c r="HY131" s="333"/>
      <c r="IK131" s="334"/>
      <c r="IL131" s="333"/>
      <c r="IM131" s="333"/>
      <c r="IN131" s="335"/>
      <c r="IO131" s="333"/>
      <c r="IP131" s="333"/>
      <c r="IQ131" s="333"/>
      <c r="IU131" s="335"/>
      <c r="IV131" s="335"/>
      <c r="IW131" s="335"/>
      <c r="IX131" s="333"/>
      <c r="IY131" s="333"/>
      <c r="IZ131" s="333"/>
      <c r="JA131" s="333"/>
      <c r="JB131" s="333"/>
      <c r="JC131" s="333"/>
      <c r="JS131" s="333"/>
      <c r="JT131" s="333"/>
      <c r="JU131" s="333"/>
      <c r="KZ131" s="332">
        <f t="shared" si="39"/>
        <v>7576.34375</v>
      </c>
      <c r="LA131" s="332">
        <f t="shared" si="40"/>
        <v>6067.5414999999994</v>
      </c>
      <c r="MD131" s="332">
        <v>0</v>
      </c>
      <c r="ME131" s="345">
        <v>0</v>
      </c>
      <c r="MF131" s="332">
        <v>0</v>
      </c>
      <c r="MG131" s="332">
        <v>0</v>
      </c>
      <c r="MH131" s="332">
        <v>0</v>
      </c>
      <c r="MI131" s="332">
        <v>0</v>
      </c>
    </row>
    <row r="132" spans="1:412">
      <c r="A132" s="295"/>
      <c r="DS132" s="333"/>
      <c r="DT132" s="333"/>
      <c r="DU132" s="333"/>
      <c r="EE132" s="333"/>
      <c r="EF132" s="333"/>
      <c r="EG132" s="333"/>
      <c r="EQ132" s="333"/>
      <c r="ER132" s="333"/>
      <c r="ES132" s="333"/>
      <c r="FF132" s="333"/>
      <c r="FG132" s="333"/>
      <c r="FH132" s="333"/>
      <c r="FI132" s="333"/>
      <c r="FJ132" s="333"/>
      <c r="FK132" s="333"/>
      <c r="FL132" s="333"/>
      <c r="FM132" s="333"/>
      <c r="FN132" s="333"/>
      <c r="FO132" s="333"/>
      <c r="FP132" s="333"/>
      <c r="FQ132" s="333"/>
      <c r="FR132" s="333"/>
      <c r="FS132" s="333"/>
      <c r="FT132" s="333"/>
      <c r="FU132" s="333"/>
      <c r="FV132" s="333"/>
      <c r="FW132" s="333"/>
      <c r="FX132" s="333"/>
      <c r="FY132" s="333"/>
      <c r="FZ132" s="333"/>
      <c r="GA132" s="333"/>
      <c r="GB132" s="333"/>
      <c r="GC132" s="333"/>
      <c r="GD132" s="333"/>
      <c r="GE132" s="333"/>
      <c r="GF132" s="333"/>
      <c r="GG132" s="333"/>
      <c r="GH132" s="333"/>
      <c r="GI132" s="333"/>
      <c r="GJ132" s="333"/>
      <c r="GK132" s="333"/>
      <c r="GL132" s="333"/>
      <c r="GM132" s="333"/>
      <c r="GN132" s="333"/>
      <c r="GO132" s="333"/>
      <c r="GP132" s="333"/>
      <c r="GQ132" s="333"/>
      <c r="GR132" s="333"/>
      <c r="GV132" s="333"/>
      <c r="GW132" s="333"/>
      <c r="GX132" s="333"/>
      <c r="GY132" s="333"/>
      <c r="GZ132" s="333"/>
      <c r="HA132" s="333"/>
      <c r="HI132" s="291"/>
      <c r="HW132" s="333"/>
      <c r="HX132" s="333"/>
      <c r="HY132" s="333"/>
      <c r="IK132" s="334"/>
      <c r="IL132" s="333"/>
      <c r="IM132" s="333"/>
      <c r="IN132" s="335"/>
      <c r="IO132" s="333"/>
      <c r="IP132" s="333"/>
      <c r="IQ132" s="333"/>
      <c r="IU132" s="335"/>
      <c r="IV132" s="335"/>
      <c r="IW132" s="335"/>
      <c r="IX132" s="333"/>
      <c r="IY132" s="333"/>
      <c r="IZ132" s="333"/>
      <c r="JA132" s="333"/>
      <c r="JB132" s="333"/>
      <c r="JC132" s="333"/>
      <c r="JS132" s="333"/>
      <c r="JT132" s="333"/>
      <c r="JU132" s="333"/>
      <c r="KZ132" s="332">
        <f t="shared" si="39"/>
        <v>0</v>
      </c>
      <c r="LA132" s="332">
        <f t="shared" si="40"/>
        <v>917.94524999999999</v>
      </c>
      <c r="MD132" s="332">
        <v>0</v>
      </c>
      <c r="ME132" s="345">
        <v>0</v>
      </c>
      <c r="MF132" s="332">
        <v>0</v>
      </c>
      <c r="MG132" s="332">
        <v>0</v>
      </c>
      <c r="MH132" s="332">
        <v>0</v>
      </c>
      <c r="MI132" s="332">
        <v>0</v>
      </c>
    </row>
    <row r="133" spans="1:412">
      <c r="A133" s="295"/>
      <c r="DS133" s="333"/>
      <c r="DT133" s="333"/>
      <c r="DU133" s="333"/>
      <c r="EE133" s="333"/>
      <c r="EF133" s="333"/>
      <c r="EG133" s="333"/>
      <c r="EQ133" s="333"/>
      <c r="ER133" s="333"/>
      <c r="ES133" s="333"/>
      <c r="FF133" s="333"/>
      <c r="FG133" s="333"/>
      <c r="FH133" s="333"/>
      <c r="FI133" s="333"/>
      <c r="FJ133" s="333"/>
      <c r="FK133" s="333"/>
      <c r="FL133" s="333"/>
      <c r="FM133" s="333"/>
      <c r="FN133" s="333"/>
      <c r="FO133" s="333"/>
      <c r="FP133" s="333"/>
      <c r="FQ133" s="333"/>
      <c r="FR133" s="333"/>
      <c r="FS133" s="333"/>
      <c r="FT133" s="333"/>
      <c r="FU133" s="333"/>
      <c r="FV133" s="333"/>
      <c r="FW133" s="333"/>
      <c r="FX133" s="333"/>
      <c r="FY133" s="333"/>
      <c r="FZ133" s="333"/>
      <c r="GA133" s="333"/>
      <c r="GB133" s="333"/>
      <c r="GC133" s="333"/>
      <c r="GD133" s="333"/>
      <c r="GE133" s="333"/>
      <c r="GF133" s="333"/>
      <c r="GG133" s="333"/>
      <c r="GH133" s="333"/>
      <c r="GI133" s="333"/>
      <c r="GJ133" s="333"/>
      <c r="GK133" s="333"/>
      <c r="GL133" s="333"/>
      <c r="GM133" s="333"/>
      <c r="GN133" s="333"/>
      <c r="GO133" s="333"/>
      <c r="GP133" s="333"/>
      <c r="GQ133" s="333"/>
      <c r="GR133" s="333"/>
      <c r="GV133" s="333"/>
      <c r="GW133" s="333"/>
      <c r="GX133" s="333"/>
      <c r="GY133" s="333"/>
      <c r="GZ133" s="333"/>
      <c r="HA133" s="333"/>
      <c r="HI133" s="291"/>
      <c r="HW133" s="333"/>
      <c r="HX133" s="333"/>
      <c r="HY133" s="333"/>
      <c r="IK133" s="334"/>
      <c r="IL133" s="333"/>
      <c r="IM133" s="333"/>
      <c r="IN133" s="335"/>
      <c r="IO133" s="333"/>
      <c r="IP133" s="333"/>
      <c r="IQ133" s="333"/>
      <c r="IU133" s="335"/>
      <c r="IV133" s="335"/>
      <c r="IW133" s="335"/>
      <c r="IX133" s="333"/>
      <c r="IY133" s="333"/>
      <c r="IZ133" s="333"/>
      <c r="JA133" s="333"/>
      <c r="JB133" s="333"/>
      <c r="JC133" s="333"/>
      <c r="JS133" s="333"/>
      <c r="JT133" s="333"/>
      <c r="JU133" s="333"/>
      <c r="KZ133" s="332">
        <f t="shared" si="39"/>
        <v>93.38000000000001</v>
      </c>
      <c r="LA133" s="332">
        <f t="shared" si="40"/>
        <v>69.722250000000003</v>
      </c>
      <c r="MD133" s="332">
        <v>0</v>
      </c>
      <c r="ME133" s="345">
        <v>0</v>
      </c>
      <c r="MF133" s="332">
        <v>0</v>
      </c>
      <c r="MG133" s="332">
        <v>0</v>
      </c>
      <c r="MH133" s="332">
        <v>0</v>
      </c>
      <c r="MI133" s="332">
        <v>0</v>
      </c>
    </row>
    <row r="134" spans="1:412">
      <c r="A134" s="295"/>
      <c r="DS134" s="333"/>
      <c r="DT134" s="333"/>
      <c r="DU134" s="333"/>
      <c r="EE134" s="333"/>
      <c r="EF134" s="333"/>
      <c r="EG134" s="333"/>
      <c r="EQ134" s="333"/>
      <c r="ER134" s="333"/>
      <c r="ES134" s="333"/>
      <c r="FF134" s="333"/>
      <c r="FG134" s="333"/>
      <c r="FH134" s="333"/>
      <c r="FI134" s="333"/>
      <c r="FJ134" s="333"/>
      <c r="FK134" s="333"/>
      <c r="FL134" s="333"/>
      <c r="FM134" s="333"/>
      <c r="FN134" s="333"/>
      <c r="FO134" s="333"/>
      <c r="FP134" s="333"/>
      <c r="FQ134" s="333"/>
      <c r="FR134" s="333"/>
      <c r="FS134" s="333"/>
      <c r="FT134" s="333"/>
      <c r="FU134" s="333"/>
      <c r="FV134" s="333"/>
      <c r="FW134" s="333"/>
      <c r="FX134" s="333"/>
      <c r="FY134" s="333"/>
      <c r="FZ134" s="333"/>
      <c r="GA134" s="333"/>
      <c r="GB134" s="333"/>
      <c r="GC134" s="333"/>
      <c r="GD134" s="333"/>
      <c r="GE134" s="333"/>
      <c r="GF134" s="333"/>
      <c r="GG134" s="333"/>
      <c r="GH134" s="333"/>
      <c r="GI134" s="333"/>
      <c r="GJ134" s="333"/>
      <c r="GK134" s="333"/>
      <c r="GL134" s="333"/>
      <c r="GM134" s="333"/>
      <c r="GN134" s="333"/>
      <c r="GO134" s="333"/>
      <c r="GP134" s="333"/>
      <c r="GQ134" s="333"/>
      <c r="GR134" s="333"/>
      <c r="GV134" s="333"/>
      <c r="GW134" s="333"/>
      <c r="GX134" s="333"/>
      <c r="GY134" s="333"/>
      <c r="GZ134" s="333"/>
      <c r="HA134" s="333"/>
      <c r="HI134" s="291"/>
      <c r="HW134" s="333"/>
      <c r="HX134" s="333"/>
      <c r="HY134" s="333"/>
      <c r="IK134" s="334"/>
      <c r="IL134" s="333"/>
      <c r="IM134" s="333"/>
      <c r="IN134" s="335"/>
      <c r="IO134" s="333"/>
      <c r="IP134" s="333"/>
      <c r="IQ134" s="333"/>
      <c r="IU134" s="335"/>
      <c r="IV134" s="335"/>
      <c r="IW134" s="335"/>
      <c r="IX134" s="333"/>
      <c r="IY134" s="333"/>
      <c r="IZ134" s="333"/>
      <c r="JA134" s="333"/>
      <c r="JB134" s="333"/>
      <c r="JC134" s="333"/>
      <c r="JS134" s="333"/>
      <c r="JT134" s="333"/>
      <c r="JU134" s="333"/>
      <c r="KZ134" s="332">
        <f t="shared" si="39"/>
        <v>459.71062499999999</v>
      </c>
      <c r="LA134" s="332">
        <f t="shared" si="40"/>
        <v>312.71625</v>
      </c>
      <c r="MD134" s="332">
        <v>0</v>
      </c>
      <c r="ME134" s="345">
        <v>0</v>
      </c>
      <c r="MF134" s="332">
        <v>6.6666666666666602E-3</v>
      </c>
      <c r="MG134" s="332">
        <v>-2.8985507246376802E-2</v>
      </c>
      <c r="MH134" s="332">
        <v>0</v>
      </c>
      <c r="MI134" s="332">
        <v>0</v>
      </c>
    </row>
    <row r="135" spans="1:412">
      <c r="A135" s="295"/>
      <c r="DS135" s="333"/>
      <c r="DT135" s="333"/>
      <c r="DU135" s="333"/>
      <c r="EE135" s="333"/>
      <c r="EF135" s="333"/>
      <c r="EG135" s="333"/>
      <c r="EQ135" s="333"/>
      <c r="ER135" s="333"/>
      <c r="ES135" s="333"/>
      <c r="FF135" s="333"/>
      <c r="FG135" s="333"/>
      <c r="FH135" s="333"/>
      <c r="FI135" s="333"/>
      <c r="FJ135" s="333"/>
      <c r="FK135" s="333"/>
      <c r="FL135" s="333"/>
      <c r="FM135" s="333"/>
      <c r="FN135" s="333"/>
      <c r="FO135" s="333"/>
      <c r="FP135" s="333"/>
      <c r="FQ135" s="333"/>
      <c r="FR135" s="333"/>
      <c r="FS135" s="333"/>
      <c r="FT135" s="333"/>
      <c r="FU135" s="333"/>
      <c r="FV135" s="333"/>
      <c r="FW135" s="333"/>
      <c r="FX135" s="333"/>
      <c r="FY135" s="333"/>
      <c r="FZ135" s="333"/>
      <c r="GA135" s="333"/>
      <c r="GB135" s="333"/>
      <c r="GC135" s="333"/>
      <c r="GD135" s="333"/>
      <c r="GE135" s="333"/>
      <c r="GF135" s="333"/>
      <c r="GG135" s="333"/>
      <c r="GH135" s="333"/>
      <c r="GI135" s="333"/>
      <c r="GJ135" s="333"/>
      <c r="GK135" s="333"/>
      <c r="GL135" s="333"/>
      <c r="GM135" s="333"/>
      <c r="GN135" s="333"/>
      <c r="GO135" s="333"/>
      <c r="GP135" s="333"/>
      <c r="GQ135" s="333"/>
      <c r="GR135" s="333"/>
      <c r="GV135" s="333"/>
      <c r="GW135" s="333"/>
      <c r="GX135" s="333"/>
      <c r="GY135" s="333"/>
      <c r="GZ135" s="333"/>
      <c r="HA135" s="333"/>
      <c r="HI135" s="291"/>
      <c r="IK135" s="334"/>
      <c r="IL135" s="333"/>
      <c r="IM135" s="333"/>
      <c r="IN135" s="335"/>
      <c r="IO135" s="333"/>
      <c r="IP135" s="333"/>
      <c r="IQ135" s="333"/>
      <c r="IU135" s="335"/>
      <c r="IV135" s="335"/>
      <c r="IW135" s="335"/>
      <c r="IX135" s="333"/>
      <c r="IY135" s="333"/>
      <c r="IZ135" s="333"/>
      <c r="JA135" s="333"/>
      <c r="JB135" s="333"/>
      <c r="JC135" s="333"/>
      <c r="JS135" s="333"/>
      <c r="JT135" s="333"/>
      <c r="JU135" s="333"/>
      <c r="KZ135" s="332">
        <f t="shared" si="39"/>
        <v>0</v>
      </c>
      <c r="LA135" s="332">
        <f t="shared" si="40"/>
        <v>1086.864</v>
      </c>
      <c r="MD135" s="332">
        <v>0</v>
      </c>
      <c r="ME135" s="345">
        <v>0</v>
      </c>
      <c r="MF135" s="332">
        <v>0</v>
      </c>
      <c r="MG135" s="332">
        <v>0</v>
      </c>
      <c r="MH135" s="332">
        <v>0</v>
      </c>
      <c r="MI135" s="332">
        <v>0</v>
      </c>
    </row>
    <row r="136" spans="1:412">
      <c r="A136" s="295"/>
      <c r="DS136" s="333"/>
      <c r="DT136" s="333"/>
      <c r="DU136" s="333"/>
      <c r="EE136" s="333"/>
      <c r="EF136" s="333"/>
      <c r="EG136" s="333"/>
      <c r="EQ136" s="333"/>
      <c r="ER136" s="333"/>
      <c r="ES136" s="333"/>
      <c r="FF136" s="333"/>
      <c r="FG136" s="333"/>
      <c r="FH136" s="333"/>
      <c r="FI136" s="333"/>
      <c r="FJ136" s="333"/>
      <c r="FK136" s="333"/>
      <c r="FL136" s="333"/>
      <c r="FM136" s="333"/>
      <c r="FN136" s="333"/>
      <c r="FO136" s="333"/>
      <c r="FP136" s="333"/>
      <c r="FQ136" s="333"/>
      <c r="FR136" s="333"/>
      <c r="FS136" s="333"/>
      <c r="FT136" s="333"/>
      <c r="FU136" s="333"/>
      <c r="FV136" s="333"/>
      <c r="FW136" s="333"/>
      <c r="FX136" s="333"/>
      <c r="FY136" s="333"/>
      <c r="FZ136" s="333"/>
      <c r="GA136" s="333"/>
      <c r="GB136" s="333"/>
      <c r="GC136" s="333"/>
      <c r="GD136" s="333"/>
      <c r="GE136" s="333"/>
      <c r="GF136" s="333"/>
      <c r="GG136" s="333"/>
      <c r="GH136" s="333"/>
      <c r="GI136" s="333"/>
      <c r="GJ136" s="333"/>
      <c r="GK136" s="333"/>
      <c r="GL136" s="333"/>
      <c r="GM136" s="333"/>
      <c r="GN136" s="333"/>
      <c r="GO136" s="333"/>
      <c r="GP136" s="333"/>
      <c r="GQ136" s="333"/>
      <c r="GR136" s="333"/>
      <c r="GV136" s="333"/>
      <c r="GW136" s="333"/>
      <c r="GX136" s="333"/>
      <c r="GY136" s="333"/>
      <c r="GZ136" s="333"/>
      <c r="HA136" s="333"/>
      <c r="IK136" s="334"/>
      <c r="IL136" s="333"/>
      <c r="IM136" s="333"/>
      <c r="IN136" s="335"/>
      <c r="IO136" s="333"/>
      <c r="IP136" s="333"/>
      <c r="IQ136" s="333"/>
      <c r="IU136" s="335"/>
      <c r="IV136" s="335"/>
      <c r="IW136" s="335"/>
      <c r="IX136" s="333"/>
      <c r="IY136" s="333"/>
      <c r="IZ136" s="333"/>
      <c r="JA136" s="333"/>
      <c r="JB136" s="333"/>
      <c r="JC136" s="333"/>
      <c r="JS136" s="333"/>
      <c r="JT136" s="333"/>
      <c r="JU136" s="333"/>
      <c r="KZ136" s="332">
        <f t="shared" si="39"/>
        <v>5445</v>
      </c>
      <c r="LA136" s="332">
        <f t="shared" si="40"/>
        <v>4074.2906250000001</v>
      </c>
      <c r="MD136" s="332">
        <v>0</v>
      </c>
      <c r="ME136" s="345">
        <v>0</v>
      </c>
      <c r="MF136" s="332">
        <v>0</v>
      </c>
      <c r="MG136" s="332">
        <v>0</v>
      </c>
      <c r="MH136" s="332">
        <v>0</v>
      </c>
      <c r="MI136" s="332">
        <v>0</v>
      </c>
    </row>
    <row r="137" spans="1:412">
      <c r="A137" s="295"/>
      <c r="DS137" s="333"/>
      <c r="DT137" s="333"/>
      <c r="DU137" s="333"/>
      <c r="EQ137" s="333"/>
      <c r="ER137" s="333"/>
      <c r="ES137" s="333"/>
      <c r="FF137" s="333"/>
      <c r="FG137" s="333"/>
      <c r="FH137" s="333"/>
      <c r="FI137" s="333"/>
      <c r="FJ137" s="333"/>
      <c r="FK137" s="333"/>
      <c r="FL137" s="333"/>
      <c r="FM137" s="333"/>
      <c r="FN137" s="333"/>
      <c r="FO137" s="333"/>
      <c r="FP137" s="333"/>
      <c r="FQ137" s="333"/>
      <c r="FR137" s="333"/>
      <c r="FS137" s="333"/>
      <c r="FT137" s="333"/>
      <c r="FU137" s="333"/>
      <c r="FV137" s="333"/>
      <c r="FW137" s="333"/>
      <c r="FX137" s="333"/>
      <c r="FY137" s="333"/>
      <c r="FZ137" s="333"/>
      <c r="GA137" s="333"/>
      <c r="GB137" s="333"/>
      <c r="GC137" s="333"/>
      <c r="GD137" s="333"/>
      <c r="GE137" s="333"/>
      <c r="GF137" s="333"/>
      <c r="GG137" s="333"/>
      <c r="GH137" s="333"/>
      <c r="GI137" s="333"/>
      <c r="GJ137" s="333"/>
      <c r="GK137" s="333"/>
      <c r="GL137" s="333"/>
      <c r="GM137" s="333"/>
      <c r="GN137" s="333"/>
      <c r="GO137" s="333"/>
      <c r="GP137" s="333"/>
      <c r="GQ137" s="333"/>
      <c r="GR137" s="333"/>
      <c r="GV137" s="333"/>
      <c r="GW137" s="333"/>
      <c r="GX137" s="333"/>
      <c r="GY137" s="333"/>
      <c r="GZ137" s="333"/>
      <c r="HA137" s="333"/>
      <c r="IK137" s="334"/>
      <c r="IL137" s="333"/>
      <c r="IM137" s="333"/>
      <c r="IN137" s="335"/>
      <c r="IO137" s="333"/>
      <c r="IP137" s="333"/>
      <c r="IQ137" s="333"/>
      <c r="IU137" s="335"/>
      <c r="IV137" s="335"/>
      <c r="IW137" s="335"/>
      <c r="IX137" s="333"/>
      <c r="IY137" s="333"/>
      <c r="IZ137" s="333"/>
      <c r="JA137" s="333"/>
      <c r="JB137" s="333"/>
      <c r="JC137" s="333"/>
      <c r="JS137" s="333"/>
      <c r="JT137" s="333"/>
      <c r="JU137" s="333"/>
      <c r="KZ137" s="332">
        <f t="shared" si="39"/>
        <v>0</v>
      </c>
      <c r="LA137" s="332">
        <f t="shared" si="40"/>
        <v>1311.5474999999999</v>
      </c>
      <c r="MD137" s="332">
        <v>0</v>
      </c>
      <c r="ME137" s="345">
        <v>0</v>
      </c>
      <c r="MF137" s="332">
        <v>0</v>
      </c>
      <c r="MG137" s="332">
        <v>0</v>
      </c>
      <c r="MH137" s="332">
        <v>0</v>
      </c>
      <c r="MI137" s="332">
        <v>0</v>
      </c>
    </row>
    <row r="138" spans="1:412">
      <c r="A138" s="295"/>
      <c r="DS138" s="333"/>
      <c r="DT138" s="333"/>
      <c r="DU138" s="333"/>
      <c r="EQ138" s="333"/>
      <c r="ER138" s="333"/>
      <c r="ES138" s="333"/>
      <c r="FF138" s="333"/>
      <c r="FG138" s="333"/>
      <c r="FH138" s="333"/>
      <c r="FI138" s="333"/>
      <c r="FJ138" s="333"/>
      <c r="FK138" s="333"/>
      <c r="FL138" s="333"/>
      <c r="FM138" s="333"/>
      <c r="FN138" s="333"/>
      <c r="FO138" s="333"/>
      <c r="FP138" s="333"/>
      <c r="FQ138" s="333"/>
      <c r="FR138" s="333"/>
      <c r="FS138" s="333"/>
      <c r="FT138" s="333"/>
      <c r="FU138" s="333"/>
      <c r="FV138" s="333"/>
      <c r="FW138" s="333"/>
      <c r="FX138" s="333"/>
      <c r="FY138" s="333"/>
      <c r="FZ138" s="333"/>
      <c r="GA138" s="333"/>
      <c r="GB138" s="333"/>
      <c r="GC138" s="333"/>
      <c r="GD138" s="333"/>
      <c r="GE138" s="333"/>
      <c r="GF138" s="333"/>
      <c r="GG138" s="333"/>
      <c r="GH138" s="333"/>
      <c r="GI138" s="333"/>
      <c r="GJ138" s="333"/>
      <c r="GK138" s="333"/>
      <c r="GL138" s="333"/>
      <c r="GM138" s="333"/>
      <c r="GN138" s="333"/>
      <c r="GO138" s="333"/>
      <c r="GP138" s="333"/>
      <c r="GQ138" s="333"/>
      <c r="GR138" s="333"/>
      <c r="GV138" s="333"/>
      <c r="GW138" s="333"/>
      <c r="GX138" s="333"/>
      <c r="GY138" s="333"/>
      <c r="GZ138" s="333"/>
      <c r="HA138" s="333"/>
      <c r="IK138" s="334"/>
      <c r="IL138" s="333"/>
      <c r="IM138" s="333"/>
      <c r="IN138" s="335"/>
      <c r="IO138" s="333"/>
      <c r="IP138" s="333"/>
      <c r="IQ138" s="333"/>
      <c r="IU138" s="335"/>
      <c r="IV138" s="335"/>
      <c r="IW138" s="335"/>
      <c r="IX138" s="333"/>
      <c r="IY138" s="333"/>
      <c r="IZ138" s="333"/>
      <c r="JA138" s="333"/>
      <c r="JB138" s="333"/>
      <c r="JC138" s="333"/>
      <c r="JS138" s="333"/>
      <c r="JT138" s="333"/>
      <c r="JU138" s="333"/>
      <c r="KZ138" s="332">
        <f t="shared" si="39"/>
        <v>4980.46875</v>
      </c>
      <c r="LA138" s="332">
        <f t="shared" si="40"/>
        <v>4289.7</v>
      </c>
      <c r="MD138" s="332">
        <v>0</v>
      </c>
      <c r="ME138" s="345">
        <v>0</v>
      </c>
      <c r="MF138" s="332">
        <v>5.0000000000000001E-3</v>
      </c>
      <c r="MG138" s="332">
        <v>-1.1494252873563199E-2</v>
      </c>
      <c r="MH138" s="332">
        <v>0</v>
      </c>
      <c r="MI138" s="332">
        <v>0</v>
      </c>
    </row>
    <row r="139" spans="1:412">
      <c r="A139" s="295"/>
      <c r="DS139" s="333"/>
      <c r="DT139" s="333"/>
      <c r="DU139" s="333"/>
      <c r="EQ139" s="333"/>
      <c r="ER139" s="333"/>
      <c r="ES139" s="333"/>
      <c r="FF139" s="333"/>
      <c r="FG139" s="333"/>
      <c r="FH139" s="333"/>
      <c r="FI139" s="333"/>
      <c r="FJ139" s="333"/>
      <c r="FK139" s="333"/>
      <c r="FL139" s="333"/>
      <c r="FM139" s="333"/>
      <c r="FN139" s="333"/>
      <c r="FO139" s="333"/>
      <c r="FP139" s="333"/>
      <c r="FQ139" s="333"/>
      <c r="FR139" s="333"/>
      <c r="FS139" s="333"/>
      <c r="FT139" s="333"/>
      <c r="FU139" s="333"/>
      <c r="FV139" s="333"/>
      <c r="FW139" s="333"/>
      <c r="FX139" s="333"/>
      <c r="FY139" s="333"/>
      <c r="FZ139" s="333"/>
      <c r="GA139" s="333"/>
      <c r="GB139" s="333"/>
      <c r="GC139" s="333"/>
      <c r="GD139" s="333"/>
      <c r="GE139" s="333"/>
      <c r="GF139" s="333"/>
      <c r="GG139" s="333"/>
      <c r="GH139" s="333"/>
      <c r="GI139" s="333"/>
      <c r="GJ139" s="333"/>
      <c r="GK139" s="333"/>
      <c r="GL139" s="333"/>
      <c r="GM139" s="333"/>
      <c r="GN139" s="333"/>
      <c r="GO139" s="333"/>
      <c r="GP139" s="333"/>
      <c r="GQ139" s="333"/>
      <c r="GR139" s="333"/>
      <c r="GV139" s="333"/>
      <c r="GW139" s="333"/>
      <c r="GX139" s="333"/>
      <c r="GY139" s="333"/>
      <c r="GZ139" s="333"/>
      <c r="HA139" s="333"/>
      <c r="IK139" s="334"/>
      <c r="IL139" s="333"/>
      <c r="IM139" s="333"/>
      <c r="IN139" s="335"/>
      <c r="IO139" s="333"/>
      <c r="IP139" s="333"/>
      <c r="IQ139" s="333"/>
      <c r="IU139" s="335"/>
      <c r="IV139" s="335"/>
      <c r="IW139" s="335"/>
      <c r="IX139" s="333"/>
      <c r="IY139" s="333"/>
      <c r="IZ139" s="333"/>
      <c r="JA139" s="333"/>
      <c r="JB139" s="333"/>
      <c r="JC139" s="333"/>
      <c r="JS139" s="333"/>
      <c r="JT139" s="333"/>
      <c r="JU139" s="333"/>
      <c r="KZ139" s="332">
        <f t="shared" si="39"/>
        <v>663.16</v>
      </c>
      <c r="LA139" s="332">
        <f t="shared" si="40"/>
        <v>519.30725000000007</v>
      </c>
      <c r="MD139" s="332">
        <v>0</v>
      </c>
      <c r="ME139" s="345">
        <v>0</v>
      </c>
      <c r="MF139" s="332">
        <v>9.9999999999999898E-3</v>
      </c>
      <c r="MG139" s="332">
        <v>-2.5974025974025899E-2</v>
      </c>
      <c r="MH139" s="332">
        <v>0</v>
      </c>
      <c r="MI139" s="332">
        <v>0</v>
      </c>
    </row>
    <row r="140" spans="1:412">
      <c r="A140" s="295"/>
      <c r="DS140" s="333"/>
      <c r="DT140" s="333"/>
      <c r="DU140" s="333"/>
      <c r="EQ140" s="333"/>
      <c r="ER140" s="333"/>
      <c r="ES140" s="333"/>
      <c r="FF140" s="333"/>
      <c r="FG140" s="333"/>
      <c r="FH140" s="333"/>
      <c r="FI140" s="333"/>
      <c r="FJ140" s="333"/>
      <c r="FK140" s="333"/>
      <c r="FL140" s="333"/>
      <c r="FM140" s="333"/>
      <c r="FN140" s="333"/>
      <c r="FO140" s="333"/>
      <c r="FP140" s="333"/>
      <c r="FQ140" s="333"/>
      <c r="FR140" s="333"/>
      <c r="FS140" s="333"/>
      <c r="FT140" s="333"/>
      <c r="FU140" s="333"/>
      <c r="FV140" s="333"/>
      <c r="FW140" s="333"/>
      <c r="FX140" s="333"/>
      <c r="FY140" s="333"/>
      <c r="FZ140" s="333"/>
      <c r="GA140" s="333"/>
      <c r="GB140" s="333"/>
      <c r="GC140" s="333"/>
      <c r="GD140" s="333"/>
      <c r="GE140" s="333"/>
      <c r="GF140" s="333"/>
      <c r="GG140" s="333"/>
      <c r="GH140" s="333"/>
      <c r="GI140" s="333"/>
      <c r="GJ140" s="333"/>
      <c r="GK140" s="333"/>
      <c r="GL140" s="333"/>
      <c r="GM140" s="333"/>
      <c r="GN140" s="333"/>
      <c r="GO140" s="333"/>
      <c r="GP140" s="333"/>
      <c r="GQ140" s="333"/>
      <c r="GR140" s="333"/>
      <c r="GV140" s="333"/>
      <c r="GW140" s="333"/>
      <c r="GX140" s="333"/>
      <c r="GY140" s="333"/>
      <c r="GZ140" s="333"/>
      <c r="HA140" s="333"/>
      <c r="IK140" s="334"/>
      <c r="IL140" s="333"/>
      <c r="IM140" s="333"/>
      <c r="IN140" s="335"/>
      <c r="IO140" s="333"/>
      <c r="IP140" s="333"/>
      <c r="IQ140" s="333"/>
      <c r="IU140" s="335"/>
      <c r="IV140" s="335"/>
      <c r="IW140" s="335"/>
      <c r="IX140" s="333"/>
      <c r="IY140" s="333"/>
      <c r="IZ140" s="333"/>
      <c r="JA140" s="333"/>
      <c r="JB140" s="333"/>
      <c r="JC140" s="333"/>
      <c r="JS140" s="333"/>
      <c r="JT140" s="333"/>
      <c r="JU140" s="333"/>
      <c r="KZ140" s="332">
        <f t="shared" si="39"/>
        <v>596.08499999999992</v>
      </c>
      <c r="LA140" s="332">
        <f t="shared" si="40"/>
        <v>439.99462499999998</v>
      </c>
      <c r="MD140" s="332">
        <v>0</v>
      </c>
      <c r="ME140" s="345">
        <v>0</v>
      </c>
      <c r="MF140" s="332">
        <v>0</v>
      </c>
      <c r="MG140" s="332">
        <v>0</v>
      </c>
      <c r="MH140" s="332">
        <v>0</v>
      </c>
      <c r="MI140" s="332">
        <v>0</v>
      </c>
    </row>
    <row r="141" spans="1:412">
      <c r="A141" s="295"/>
      <c r="DS141" s="333"/>
      <c r="DT141" s="333"/>
      <c r="DU141" s="333"/>
      <c r="EQ141" s="333"/>
      <c r="ER141" s="333"/>
      <c r="ES141" s="333"/>
      <c r="FF141" s="333"/>
      <c r="FG141" s="333"/>
      <c r="FH141" s="333"/>
      <c r="FI141" s="333"/>
      <c r="FJ141" s="333"/>
      <c r="FK141" s="333"/>
      <c r="FL141" s="333"/>
      <c r="FM141" s="333"/>
      <c r="FN141" s="333"/>
      <c r="FO141" s="333"/>
      <c r="FP141" s="333"/>
      <c r="FQ141" s="333"/>
      <c r="FR141" s="333"/>
      <c r="FS141" s="333"/>
      <c r="FT141" s="333"/>
      <c r="FU141" s="333"/>
      <c r="FV141" s="333"/>
      <c r="FW141" s="333"/>
      <c r="FX141" s="333"/>
      <c r="FY141" s="333"/>
      <c r="FZ141" s="333"/>
      <c r="GA141" s="333"/>
      <c r="GB141" s="333"/>
      <c r="GC141" s="333"/>
      <c r="GD141" s="333"/>
      <c r="GE141" s="333"/>
      <c r="GF141" s="333"/>
      <c r="GG141" s="333"/>
      <c r="GH141" s="333"/>
      <c r="GI141" s="333"/>
      <c r="GJ141" s="333"/>
      <c r="GK141" s="333"/>
      <c r="GL141" s="333"/>
      <c r="GM141" s="333"/>
      <c r="GN141" s="333"/>
      <c r="GO141" s="333"/>
      <c r="GP141" s="333"/>
      <c r="GQ141" s="333"/>
      <c r="GR141" s="333"/>
      <c r="GV141" s="333"/>
      <c r="GW141" s="333"/>
      <c r="GX141" s="333"/>
      <c r="GY141" s="333"/>
      <c r="GZ141" s="333"/>
      <c r="HA141" s="333"/>
      <c r="IK141" s="334"/>
      <c r="IL141" s="333"/>
      <c r="IM141" s="333"/>
      <c r="IN141" s="335"/>
      <c r="IO141" s="333"/>
      <c r="IP141" s="333"/>
      <c r="IQ141" s="333"/>
      <c r="IU141" s="335"/>
      <c r="IV141" s="335"/>
      <c r="IW141" s="335"/>
      <c r="IX141" s="333"/>
      <c r="IY141" s="333"/>
      <c r="IZ141" s="333"/>
      <c r="JA141" s="333"/>
      <c r="JB141" s="333"/>
      <c r="JC141" s="333"/>
      <c r="JS141" s="333"/>
      <c r="JT141" s="333"/>
      <c r="JU141" s="333"/>
      <c r="KZ141" s="332">
        <f t="shared" si="39"/>
        <v>114.91374999999999</v>
      </c>
      <c r="LA141" s="332">
        <f t="shared" si="40"/>
        <v>157.94999999999999</v>
      </c>
      <c r="MD141" s="332">
        <v>0</v>
      </c>
      <c r="ME141" s="345">
        <v>0</v>
      </c>
      <c r="MF141" s="332">
        <v>0.02</v>
      </c>
      <c r="MG141" s="332">
        <v>-9.0909090909090898E-2</v>
      </c>
      <c r="MH141" s="332">
        <v>0</v>
      </c>
      <c r="MI141" s="332">
        <v>0</v>
      </c>
    </row>
    <row r="142" spans="1:412">
      <c r="A142" s="295"/>
      <c r="DS142" s="333"/>
      <c r="DT142" s="333"/>
      <c r="DU142" s="333"/>
      <c r="FF142" s="333"/>
      <c r="FG142" s="333"/>
      <c r="FH142" s="333"/>
      <c r="FI142" s="333"/>
      <c r="FJ142" s="333"/>
      <c r="FK142" s="333"/>
      <c r="FL142" s="333"/>
      <c r="FM142" s="333"/>
      <c r="FN142" s="333"/>
      <c r="FO142" s="333"/>
      <c r="FP142" s="333"/>
      <c r="FQ142" s="333"/>
      <c r="FR142" s="333"/>
      <c r="FS142" s="333"/>
      <c r="FT142" s="333"/>
      <c r="FX142" s="333"/>
      <c r="FY142" s="333"/>
      <c r="FZ142" s="333"/>
      <c r="GA142" s="333"/>
      <c r="GB142" s="333"/>
      <c r="GC142" s="333"/>
      <c r="GD142" s="333"/>
      <c r="GE142" s="333"/>
      <c r="GF142" s="333"/>
      <c r="GG142" s="333"/>
      <c r="GH142" s="333"/>
      <c r="GI142" s="333"/>
      <c r="GJ142" s="333"/>
      <c r="GK142" s="333"/>
      <c r="GL142" s="333"/>
      <c r="GM142" s="333"/>
      <c r="GN142" s="333"/>
      <c r="GO142" s="333"/>
      <c r="GP142" s="333"/>
      <c r="GQ142" s="333"/>
      <c r="GR142" s="333"/>
      <c r="GV142" s="333"/>
      <c r="GW142" s="333"/>
      <c r="GX142" s="333"/>
      <c r="GY142" s="333"/>
      <c r="GZ142" s="333"/>
      <c r="HA142" s="333"/>
      <c r="IK142" s="334"/>
      <c r="IL142" s="333"/>
      <c r="IM142" s="333"/>
      <c r="IN142" s="335"/>
      <c r="IO142" s="333"/>
      <c r="IP142" s="333"/>
      <c r="IQ142" s="333"/>
      <c r="IU142" s="335"/>
      <c r="IV142" s="335"/>
      <c r="IW142" s="335"/>
      <c r="IX142" s="333"/>
      <c r="IY142" s="333"/>
      <c r="IZ142" s="333"/>
      <c r="JA142" s="333"/>
      <c r="JB142" s="333"/>
      <c r="JC142" s="333"/>
      <c r="JS142" s="333"/>
      <c r="JT142" s="333"/>
      <c r="JU142" s="333"/>
      <c r="KZ142" s="332">
        <f>KZ22*LA22</f>
        <v>7934.7937500000007</v>
      </c>
      <c r="LA142" s="332">
        <f>MZ22*MY22</f>
        <v>5133.12</v>
      </c>
      <c r="MD142" s="332">
        <v>0</v>
      </c>
      <c r="ME142" s="345">
        <v>0</v>
      </c>
      <c r="MF142" s="332">
        <v>0</v>
      </c>
      <c r="MG142" s="332">
        <v>0</v>
      </c>
      <c r="MH142" s="332">
        <v>0</v>
      </c>
      <c r="MI142" s="332">
        <v>0</v>
      </c>
    </row>
    <row r="143" spans="1:412">
      <c r="A143" s="295"/>
      <c r="DS143" s="333"/>
      <c r="DT143" s="333"/>
      <c r="DU143" s="333"/>
      <c r="FF143" s="333"/>
      <c r="FG143" s="333"/>
      <c r="FH143" s="333"/>
      <c r="FI143" s="333"/>
      <c r="FJ143" s="333"/>
      <c r="FK143" s="333"/>
      <c r="FL143" s="333"/>
      <c r="FM143" s="333"/>
      <c r="FN143" s="333"/>
      <c r="FO143" s="333"/>
      <c r="FP143" s="333"/>
      <c r="FQ143" s="333"/>
      <c r="FR143" s="333"/>
      <c r="FS143" s="333"/>
      <c r="FT143" s="333"/>
      <c r="FX143" s="333"/>
      <c r="FY143" s="333"/>
      <c r="FZ143" s="333"/>
      <c r="GA143" s="333"/>
      <c r="GB143" s="333"/>
      <c r="GC143" s="333"/>
      <c r="GD143" s="333"/>
      <c r="GE143" s="333"/>
      <c r="GF143" s="333"/>
      <c r="GG143" s="333"/>
      <c r="GH143" s="333"/>
      <c r="GI143" s="333"/>
      <c r="GJ143" s="333"/>
      <c r="GK143" s="333"/>
      <c r="GL143" s="333"/>
      <c r="GV143" s="333"/>
      <c r="GW143" s="333"/>
      <c r="GX143" s="333"/>
      <c r="GY143" s="333"/>
      <c r="GZ143" s="333"/>
      <c r="HA143" s="333"/>
      <c r="IK143" s="334"/>
      <c r="IL143" s="333"/>
      <c r="IM143" s="333"/>
      <c r="IN143" s="335"/>
      <c r="IO143" s="333"/>
      <c r="IP143" s="333"/>
      <c r="IQ143" s="333"/>
      <c r="IU143" s="335"/>
      <c r="IV143" s="335"/>
      <c r="IW143" s="335"/>
      <c r="IX143" s="333"/>
      <c r="IY143" s="333"/>
      <c r="IZ143" s="333"/>
      <c r="JA143" s="333"/>
      <c r="JB143" s="333"/>
      <c r="JC143" s="333"/>
      <c r="JS143" s="333"/>
      <c r="JT143" s="333"/>
      <c r="JU143" s="333"/>
      <c r="KZ143" s="332">
        <f t="shared" si="39"/>
        <v>2983.2724999999996</v>
      </c>
      <c r="LA143" s="332">
        <f t="shared" si="40"/>
        <v>1568.9103750000002</v>
      </c>
      <c r="MD143" s="332">
        <v>0</v>
      </c>
      <c r="ME143" s="345">
        <v>0</v>
      </c>
      <c r="MF143" s="332">
        <v>0</v>
      </c>
      <c r="MG143" s="332">
        <v>0</v>
      </c>
      <c r="MH143" s="332">
        <v>0</v>
      </c>
      <c r="MI143" s="332">
        <v>0</v>
      </c>
    </row>
    <row r="144" spans="1:412">
      <c r="A144" s="295"/>
      <c r="DS144" s="333"/>
      <c r="DT144" s="333"/>
      <c r="DU144" s="333"/>
      <c r="FF144" s="333"/>
      <c r="FG144" s="333"/>
      <c r="FH144" s="333"/>
      <c r="FI144" s="333"/>
      <c r="FJ144" s="333"/>
      <c r="FK144" s="333"/>
      <c r="FL144" s="333"/>
      <c r="FM144" s="333"/>
      <c r="FN144" s="333"/>
      <c r="FO144" s="333"/>
      <c r="FP144" s="333"/>
      <c r="FQ144" s="333"/>
      <c r="FR144" s="333"/>
      <c r="FS144" s="333"/>
      <c r="FT144" s="333"/>
      <c r="FX144" s="333"/>
      <c r="FY144" s="333"/>
      <c r="FZ144" s="333"/>
      <c r="GA144" s="333"/>
      <c r="GB144" s="333"/>
      <c r="GC144" s="333"/>
      <c r="GD144" s="333"/>
      <c r="GE144" s="333"/>
      <c r="GF144" s="333"/>
      <c r="GG144" s="333"/>
      <c r="GH144" s="333"/>
      <c r="GI144" s="333"/>
      <c r="GJ144" s="333"/>
      <c r="GK144" s="333"/>
      <c r="GL144" s="333"/>
      <c r="GV144" s="333"/>
      <c r="GW144" s="333"/>
      <c r="GX144" s="333"/>
      <c r="GY144" s="333"/>
      <c r="GZ144" s="333"/>
      <c r="HA144" s="333"/>
      <c r="IK144" s="334"/>
      <c r="IL144" s="333"/>
      <c r="IM144" s="333"/>
      <c r="IN144" s="335"/>
      <c r="IO144" s="333"/>
      <c r="IP144" s="333"/>
      <c r="IQ144" s="333"/>
      <c r="IU144" s="335"/>
      <c r="IV144" s="335"/>
      <c r="IW144" s="335"/>
      <c r="IX144" s="333"/>
      <c r="IY144" s="333"/>
      <c r="IZ144" s="333"/>
      <c r="JA144" s="333"/>
      <c r="JB144" s="333"/>
      <c r="JC144" s="333"/>
      <c r="JS144" s="333"/>
      <c r="JT144" s="333"/>
      <c r="JU144" s="333"/>
      <c r="KZ144" s="332">
        <f t="shared" si="39"/>
        <v>5573.4375</v>
      </c>
      <c r="LA144" s="332">
        <f t="shared" si="40"/>
        <v>3832.5897500000001</v>
      </c>
      <c r="MD144" s="332">
        <v>0</v>
      </c>
      <c r="ME144" s="345">
        <v>0</v>
      </c>
      <c r="MF144" s="332">
        <v>0</v>
      </c>
      <c r="MG144" s="332">
        <v>0</v>
      </c>
      <c r="MH144" s="332">
        <v>0</v>
      </c>
      <c r="MI144" s="332">
        <v>0</v>
      </c>
    </row>
    <row r="145" spans="1:347">
      <c r="A145" s="295"/>
      <c r="DS145" s="333"/>
      <c r="DT145" s="333"/>
      <c r="DU145" s="333"/>
      <c r="FF145" s="333"/>
      <c r="FG145" s="333"/>
      <c r="FH145" s="333"/>
      <c r="FI145" s="333"/>
      <c r="FJ145" s="333"/>
      <c r="FK145" s="333"/>
      <c r="FL145" s="333"/>
      <c r="FM145" s="333"/>
      <c r="FN145" s="333"/>
      <c r="FO145" s="333"/>
      <c r="FP145" s="333"/>
      <c r="FQ145" s="333"/>
      <c r="FR145" s="333"/>
      <c r="FS145" s="333"/>
      <c r="FT145" s="333"/>
      <c r="FX145" s="333"/>
      <c r="FY145" s="333"/>
      <c r="FZ145" s="333"/>
      <c r="GA145" s="333"/>
      <c r="GB145" s="333"/>
      <c r="GC145" s="333"/>
      <c r="GD145" s="333"/>
      <c r="GE145" s="333"/>
      <c r="GF145" s="333"/>
      <c r="GG145" s="333"/>
      <c r="GH145" s="333"/>
      <c r="GI145" s="333"/>
      <c r="GJ145" s="333"/>
      <c r="GK145" s="333"/>
      <c r="GL145" s="333"/>
      <c r="GV145" s="333"/>
      <c r="GW145" s="333"/>
      <c r="GX145" s="333"/>
      <c r="GY145" s="333"/>
      <c r="GZ145" s="333"/>
      <c r="HA145" s="333"/>
      <c r="IK145" s="334"/>
      <c r="IL145" s="333"/>
      <c r="IM145" s="333"/>
      <c r="IN145" s="335"/>
      <c r="IU145" s="335"/>
      <c r="IV145" s="335"/>
      <c r="IW145" s="335"/>
      <c r="IX145" s="333"/>
      <c r="IY145" s="333"/>
      <c r="IZ145" s="333"/>
      <c r="JA145" s="333"/>
      <c r="JB145" s="333"/>
      <c r="JC145" s="333"/>
      <c r="JS145" s="333"/>
      <c r="JT145" s="333"/>
      <c r="JU145" s="333"/>
      <c r="KZ145" s="332">
        <f t="shared" si="39"/>
        <v>7243.4437499999995</v>
      </c>
      <c r="LA145" s="332">
        <f t="shared" si="40"/>
        <v>6159.5999999999995</v>
      </c>
      <c r="MD145" s="332">
        <v>0</v>
      </c>
      <c r="ME145" s="345">
        <v>0</v>
      </c>
      <c r="MF145" s="332">
        <v>0</v>
      </c>
      <c r="MG145" s="332">
        <v>0</v>
      </c>
      <c r="MH145" s="332">
        <v>0</v>
      </c>
      <c r="MI145" s="332">
        <v>0</v>
      </c>
    </row>
    <row r="146" spans="1:347">
      <c r="A146" s="295"/>
      <c r="DS146" s="333"/>
      <c r="DT146" s="333"/>
      <c r="DU146" s="333"/>
      <c r="FF146" s="333"/>
      <c r="FG146" s="333"/>
      <c r="FH146" s="333"/>
      <c r="FI146" s="333"/>
      <c r="FJ146" s="333"/>
      <c r="FK146" s="333"/>
      <c r="FL146" s="333"/>
      <c r="FM146" s="333"/>
      <c r="FN146" s="333"/>
      <c r="FO146" s="333"/>
      <c r="FP146" s="333"/>
      <c r="FQ146" s="333"/>
      <c r="FR146" s="333"/>
      <c r="FS146" s="333"/>
      <c r="FT146" s="333"/>
      <c r="FX146" s="333"/>
      <c r="FY146" s="333"/>
      <c r="FZ146" s="333"/>
      <c r="GA146" s="333"/>
      <c r="GB146" s="333"/>
      <c r="GC146" s="333"/>
      <c r="GD146" s="333"/>
      <c r="GE146" s="333"/>
      <c r="GF146" s="333"/>
      <c r="GG146" s="333"/>
      <c r="GH146" s="333"/>
      <c r="GI146" s="333"/>
      <c r="GJ146" s="333"/>
      <c r="GK146" s="333"/>
      <c r="GL146" s="333"/>
      <c r="GV146" s="333"/>
      <c r="GW146" s="333"/>
      <c r="GX146" s="333"/>
      <c r="GY146" s="333"/>
      <c r="GZ146" s="333"/>
      <c r="HA146" s="333"/>
      <c r="IK146" s="334"/>
      <c r="IL146" s="333"/>
      <c r="IM146" s="333"/>
      <c r="IN146" s="335"/>
      <c r="IU146" s="335"/>
      <c r="IV146" s="335"/>
      <c r="IW146" s="335"/>
      <c r="IX146" s="333"/>
      <c r="IY146" s="333"/>
      <c r="IZ146" s="333"/>
      <c r="JA146" s="333"/>
      <c r="JB146" s="333"/>
      <c r="JC146" s="333"/>
      <c r="JS146" s="333"/>
      <c r="JT146" s="333"/>
      <c r="JU146" s="333"/>
      <c r="KZ146" s="332">
        <f t="shared" si="39"/>
        <v>19798.274999999998</v>
      </c>
      <c r="LA146" s="332">
        <f t="shared" si="40"/>
        <v>7810.2493750000003</v>
      </c>
      <c r="MD146" s="332">
        <v>0.02</v>
      </c>
      <c r="ME146" s="345">
        <v>3.9199999999999999E-2</v>
      </c>
      <c r="MF146" s="332">
        <v>0</v>
      </c>
      <c r="MG146" s="332">
        <v>0</v>
      </c>
      <c r="MH146" s="332">
        <v>0</v>
      </c>
      <c r="MI146" s="332">
        <v>0</v>
      </c>
    </row>
    <row r="147" spans="1:347">
      <c r="A147" s="295"/>
      <c r="DS147" s="333"/>
      <c r="DT147" s="333"/>
      <c r="DU147" s="333"/>
      <c r="FF147" s="333"/>
      <c r="FG147" s="333"/>
      <c r="FH147" s="333"/>
      <c r="FI147" s="333"/>
      <c r="FJ147" s="333"/>
      <c r="FK147" s="333"/>
      <c r="FL147" s="333"/>
      <c r="FM147" s="333"/>
      <c r="FN147" s="333"/>
      <c r="FO147" s="333"/>
      <c r="FP147" s="333"/>
      <c r="FQ147" s="333"/>
      <c r="FR147" s="333"/>
      <c r="FS147" s="333"/>
      <c r="FT147" s="333"/>
      <c r="FX147" s="333"/>
      <c r="FY147" s="333"/>
      <c r="FZ147" s="333"/>
      <c r="GA147" s="333"/>
      <c r="GB147" s="333"/>
      <c r="GC147" s="333"/>
      <c r="GD147" s="333"/>
      <c r="GE147" s="333"/>
      <c r="GF147" s="333"/>
      <c r="GG147" s="333"/>
      <c r="GH147" s="333"/>
      <c r="GI147" s="333"/>
      <c r="GJ147" s="333"/>
      <c r="GK147" s="333"/>
      <c r="GL147" s="333"/>
      <c r="GV147" s="333"/>
      <c r="GW147" s="333"/>
      <c r="GX147" s="333"/>
      <c r="GY147" s="333"/>
      <c r="GZ147" s="333"/>
      <c r="HA147" s="333"/>
      <c r="IK147" s="334"/>
      <c r="IL147" s="333"/>
      <c r="IM147" s="333"/>
      <c r="IN147" s="335"/>
      <c r="IU147" s="335"/>
      <c r="IV147" s="335"/>
      <c r="IW147" s="335"/>
      <c r="IX147" s="333"/>
      <c r="IY147" s="333"/>
      <c r="IZ147" s="333"/>
      <c r="JA147" s="333"/>
      <c r="JB147" s="333"/>
      <c r="JC147" s="333"/>
      <c r="JS147" s="333"/>
      <c r="JT147" s="333"/>
      <c r="JU147" s="333"/>
      <c r="KZ147" s="332">
        <f t="shared" si="39"/>
        <v>0</v>
      </c>
      <c r="LA147" s="332">
        <f t="shared" si="40"/>
        <v>31.200000000000003</v>
      </c>
      <c r="MD147" s="332">
        <v>0</v>
      </c>
      <c r="ME147" s="345">
        <v>0</v>
      </c>
      <c r="MF147" s="332">
        <v>0.01</v>
      </c>
      <c r="MG147" s="332">
        <v>-3.7037037037037E-2</v>
      </c>
      <c r="MH147" s="332">
        <v>0</v>
      </c>
      <c r="MI147" s="332">
        <v>0</v>
      </c>
    </row>
    <row r="148" spans="1:347">
      <c r="A148" s="295"/>
      <c r="DS148" s="333"/>
      <c r="DT148" s="333"/>
      <c r="DU148" s="333"/>
      <c r="FF148" s="333"/>
      <c r="FG148" s="333"/>
      <c r="FH148" s="333"/>
      <c r="FI148" s="333"/>
      <c r="FJ148" s="333"/>
      <c r="FK148" s="333"/>
      <c r="FL148" s="333"/>
      <c r="FM148" s="333"/>
      <c r="FN148" s="333"/>
      <c r="FO148" s="333"/>
      <c r="FP148" s="333"/>
      <c r="FQ148" s="333"/>
      <c r="FR148" s="333"/>
      <c r="FS148" s="333"/>
      <c r="FT148" s="333"/>
      <c r="FX148" s="333"/>
      <c r="FY148" s="333"/>
      <c r="FZ148" s="333"/>
      <c r="GA148" s="333"/>
      <c r="GB148" s="333"/>
      <c r="GC148" s="333"/>
      <c r="GD148" s="333"/>
      <c r="GE148" s="333"/>
      <c r="GF148" s="333"/>
      <c r="GG148" s="333"/>
      <c r="GH148" s="333"/>
      <c r="GI148" s="333"/>
      <c r="GJ148" s="333"/>
      <c r="GK148" s="333"/>
      <c r="GL148" s="333"/>
      <c r="GV148" s="333"/>
      <c r="GW148" s="333"/>
      <c r="GX148" s="333"/>
      <c r="GY148" s="333"/>
      <c r="GZ148" s="333"/>
      <c r="HA148" s="333"/>
      <c r="IK148" s="334"/>
      <c r="IL148" s="333"/>
      <c r="IM148" s="333"/>
      <c r="IN148" s="335"/>
      <c r="IU148" s="335"/>
      <c r="IV148" s="335"/>
      <c r="IW148" s="335"/>
      <c r="IX148" s="333"/>
      <c r="IY148" s="333"/>
      <c r="IZ148" s="333"/>
      <c r="JA148" s="333"/>
      <c r="JB148" s="333"/>
      <c r="JC148" s="333"/>
      <c r="JS148" s="333"/>
      <c r="JT148" s="333"/>
      <c r="JU148" s="333"/>
      <c r="KZ148" s="332">
        <f t="shared" si="39"/>
        <v>578.70749999999998</v>
      </c>
      <c r="LA148" s="332">
        <f t="shared" si="40"/>
        <v>431.26600000000002</v>
      </c>
      <c r="MD148" s="332">
        <v>0</v>
      </c>
      <c r="ME148" s="345">
        <v>0</v>
      </c>
      <c r="MF148" s="332">
        <v>1.4999999999999999E-2</v>
      </c>
      <c r="MG148" s="332">
        <v>-3.6144578313252997E-2</v>
      </c>
      <c r="MH148" s="332">
        <v>0</v>
      </c>
      <c r="MI148" s="332">
        <v>0</v>
      </c>
    </row>
    <row r="149" spans="1:347">
      <c r="A149" s="295"/>
      <c r="FF149" s="333"/>
      <c r="FG149" s="333"/>
      <c r="FH149" s="333"/>
      <c r="FI149" s="333"/>
      <c r="FJ149" s="333"/>
      <c r="FK149" s="333"/>
      <c r="FL149" s="333"/>
      <c r="FM149" s="333"/>
      <c r="FN149" s="333"/>
      <c r="FO149" s="333"/>
      <c r="FP149" s="333"/>
      <c r="FQ149" s="333"/>
      <c r="FR149" s="333"/>
      <c r="FS149" s="333"/>
      <c r="FT149" s="333"/>
      <c r="FX149" s="333"/>
      <c r="FY149" s="333"/>
      <c r="FZ149" s="333"/>
      <c r="GA149" s="333"/>
      <c r="GB149" s="333"/>
      <c r="GC149" s="333"/>
      <c r="GD149" s="333"/>
      <c r="GE149" s="333"/>
      <c r="GF149" s="333"/>
      <c r="GG149" s="333"/>
      <c r="GH149" s="333"/>
      <c r="GI149" s="333"/>
      <c r="GJ149" s="333"/>
      <c r="GK149" s="333"/>
      <c r="GL149" s="333"/>
      <c r="GV149" s="333"/>
      <c r="GW149" s="333"/>
      <c r="GX149" s="333"/>
      <c r="GY149" s="333"/>
      <c r="GZ149" s="333"/>
      <c r="HA149" s="333"/>
      <c r="IL149" s="333"/>
      <c r="IM149" s="333"/>
      <c r="IN149" s="333"/>
      <c r="IU149" s="335"/>
      <c r="IV149" s="335"/>
      <c r="IW149" s="335"/>
      <c r="IX149" s="333"/>
      <c r="IY149" s="333"/>
      <c r="IZ149" s="333"/>
      <c r="JA149" s="333"/>
      <c r="JB149" s="333"/>
      <c r="JC149" s="333"/>
      <c r="JS149" s="333"/>
      <c r="JT149" s="333"/>
      <c r="JU149" s="333"/>
      <c r="KZ149" s="332">
        <f t="shared" si="39"/>
        <v>462.45625000000001</v>
      </c>
      <c r="LA149" s="332">
        <f t="shared" si="40"/>
        <v>28.879499999999997</v>
      </c>
      <c r="MD149" s="332">
        <v>0</v>
      </c>
    </row>
    <row r="150" spans="1:347">
      <c r="A150" s="295"/>
      <c r="FF150" s="333"/>
      <c r="FG150" s="333"/>
      <c r="FH150" s="333"/>
      <c r="FI150" s="333"/>
      <c r="FJ150" s="333"/>
      <c r="FK150" s="333"/>
      <c r="FL150" s="333"/>
      <c r="FM150" s="333"/>
      <c r="FN150" s="333"/>
      <c r="FO150" s="333"/>
      <c r="FP150" s="333"/>
      <c r="FQ150" s="333"/>
      <c r="FR150" s="333"/>
      <c r="FS150" s="333"/>
      <c r="FT150" s="333"/>
      <c r="FX150" s="333"/>
      <c r="FY150" s="333"/>
      <c r="FZ150" s="333"/>
      <c r="GA150" s="333"/>
      <c r="GB150" s="333"/>
      <c r="GC150" s="333"/>
      <c r="GD150" s="333"/>
      <c r="GE150" s="333"/>
      <c r="GF150" s="333"/>
      <c r="GG150" s="333"/>
      <c r="GH150" s="333"/>
      <c r="GI150" s="333"/>
      <c r="GJ150" s="333"/>
      <c r="GK150" s="333"/>
      <c r="GL150" s="333"/>
      <c r="GV150" s="333"/>
      <c r="GW150" s="333"/>
      <c r="GX150" s="333"/>
      <c r="GY150" s="333"/>
      <c r="GZ150" s="333"/>
      <c r="HA150" s="333"/>
      <c r="IL150" s="333"/>
      <c r="IM150" s="333"/>
      <c r="IN150" s="333"/>
      <c r="IU150" s="335"/>
      <c r="IV150" s="335"/>
      <c r="IW150" s="335"/>
      <c r="IX150" s="333"/>
      <c r="IY150" s="333"/>
      <c r="IZ150" s="333"/>
      <c r="JA150" s="333"/>
      <c r="JB150" s="333"/>
      <c r="JC150" s="333"/>
      <c r="JS150" s="333"/>
      <c r="JT150" s="333"/>
      <c r="JU150" s="333"/>
      <c r="KZ150" s="332">
        <f t="shared" si="39"/>
        <v>387.12812499999995</v>
      </c>
      <c r="LA150" s="332">
        <f t="shared" si="40"/>
        <v>218.33600000000001</v>
      </c>
      <c r="MD150" s="332">
        <v>0</v>
      </c>
      <c r="ME150" s="345">
        <v>0</v>
      </c>
      <c r="MF150" s="332">
        <v>0</v>
      </c>
      <c r="MG150" s="332">
        <v>0</v>
      </c>
      <c r="MH150" s="332">
        <v>0</v>
      </c>
      <c r="MI150" s="332">
        <v>0</v>
      </c>
    </row>
    <row r="151" spans="1:347">
      <c r="A151" s="295"/>
      <c r="FF151" s="333"/>
      <c r="FG151" s="333"/>
      <c r="FH151" s="333"/>
      <c r="FI151" s="333"/>
      <c r="FJ151" s="333"/>
      <c r="FK151" s="333"/>
      <c r="FL151" s="333"/>
      <c r="FM151" s="333"/>
      <c r="FN151" s="333"/>
      <c r="FO151" s="333"/>
      <c r="FP151" s="333"/>
      <c r="FQ151" s="333"/>
      <c r="FR151" s="333"/>
      <c r="FS151" s="333"/>
      <c r="FT151" s="333"/>
      <c r="FX151" s="333"/>
      <c r="FY151" s="333"/>
      <c r="FZ151" s="333"/>
      <c r="GA151" s="333"/>
      <c r="GB151" s="333"/>
      <c r="GC151" s="333"/>
      <c r="GD151" s="333"/>
      <c r="GE151" s="333"/>
      <c r="GF151" s="333"/>
      <c r="GG151" s="333"/>
      <c r="GH151" s="333"/>
      <c r="GI151" s="333"/>
      <c r="GJ151" s="333"/>
      <c r="GK151" s="333"/>
      <c r="GL151" s="333"/>
      <c r="GV151" s="333"/>
      <c r="GW151" s="333"/>
      <c r="GX151" s="333"/>
      <c r="GY151" s="333"/>
      <c r="GZ151" s="333"/>
      <c r="HA151" s="333"/>
      <c r="IL151" s="333"/>
      <c r="IM151" s="333"/>
      <c r="IN151" s="333"/>
      <c r="IU151" s="335"/>
      <c r="IV151" s="335"/>
      <c r="IW151" s="335"/>
      <c r="IX151" s="333"/>
      <c r="IY151" s="333"/>
      <c r="IZ151" s="333"/>
      <c r="JA151" s="333"/>
      <c r="JB151" s="333"/>
      <c r="JC151" s="333"/>
      <c r="JS151" s="333"/>
      <c r="JT151" s="333"/>
      <c r="JU151" s="333"/>
      <c r="KZ151" s="332">
        <f t="shared" si="39"/>
        <v>6782.05</v>
      </c>
      <c r="LA151" s="332">
        <f t="shared" si="40"/>
        <v>4975.9281250000004</v>
      </c>
      <c r="MD151" s="332">
        <v>0</v>
      </c>
      <c r="ME151" s="345">
        <v>0</v>
      </c>
      <c r="MF151" s="332">
        <v>0</v>
      </c>
      <c r="MG151" s="332">
        <v>0</v>
      </c>
      <c r="MH151" s="332">
        <v>0</v>
      </c>
      <c r="MI151" s="332">
        <v>0</v>
      </c>
    </row>
    <row r="152" spans="1:347">
      <c r="A152" s="295"/>
      <c r="FF152" s="333"/>
      <c r="FG152" s="333"/>
      <c r="FH152" s="333"/>
      <c r="FI152" s="333"/>
      <c r="FJ152" s="333"/>
      <c r="FK152" s="333"/>
      <c r="FL152" s="333"/>
      <c r="FM152" s="333"/>
      <c r="FN152" s="333"/>
      <c r="FO152" s="333"/>
      <c r="FP152" s="333"/>
      <c r="FQ152" s="333"/>
      <c r="FR152" s="333"/>
      <c r="FS152" s="333"/>
      <c r="FT152" s="333"/>
      <c r="FX152" s="333"/>
      <c r="FY152" s="333"/>
      <c r="FZ152" s="333"/>
      <c r="GA152" s="333"/>
      <c r="GB152" s="333"/>
      <c r="GC152" s="333"/>
      <c r="GD152" s="333"/>
      <c r="GE152" s="333"/>
      <c r="GF152" s="333"/>
      <c r="GG152" s="333"/>
      <c r="GH152" s="333"/>
      <c r="GI152" s="333"/>
      <c r="GJ152" s="333"/>
      <c r="GK152" s="333"/>
      <c r="GL152" s="333"/>
      <c r="GV152" s="333"/>
      <c r="GW152" s="333"/>
      <c r="GX152" s="333"/>
      <c r="GY152" s="333"/>
      <c r="GZ152" s="333"/>
      <c r="HA152" s="333"/>
      <c r="IL152" s="333"/>
      <c r="IM152" s="333"/>
      <c r="IN152" s="333"/>
      <c r="IU152" s="335"/>
      <c r="IV152" s="335"/>
      <c r="IW152" s="335"/>
      <c r="IX152" s="333"/>
      <c r="IY152" s="333"/>
      <c r="IZ152" s="333"/>
      <c r="JA152" s="333"/>
      <c r="JB152" s="333"/>
      <c r="JC152" s="333"/>
      <c r="JS152" s="333"/>
      <c r="JT152" s="333"/>
      <c r="JU152" s="333"/>
      <c r="KZ152" s="332">
        <f t="shared" si="39"/>
        <v>9159</v>
      </c>
      <c r="LA152" s="332">
        <f t="shared" si="40"/>
        <v>6224.2553749999997</v>
      </c>
      <c r="MD152" s="332">
        <v>-5.0000000000000001E-3</v>
      </c>
      <c r="ME152" s="345">
        <v>-1.0800000000000001E-2</v>
      </c>
      <c r="MF152" s="332">
        <v>2.5000000000000001E-2</v>
      </c>
      <c r="MG152" s="332">
        <v>-5.3763440860214999E-2</v>
      </c>
      <c r="MH152" s="332">
        <v>0</v>
      </c>
      <c r="MI152" s="332">
        <v>0</v>
      </c>
    </row>
    <row r="153" spans="1:347">
      <c r="A153" s="295"/>
      <c r="FF153" s="333"/>
      <c r="FG153" s="333"/>
      <c r="FH153" s="333"/>
      <c r="FI153" s="333"/>
      <c r="FJ153" s="333"/>
      <c r="FK153" s="333"/>
      <c r="FL153" s="333"/>
      <c r="FM153" s="333"/>
      <c r="FN153" s="333"/>
      <c r="FO153" s="333"/>
      <c r="FP153" s="333"/>
      <c r="FQ153" s="333"/>
      <c r="FR153" s="333"/>
      <c r="FS153" s="333"/>
      <c r="FT153" s="333"/>
      <c r="FX153" s="333"/>
      <c r="FY153" s="333"/>
      <c r="FZ153" s="333"/>
      <c r="GA153" s="333"/>
      <c r="GB153" s="333"/>
      <c r="GC153" s="333"/>
      <c r="GD153" s="333"/>
      <c r="GE153" s="333"/>
      <c r="GF153" s="333"/>
      <c r="GG153" s="333"/>
      <c r="GH153" s="333"/>
      <c r="GI153" s="333"/>
      <c r="GJ153" s="333"/>
      <c r="GK153" s="333"/>
      <c r="GL153" s="333"/>
      <c r="GV153" s="333"/>
      <c r="GW153" s="333"/>
      <c r="GX153" s="333"/>
      <c r="GY153" s="333"/>
      <c r="GZ153" s="333"/>
      <c r="HA153" s="333"/>
      <c r="IL153" s="333"/>
      <c r="IM153" s="333"/>
      <c r="IN153" s="333"/>
      <c r="IU153" s="335"/>
      <c r="IV153" s="335"/>
      <c r="IW153" s="335"/>
      <c r="IX153" s="333"/>
      <c r="IY153" s="333"/>
      <c r="IZ153" s="333"/>
      <c r="JA153" s="333"/>
      <c r="JB153" s="333"/>
      <c r="JC153" s="333"/>
      <c r="JS153" s="333"/>
      <c r="JT153" s="333"/>
      <c r="JU153" s="333"/>
      <c r="KZ153" s="332">
        <f t="shared" si="39"/>
        <v>3661.75</v>
      </c>
      <c r="LA153" s="332">
        <f t="shared" si="40"/>
        <v>2658</v>
      </c>
      <c r="MD153" s="332">
        <v>0</v>
      </c>
      <c r="ME153" s="345">
        <v>0</v>
      </c>
      <c r="MF153" s="332">
        <v>9.9999999999999898E-3</v>
      </c>
      <c r="MG153" s="332">
        <v>-1.94174757281553E-2</v>
      </c>
      <c r="MH153" s="332">
        <v>0</v>
      </c>
      <c r="MI153" s="332">
        <v>0</v>
      </c>
    </row>
    <row r="154" spans="1:347">
      <c r="A154" s="295"/>
      <c r="FF154" s="333"/>
      <c r="FG154" s="333"/>
      <c r="FH154" s="333"/>
      <c r="FI154" s="333"/>
      <c r="FJ154" s="333"/>
      <c r="FK154" s="333"/>
      <c r="FL154" s="333"/>
      <c r="FM154" s="333"/>
      <c r="FN154" s="333"/>
      <c r="FO154" s="333"/>
      <c r="FP154" s="333"/>
      <c r="FQ154" s="333"/>
      <c r="FR154" s="333"/>
      <c r="FS154" s="333"/>
      <c r="FT154" s="333"/>
      <c r="FX154" s="333"/>
      <c r="FY154" s="333"/>
      <c r="FZ154" s="333"/>
      <c r="GA154" s="333"/>
      <c r="GB154" s="333"/>
      <c r="GC154" s="333"/>
      <c r="GD154" s="333"/>
      <c r="GE154" s="333"/>
      <c r="GF154" s="333"/>
      <c r="GG154" s="333"/>
      <c r="GH154" s="333"/>
      <c r="GI154" s="333"/>
      <c r="GJ154" s="333"/>
      <c r="GK154" s="333"/>
      <c r="GL154" s="333"/>
      <c r="GV154" s="333"/>
      <c r="GW154" s="333"/>
      <c r="GX154" s="333"/>
      <c r="GY154" s="333"/>
      <c r="GZ154" s="333"/>
      <c r="HA154" s="333"/>
      <c r="IL154" s="333"/>
      <c r="IM154" s="333"/>
      <c r="IN154" s="333"/>
      <c r="IU154" s="335"/>
      <c r="IV154" s="335"/>
      <c r="IW154" s="335"/>
      <c r="IX154" s="333"/>
      <c r="IY154" s="333"/>
      <c r="IZ154" s="333"/>
      <c r="JA154" s="333"/>
      <c r="JB154" s="333"/>
      <c r="JC154" s="333"/>
      <c r="JS154" s="333"/>
      <c r="JT154" s="333"/>
      <c r="JU154" s="333"/>
      <c r="KZ154" s="332">
        <f t="shared" si="39"/>
        <v>4778.6118749999996</v>
      </c>
      <c r="LA154" s="332">
        <f t="shared" si="40"/>
        <v>3016.9387499999998</v>
      </c>
      <c r="MD154" s="332">
        <v>0</v>
      </c>
      <c r="ME154" s="345">
        <v>0</v>
      </c>
      <c r="MF154" s="332">
        <v>1.4999999999999999E-2</v>
      </c>
      <c r="MG154" s="332">
        <v>-3.0927835051546299E-2</v>
      </c>
      <c r="MH154" s="332">
        <v>0</v>
      </c>
      <c r="MI154" s="332">
        <v>0</v>
      </c>
    </row>
    <row r="155" spans="1:347">
      <c r="A155" s="295"/>
      <c r="FF155" s="333"/>
      <c r="FG155" s="333"/>
      <c r="FH155" s="333"/>
      <c r="FI155" s="333"/>
      <c r="FJ155" s="333"/>
      <c r="FK155" s="333"/>
      <c r="FL155" s="333"/>
      <c r="FM155" s="333"/>
      <c r="FN155" s="333"/>
      <c r="FO155" s="333"/>
      <c r="FP155" s="333"/>
      <c r="FQ155" s="333"/>
      <c r="FR155" s="333"/>
      <c r="FS155" s="333"/>
      <c r="FT155" s="333"/>
      <c r="FX155" s="333"/>
      <c r="FY155" s="333"/>
      <c r="FZ155" s="333"/>
      <c r="GA155" s="333"/>
      <c r="GB155" s="333"/>
      <c r="GC155" s="333"/>
      <c r="GD155" s="333"/>
      <c r="GE155" s="333"/>
      <c r="GF155" s="333"/>
      <c r="GG155" s="333"/>
      <c r="GH155" s="333"/>
      <c r="GI155" s="333"/>
      <c r="GJ155" s="333"/>
      <c r="GK155" s="333"/>
      <c r="GL155" s="333"/>
      <c r="GV155" s="333"/>
      <c r="GW155" s="333"/>
      <c r="GX155" s="333"/>
      <c r="GY155" s="333"/>
      <c r="GZ155" s="333"/>
      <c r="HA155" s="333"/>
      <c r="IL155" s="333"/>
      <c r="IM155" s="333"/>
      <c r="IN155" s="333"/>
      <c r="IU155" s="335"/>
      <c r="IV155" s="335"/>
      <c r="IW155" s="335"/>
      <c r="IX155" s="333"/>
      <c r="IY155" s="333"/>
      <c r="IZ155" s="333"/>
      <c r="JA155" s="333"/>
      <c r="JB155" s="333"/>
      <c r="JC155" s="333"/>
      <c r="JS155" s="333"/>
      <c r="JT155" s="333"/>
      <c r="JU155" s="333"/>
      <c r="KZ155" s="332">
        <f t="shared" si="39"/>
        <v>50.375</v>
      </c>
      <c r="LA155" s="332">
        <f t="shared" si="40"/>
        <v>127.36087499999999</v>
      </c>
      <c r="MD155" s="332">
        <v>0</v>
      </c>
      <c r="ME155" s="345">
        <v>0</v>
      </c>
      <c r="MF155" s="332">
        <v>0</v>
      </c>
      <c r="MG155" s="332">
        <v>0</v>
      </c>
      <c r="MH155" s="332">
        <v>0</v>
      </c>
      <c r="MI155" s="332">
        <v>0</v>
      </c>
    </row>
    <row r="156" spans="1:347">
      <c r="A156" s="295"/>
      <c r="FF156" s="333"/>
      <c r="FG156" s="333"/>
      <c r="FH156" s="333"/>
      <c r="FI156" s="333"/>
      <c r="FJ156" s="333"/>
      <c r="FK156" s="333"/>
      <c r="FL156" s="333"/>
      <c r="FM156" s="333"/>
      <c r="FN156" s="333"/>
      <c r="FO156" s="333"/>
      <c r="FP156" s="333"/>
      <c r="FQ156" s="333"/>
      <c r="FR156" s="333"/>
      <c r="FS156" s="333"/>
      <c r="FT156" s="333"/>
      <c r="FX156" s="333"/>
      <c r="FY156" s="333"/>
      <c r="FZ156" s="333"/>
      <c r="GA156" s="333"/>
      <c r="GB156" s="333"/>
      <c r="GC156" s="333"/>
      <c r="GD156" s="333"/>
      <c r="GE156" s="333"/>
      <c r="GF156" s="333"/>
      <c r="GG156" s="333"/>
      <c r="GH156" s="333"/>
      <c r="GI156" s="333"/>
      <c r="GJ156" s="333"/>
      <c r="GK156" s="333"/>
      <c r="GL156" s="333"/>
      <c r="GV156" s="333"/>
      <c r="GW156" s="333"/>
      <c r="GX156" s="333"/>
      <c r="GY156" s="333"/>
      <c r="GZ156" s="333"/>
      <c r="HA156" s="333"/>
      <c r="IL156" s="333"/>
      <c r="IM156" s="333"/>
      <c r="IN156" s="333"/>
      <c r="IU156" s="335"/>
      <c r="IV156" s="335"/>
      <c r="IW156" s="335"/>
      <c r="IX156" s="333"/>
      <c r="IY156" s="333"/>
      <c r="IZ156" s="333"/>
      <c r="JA156" s="333"/>
      <c r="JB156" s="333"/>
      <c r="JC156" s="333"/>
      <c r="JS156" s="333"/>
      <c r="JT156" s="333"/>
      <c r="JU156" s="333"/>
      <c r="KZ156" s="332">
        <f t="shared" si="39"/>
        <v>0</v>
      </c>
      <c r="LA156" s="332">
        <f t="shared" si="40"/>
        <v>0</v>
      </c>
    </row>
    <row r="157" spans="1:347">
      <c r="A157" s="295"/>
      <c r="FF157" s="333"/>
      <c r="FG157" s="333"/>
      <c r="FH157" s="333"/>
      <c r="FI157" s="333"/>
      <c r="FJ157" s="333"/>
      <c r="FK157" s="333"/>
      <c r="FL157" s="333"/>
      <c r="FM157" s="333"/>
      <c r="FN157" s="333"/>
      <c r="FO157" s="333"/>
      <c r="FP157" s="333"/>
      <c r="FQ157" s="333"/>
      <c r="FR157" s="333"/>
      <c r="FS157" s="333"/>
      <c r="FT157" s="333"/>
      <c r="FX157" s="333"/>
      <c r="FY157" s="333"/>
      <c r="FZ157" s="333"/>
      <c r="GA157" s="333"/>
      <c r="GB157" s="333"/>
      <c r="GC157" s="333"/>
      <c r="GD157" s="333"/>
      <c r="GE157" s="333"/>
      <c r="GF157" s="333"/>
      <c r="GG157" s="333"/>
      <c r="GH157" s="333"/>
      <c r="GI157" s="333"/>
      <c r="GJ157" s="333"/>
      <c r="GK157" s="333"/>
      <c r="GL157" s="333"/>
      <c r="GV157" s="333"/>
      <c r="GW157" s="333"/>
      <c r="GX157" s="333"/>
      <c r="GY157" s="333"/>
      <c r="GZ157" s="333"/>
      <c r="HA157" s="333"/>
      <c r="IL157" s="333"/>
      <c r="IM157" s="333"/>
      <c r="IN157" s="333"/>
      <c r="IU157" s="335"/>
      <c r="IV157" s="335"/>
      <c r="IW157" s="335"/>
      <c r="IX157" s="333"/>
      <c r="IY157" s="333"/>
      <c r="IZ157" s="333"/>
      <c r="JA157" s="333"/>
      <c r="JB157" s="333"/>
      <c r="JC157" s="333"/>
      <c r="JS157" s="333"/>
      <c r="JT157" s="333"/>
      <c r="JU157" s="333"/>
      <c r="KZ157" s="332">
        <f t="shared" si="39"/>
        <v>1068.3543749999999</v>
      </c>
      <c r="LA157" s="332">
        <f t="shared" si="40"/>
        <v>914.75562500000001</v>
      </c>
      <c r="MD157" s="332">
        <v>0</v>
      </c>
      <c r="ME157" s="345">
        <v>0</v>
      </c>
      <c r="MF157" s="332">
        <v>0</v>
      </c>
      <c r="MG157" s="332">
        <v>0</v>
      </c>
      <c r="MH157" s="332">
        <v>0</v>
      </c>
      <c r="MI157" s="332">
        <v>0</v>
      </c>
    </row>
    <row r="158" spans="1:347">
      <c r="A158" s="295"/>
      <c r="FF158" s="333"/>
      <c r="FG158" s="333"/>
      <c r="FH158" s="333"/>
      <c r="FI158" s="333"/>
      <c r="FJ158" s="333"/>
      <c r="FK158" s="333"/>
      <c r="FL158" s="333"/>
      <c r="FM158" s="333"/>
      <c r="FN158" s="333"/>
      <c r="FO158" s="333"/>
      <c r="FP158" s="333"/>
      <c r="FQ158" s="333"/>
      <c r="FR158" s="333"/>
      <c r="FS158" s="333"/>
      <c r="FT158" s="333"/>
      <c r="FX158" s="333"/>
      <c r="FY158" s="333"/>
      <c r="FZ158" s="333"/>
      <c r="GA158" s="333"/>
      <c r="GB158" s="333"/>
      <c r="GC158" s="333"/>
      <c r="GD158" s="333"/>
      <c r="GE158" s="333"/>
      <c r="GF158" s="333"/>
      <c r="GG158" s="333"/>
      <c r="GH158" s="333"/>
      <c r="GI158" s="333"/>
      <c r="GJ158" s="333"/>
      <c r="GK158" s="333"/>
      <c r="GL158" s="333"/>
      <c r="GV158" s="333"/>
      <c r="GW158" s="333"/>
      <c r="GX158" s="333"/>
      <c r="GY158" s="333"/>
      <c r="GZ158" s="333"/>
      <c r="HA158" s="333"/>
      <c r="IL158" s="333"/>
      <c r="IM158" s="333"/>
      <c r="IN158" s="333"/>
      <c r="IU158" s="335"/>
      <c r="IV158" s="335"/>
      <c r="IW158" s="335"/>
      <c r="IX158" s="333"/>
      <c r="IY158" s="333"/>
      <c r="IZ158" s="333"/>
      <c r="JA158" s="333"/>
      <c r="JB158" s="333"/>
      <c r="JC158" s="333"/>
      <c r="JS158" s="333"/>
      <c r="JT158" s="333"/>
      <c r="JU158" s="333"/>
      <c r="KZ158" s="332">
        <f t="shared" si="39"/>
        <v>7406.9624999999996</v>
      </c>
      <c r="LA158" s="332">
        <f t="shared" si="40"/>
        <v>4369.9406250000002</v>
      </c>
      <c r="MD158" s="332">
        <v>0</v>
      </c>
      <c r="ME158" s="345">
        <v>0</v>
      </c>
      <c r="MF158" s="332">
        <v>0</v>
      </c>
      <c r="MG158" s="332">
        <v>0</v>
      </c>
      <c r="MH158" s="332">
        <v>0</v>
      </c>
      <c r="MI158" s="332">
        <v>0</v>
      </c>
    </row>
    <row r="159" spans="1:347">
      <c r="A159" s="295"/>
      <c r="FF159" s="333"/>
      <c r="FG159" s="333"/>
      <c r="FH159" s="333"/>
      <c r="FI159" s="333"/>
      <c r="FJ159" s="333"/>
      <c r="FK159" s="333"/>
      <c r="FL159" s="333"/>
      <c r="FM159" s="333"/>
      <c r="FN159" s="333"/>
      <c r="FO159" s="333"/>
      <c r="FP159" s="333"/>
      <c r="FQ159" s="333"/>
      <c r="FR159" s="333"/>
      <c r="FS159" s="333"/>
      <c r="FT159" s="333"/>
      <c r="FX159" s="333"/>
      <c r="FY159" s="333"/>
      <c r="FZ159" s="333"/>
      <c r="GA159" s="333"/>
      <c r="GB159" s="333"/>
      <c r="GC159" s="333"/>
      <c r="GD159" s="333"/>
      <c r="GE159" s="333"/>
      <c r="GF159" s="333"/>
      <c r="GG159" s="333"/>
      <c r="GH159" s="333"/>
      <c r="GI159" s="333"/>
      <c r="GJ159" s="333"/>
      <c r="GK159" s="333"/>
      <c r="GL159" s="333"/>
      <c r="GV159" s="333"/>
      <c r="GW159" s="333"/>
      <c r="GX159" s="333"/>
      <c r="GY159" s="333"/>
      <c r="GZ159" s="333"/>
      <c r="HA159" s="333"/>
      <c r="IL159" s="333"/>
      <c r="IM159" s="333"/>
      <c r="IN159" s="333"/>
      <c r="IU159" s="335"/>
      <c r="IV159" s="335"/>
      <c r="IW159" s="335"/>
      <c r="IX159" s="333"/>
      <c r="IY159" s="333"/>
      <c r="IZ159" s="333"/>
      <c r="JA159" s="333"/>
      <c r="JB159" s="333"/>
      <c r="JC159" s="333"/>
      <c r="JS159" s="333"/>
      <c r="JT159" s="333"/>
      <c r="JU159" s="333"/>
      <c r="KZ159" s="332">
        <f t="shared" si="39"/>
        <v>1107.1443750000001</v>
      </c>
      <c r="LA159" s="332">
        <f t="shared" si="40"/>
        <v>877.678</v>
      </c>
      <c r="MD159" s="332">
        <v>0</v>
      </c>
      <c r="ME159" s="345">
        <v>0</v>
      </c>
      <c r="MF159" s="332">
        <v>0</v>
      </c>
      <c r="MG159" s="332">
        <v>0</v>
      </c>
      <c r="MH159" s="332">
        <v>0</v>
      </c>
      <c r="MI159" s="332">
        <v>0</v>
      </c>
    </row>
    <row r="160" spans="1:347">
      <c r="A160" s="295"/>
      <c r="FF160" s="333"/>
      <c r="FG160" s="333"/>
      <c r="FH160" s="333"/>
      <c r="FI160" s="333"/>
      <c r="FJ160" s="333"/>
      <c r="FK160" s="333"/>
      <c r="FL160" s="333"/>
      <c r="FM160" s="333"/>
      <c r="FN160" s="333"/>
      <c r="FO160" s="333"/>
      <c r="FP160" s="333"/>
      <c r="FQ160" s="333"/>
      <c r="FR160" s="333"/>
      <c r="FS160" s="333"/>
      <c r="FT160" s="333"/>
      <c r="FX160" s="333"/>
      <c r="FY160" s="333"/>
      <c r="FZ160" s="333"/>
      <c r="GA160" s="333"/>
      <c r="GB160" s="333"/>
      <c r="GC160" s="333"/>
      <c r="GD160" s="333"/>
      <c r="GE160" s="333"/>
      <c r="GF160" s="333"/>
      <c r="GG160" s="333"/>
      <c r="GH160" s="333"/>
      <c r="GI160" s="333"/>
      <c r="GJ160" s="333"/>
      <c r="GK160" s="333"/>
      <c r="GL160" s="333"/>
      <c r="GV160" s="333"/>
      <c r="GW160" s="333"/>
      <c r="GX160" s="333"/>
      <c r="GY160" s="333"/>
      <c r="GZ160" s="333"/>
      <c r="HA160" s="333"/>
      <c r="IL160" s="333"/>
      <c r="IM160" s="333"/>
      <c r="IN160" s="333"/>
      <c r="IU160" s="335"/>
      <c r="IV160" s="335"/>
      <c r="IW160" s="335"/>
      <c r="IX160" s="333"/>
      <c r="IY160" s="333"/>
      <c r="IZ160" s="333"/>
      <c r="JA160" s="333"/>
      <c r="JB160" s="333"/>
      <c r="JC160" s="333"/>
      <c r="JS160" s="333"/>
      <c r="JT160" s="333"/>
      <c r="JU160" s="333"/>
      <c r="KZ160" s="332">
        <f t="shared" si="39"/>
        <v>1971.30375</v>
      </c>
      <c r="LA160" s="332">
        <f t="shared" si="40"/>
        <v>1131.6599999999999</v>
      </c>
      <c r="MD160" s="332">
        <v>0</v>
      </c>
      <c r="ME160" s="345">
        <v>0</v>
      </c>
      <c r="MF160" s="332">
        <v>0</v>
      </c>
      <c r="MG160" s="332">
        <v>0</v>
      </c>
      <c r="MH160" s="332">
        <v>9.9999999999999898E-3</v>
      </c>
      <c r="MI160" s="332">
        <v>2.77777777777777E-2</v>
      </c>
    </row>
    <row r="161" spans="1:366">
      <c r="A161" s="295"/>
      <c r="FF161" s="333"/>
      <c r="FG161" s="333"/>
      <c r="FH161" s="333"/>
      <c r="FI161" s="333"/>
      <c r="FJ161" s="333"/>
      <c r="FK161" s="333"/>
      <c r="FL161" s="333"/>
      <c r="FM161" s="333"/>
      <c r="FN161" s="333"/>
      <c r="FO161" s="333"/>
      <c r="FP161" s="333"/>
      <c r="FQ161" s="333"/>
      <c r="FR161" s="333"/>
      <c r="FS161" s="333"/>
      <c r="FT161" s="333"/>
      <c r="FX161" s="333"/>
      <c r="FY161" s="333"/>
      <c r="FZ161" s="333"/>
      <c r="GA161" s="333"/>
      <c r="GB161" s="333"/>
      <c r="GC161" s="333"/>
      <c r="GD161" s="333"/>
      <c r="GE161" s="333"/>
      <c r="GF161" s="333"/>
      <c r="GG161" s="333"/>
      <c r="GH161" s="333"/>
      <c r="GI161" s="333"/>
      <c r="GJ161" s="333"/>
      <c r="GK161" s="333"/>
      <c r="GL161" s="333"/>
      <c r="GV161" s="333"/>
      <c r="GW161" s="333"/>
      <c r="GX161" s="333"/>
      <c r="GY161" s="333"/>
      <c r="GZ161" s="333"/>
      <c r="HA161" s="333"/>
      <c r="IL161" s="333"/>
      <c r="IM161" s="333"/>
      <c r="IN161" s="333"/>
      <c r="IU161" s="335"/>
      <c r="IV161" s="335"/>
      <c r="IW161" s="335"/>
      <c r="IX161" s="333"/>
      <c r="IY161" s="333"/>
      <c r="IZ161" s="333"/>
      <c r="JA161" s="333"/>
      <c r="JB161" s="333"/>
      <c r="JC161" s="333"/>
      <c r="JS161" s="333"/>
      <c r="JT161" s="333"/>
      <c r="JU161" s="333"/>
      <c r="KZ161" s="332">
        <f t="shared" si="39"/>
        <v>0</v>
      </c>
      <c r="LA161" s="332">
        <f t="shared" si="40"/>
        <v>1021.0859999999999</v>
      </c>
      <c r="MD161" s="332">
        <v>0</v>
      </c>
      <c r="ME161" s="345">
        <v>0</v>
      </c>
      <c r="MF161" s="332">
        <v>0.01</v>
      </c>
      <c r="MG161" s="332">
        <v>-2.3255813953488299E-2</v>
      </c>
      <c r="MH161" s="332">
        <v>0</v>
      </c>
      <c r="MI161" s="332">
        <v>0</v>
      </c>
    </row>
    <row r="162" spans="1:366">
      <c r="A162" s="295"/>
      <c r="FF162" s="333"/>
      <c r="FG162" s="333"/>
      <c r="FH162" s="333"/>
      <c r="FI162" s="333"/>
      <c r="FJ162" s="333"/>
      <c r="FK162" s="333"/>
      <c r="FL162" s="333"/>
      <c r="FM162" s="333"/>
      <c r="FN162" s="333"/>
      <c r="FR162" s="333"/>
      <c r="FS162" s="333"/>
      <c r="FT162" s="333"/>
      <c r="FX162" s="333"/>
      <c r="FY162" s="333"/>
      <c r="FZ162" s="333"/>
      <c r="GA162" s="333"/>
      <c r="GB162" s="333"/>
      <c r="GC162" s="333"/>
      <c r="GD162" s="333"/>
      <c r="GE162" s="333"/>
      <c r="GF162" s="333"/>
      <c r="GG162" s="333"/>
      <c r="GH162" s="333"/>
      <c r="GI162" s="333"/>
      <c r="GJ162" s="333"/>
      <c r="GK162" s="333"/>
      <c r="GL162" s="333"/>
      <c r="GV162" s="333"/>
      <c r="GW162" s="333"/>
      <c r="GX162" s="333"/>
      <c r="GY162" s="333"/>
      <c r="GZ162" s="333"/>
      <c r="HA162" s="333"/>
      <c r="IL162" s="333"/>
      <c r="IM162" s="333"/>
      <c r="IN162" s="333"/>
      <c r="IU162" s="335"/>
      <c r="IV162" s="335"/>
      <c r="IW162" s="335"/>
      <c r="IX162" s="333"/>
      <c r="IY162" s="333"/>
      <c r="IZ162" s="333"/>
      <c r="JA162" s="333"/>
      <c r="JB162" s="333"/>
      <c r="JC162" s="333"/>
      <c r="JS162" s="333"/>
      <c r="JT162" s="333"/>
      <c r="JU162" s="333"/>
      <c r="KZ162" s="332">
        <f t="shared" si="39"/>
        <v>1753.3687500000001</v>
      </c>
      <c r="LA162" s="332">
        <f t="shared" si="40"/>
        <v>1937.0823750000002</v>
      </c>
      <c r="MD162" s="332">
        <v>0</v>
      </c>
      <c r="ME162" s="345">
        <v>0</v>
      </c>
      <c r="MF162" s="332">
        <v>0</v>
      </c>
      <c r="MG162" s="332">
        <v>0</v>
      </c>
      <c r="MH162" s="332">
        <v>9.9999999999999898E-3</v>
      </c>
      <c r="MI162" s="332">
        <v>1.9801980198019799E-2</v>
      </c>
      <c r="MY162" s="332">
        <v>1.63</v>
      </c>
      <c r="MZ162" s="332">
        <v>-0.88</v>
      </c>
      <c r="NA162" s="332">
        <v>-1.75</v>
      </c>
      <c r="NB162" s="332">
        <v>-4.75</v>
      </c>
    </row>
    <row r="163" spans="1:366">
      <c r="A163" s="295"/>
      <c r="FF163" s="333"/>
      <c r="FG163" s="333"/>
      <c r="FH163" s="333"/>
      <c r="FI163" s="333"/>
      <c r="FJ163" s="333"/>
      <c r="FK163" s="333"/>
      <c r="FL163" s="333"/>
      <c r="FM163" s="333"/>
      <c r="FN163" s="333"/>
      <c r="FR163" s="333"/>
      <c r="FS163" s="333"/>
      <c r="FT163" s="333"/>
      <c r="FX163" s="333"/>
      <c r="FY163" s="333"/>
      <c r="FZ163" s="333"/>
      <c r="GA163" s="333"/>
      <c r="GB163" s="333"/>
      <c r="GC163" s="333"/>
      <c r="GD163" s="333"/>
      <c r="GE163" s="333"/>
      <c r="GF163" s="333"/>
      <c r="GG163" s="333"/>
      <c r="GH163" s="333"/>
      <c r="GI163" s="333"/>
      <c r="GJ163" s="333"/>
      <c r="GK163" s="333"/>
      <c r="GL163" s="333"/>
      <c r="GV163" s="333"/>
      <c r="GW163" s="333"/>
      <c r="GX163" s="333"/>
      <c r="GY163" s="333"/>
      <c r="GZ163" s="333"/>
      <c r="HA163" s="333"/>
      <c r="IL163" s="333"/>
      <c r="IM163" s="333"/>
      <c r="IN163" s="333"/>
      <c r="IU163" s="335"/>
      <c r="IV163" s="335"/>
      <c r="IW163" s="335"/>
      <c r="IX163" s="333"/>
      <c r="IY163" s="333"/>
      <c r="IZ163" s="333"/>
      <c r="JA163" s="333"/>
      <c r="JB163" s="333"/>
      <c r="JC163" s="333"/>
      <c r="JS163" s="333"/>
      <c r="JT163" s="333"/>
      <c r="JU163" s="333"/>
      <c r="KZ163" s="332">
        <f t="shared" si="39"/>
        <v>1523.7950000000001</v>
      </c>
      <c r="LA163" s="332">
        <f t="shared" si="40"/>
        <v>1446.9358750000001</v>
      </c>
      <c r="MD163" s="332">
        <v>1.4999999999999999E-2</v>
      </c>
      <c r="ME163" s="345">
        <v>3.85E-2</v>
      </c>
      <c r="MF163" s="332">
        <v>0</v>
      </c>
      <c r="MG163" s="332">
        <v>0</v>
      </c>
      <c r="MH163" s="332">
        <v>0</v>
      </c>
      <c r="MI163" s="332">
        <v>0</v>
      </c>
      <c r="MY163" s="332">
        <v>1.5</v>
      </c>
      <c r="MZ163" s="332">
        <v>3.13</v>
      </c>
      <c r="NA163" s="332">
        <v>-2.5</v>
      </c>
      <c r="NB163" s="332">
        <v>-4.25</v>
      </c>
    </row>
    <row r="164" spans="1:366">
      <c r="A164" s="295"/>
      <c r="FF164" s="333"/>
      <c r="FG164" s="333"/>
      <c r="FH164" s="333"/>
      <c r="FI164" s="333"/>
      <c r="FJ164" s="333"/>
      <c r="FK164" s="333"/>
      <c r="FL164" s="333"/>
      <c r="FM164" s="333"/>
      <c r="FN164" s="333"/>
      <c r="FR164" s="333"/>
      <c r="FS164" s="333"/>
      <c r="FT164" s="333"/>
      <c r="FX164" s="333"/>
      <c r="FY164" s="333"/>
      <c r="FZ164" s="333"/>
      <c r="GA164" s="333"/>
      <c r="GB164" s="333"/>
      <c r="GC164" s="333"/>
      <c r="GD164" s="333"/>
      <c r="GE164" s="333"/>
      <c r="GF164" s="333"/>
      <c r="GG164" s="333"/>
      <c r="GH164" s="333"/>
      <c r="GI164" s="333"/>
      <c r="GJ164" s="333"/>
      <c r="GK164" s="333"/>
      <c r="GL164" s="333"/>
      <c r="GV164" s="333"/>
      <c r="GW164" s="333"/>
      <c r="GX164" s="333"/>
      <c r="GY164" s="333"/>
      <c r="GZ164" s="333"/>
      <c r="HA164" s="333"/>
      <c r="IL164" s="333"/>
      <c r="IM164" s="333"/>
      <c r="IN164" s="333"/>
      <c r="IU164" s="335"/>
      <c r="IV164" s="335"/>
      <c r="IW164" s="335"/>
      <c r="IX164" s="333"/>
      <c r="IY164" s="333"/>
      <c r="IZ164" s="333"/>
      <c r="JA164" s="333"/>
      <c r="JB164" s="333"/>
      <c r="JC164" s="333"/>
      <c r="JS164" s="333"/>
      <c r="JT164" s="333"/>
      <c r="JU164" s="333"/>
      <c r="KZ164" s="332">
        <f t="shared" si="39"/>
        <v>0</v>
      </c>
      <c r="LA164" s="332">
        <f t="shared" si="40"/>
        <v>0</v>
      </c>
      <c r="MY164" s="332">
        <v>1.25</v>
      </c>
      <c r="MZ164" s="332">
        <v>-0.63</v>
      </c>
      <c r="NA164" s="332">
        <v>-3.25</v>
      </c>
      <c r="NB164" s="332">
        <v>-4.13</v>
      </c>
    </row>
    <row r="165" spans="1:366">
      <c r="A165" s="295"/>
      <c r="FF165" s="333"/>
      <c r="FG165" s="333"/>
      <c r="FH165" s="333"/>
      <c r="FI165" s="333"/>
      <c r="FJ165" s="333"/>
      <c r="FK165" s="333"/>
      <c r="FL165" s="333"/>
      <c r="FM165" s="333"/>
      <c r="FN165" s="333"/>
      <c r="FR165" s="333"/>
      <c r="FS165" s="333"/>
      <c r="FT165" s="333"/>
      <c r="FX165" s="333"/>
      <c r="FY165" s="333"/>
      <c r="FZ165" s="333"/>
      <c r="GA165" s="333"/>
      <c r="GB165" s="333"/>
      <c r="GC165" s="333"/>
      <c r="GD165" s="333"/>
      <c r="GE165" s="333"/>
      <c r="GF165" s="333"/>
      <c r="GG165" s="333"/>
      <c r="GH165" s="333"/>
      <c r="GI165" s="333"/>
      <c r="GJ165" s="333"/>
      <c r="GK165" s="333"/>
      <c r="GL165" s="333"/>
      <c r="GV165" s="333"/>
      <c r="GW165" s="333"/>
      <c r="GX165" s="333"/>
      <c r="GY165" s="333"/>
      <c r="GZ165" s="333"/>
      <c r="HA165" s="333"/>
      <c r="IL165" s="333"/>
      <c r="IM165" s="333"/>
      <c r="IN165" s="333"/>
      <c r="IU165" s="335"/>
      <c r="IV165" s="335"/>
      <c r="IW165" s="335"/>
      <c r="IX165" s="333"/>
      <c r="IY165" s="333"/>
      <c r="IZ165" s="333"/>
      <c r="JA165" s="333"/>
      <c r="JB165" s="333"/>
      <c r="JC165" s="333"/>
      <c r="JS165" s="333"/>
      <c r="JT165" s="333"/>
      <c r="JU165" s="333"/>
      <c r="KZ165" s="332">
        <f t="shared" si="39"/>
        <v>21.262500000000003</v>
      </c>
      <c r="LA165" s="332">
        <f t="shared" si="40"/>
        <v>33.615000000000002</v>
      </c>
      <c r="MD165" s="332">
        <v>0</v>
      </c>
      <c r="ME165" s="345">
        <v>0</v>
      </c>
      <c r="MF165" s="332">
        <v>0</v>
      </c>
      <c r="MG165" s="332">
        <v>0</v>
      </c>
      <c r="MH165" s="332">
        <v>0</v>
      </c>
      <c r="MI165" s="332">
        <v>0</v>
      </c>
      <c r="MY165" s="332">
        <v>-2.5</v>
      </c>
      <c r="MZ165" s="332">
        <v>-1</v>
      </c>
      <c r="NA165" s="332">
        <v>-3.13</v>
      </c>
      <c r="NB165" s="332">
        <v>-8.3800000000000008</v>
      </c>
    </row>
    <row r="166" spans="1:366">
      <c r="A166" s="295"/>
      <c r="FF166" s="333"/>
      <c r="FG166" s="333"/>
      <c r="FH166" s="333"/>
      <c r="FI166" s="333"/>
      <c r="FJ166" s="333"/>
      <c r="FK166" s="333"/>
      <c r="FL166" s="333"/>
      <c r="FM166" s="333"/>
      <c r="FN166" s="333"/>
      <c r="FR166" s="333"/>
      <c r="FS166" s="333"/>
      <c r="FT166" s="333"/>
      <c r="FX166" s="333"/>
      <c r="FY166" s="333"/>
      <c r="FZ166" s="333"/>
      <c r="GA166" s="333"/>
      <c r="GB166" s="333"/>
      <c r="GC166" s="333"/>
      <c r="GD166" s="333"/>
      <c r="GE166" s="333"/>
      <c r="GF166" s="333"/>
      <c r="GG166" s="333"/>
      <c r="GH166" s="333"/>
      <c r="GI166" s="333"/>
      <c r="GJ166" s="333"/>
      <c r="GK166" s="333"/>
      <c r="GL166" s="333"/>
      <c r="GV166" s="333"/>
      <c r="GW166" s="333"/>
      <c r="GX166" s="333"/>
      <c r="GY166" s="333"/>
      <c r="GZ166" s="333"/>
      <c r="HA166" s="333"/>
      <c r="IL166" s="333"/>
      <c r="IM166" s="333"/>
      <c r="IN166" s="333"/>
      <c r="IU166" s="335"/>
      <c r="IV166" s="335"/>
      <c r="IW166" s="335"/>
      <c r="IX166" s="333"/>
      <c r="IY166" s="333"/>
      <c r="IZ166" s="333"/>
      <c r="JA166" s="333"/>
      <c r="JB166" s="333"/>
      <c r="JC166" s="333"/>
      <c r="JS166" s="333"/>
      <c r="JT166" s="333"/>
      <c r="JU166" s="333"/>
      <c r="KZ166" s="332">
        <f t="shared" si="39"/>
        <v>1267.2</v>
      </c>
      <c r="LA166" s="332">
        <f t="shared" si="40"/>
        <v>847.04987500000004</v>
      </c>
      <c r="MD166" s="332">
        <v>0</v>
      </c>
      <c r="ME166" s="345">
        <v>0</v>
      </c>
      <c r="MF166" s="332">
        <v>0</v>
      </c>
      <c r="MG166" s="332">
        <v>0</v>
      </c>
      <c r="MH166" s="332">
        <v>0</v>
      </c>
      <c r="MI166" s="332">
        <v>0</v>
      </c>
      <c r="MY166" s="332">
        <v>1.67</v>
      </c>
      <c r="MZ166" s="332">
        <v>0.33</v>
      </c>
      <c r="NA166" s="332">
        <v>-1.83</v>
      </c>
      <c r="NB166" s="332">
        <v>-0.92</v>
      </c>
    </row>
    <row r="167" spans="1:366">
      <c r="A167" s="295"/>
      <c r="FF167" s="333"/>
      <c r="FG167" s="333"/>
      <c r="FH167" s="333"/>
      <c r="FI167" s="333"/>
      <c r="FJ167" s="333"/>
      <c r="FK167" s="333"/>
      <c r="FL167" s="333"/>
      <c r="FM167" s="333"/>
      <c r="FN167" s="333"/>
      <c r="FR167" s="333"/>
      <c r="FS167" s="333"/>
      <c r="FT167" s="333"/>
      <c r="FX167" s="333"/>
      <c r="FY167" s="333"/>
      <c r="FZ167" s="333"/>
      <c r="GA167" s="333"/>
      <c r="GB167" s="333"/>
      <c r="GC167" s="333"/>
      <c r="GD167" s="333"/>
      <c r="GE167" s="333"/>
      <c r="GF167" s="333"/>
      <c r="GG167" s="333"/>
      <c r="GH167" s="333"/>
      <c r="GI167" s="333"/>
      <c r="GJ167" s="333"/>
      <c r="GK167" s="333"/>
      <c r="GL167" s="333"/>
      <c r="GV167" s="333"/>
      <c r="GW167" s="333"/>
      <c r="GX167" s="333"/>
      <c r="GY167" s="333"/>
      <c r="GZ167" s="333"/>
      <c r="HA167" s="333"/>
      <c r="IL167" s="333"/>
      <c r="IM167" s="333"/>
      <c r="IN167" s="333"/>
      <c r="IU167" s="335"/>
      <c r="IV167" s="335"/>
      <c r="IW167" s="335"/>
      <c r="IX167" s="333"/>
      <c r="IY167" s="333"/>
      <c r="IZ167" s="333"/>
      <c r="JA167" s="333"/>
      <c r="JB167" s="333"/>
      <c r="JC167" s="333"/>
      <c r="JS167" s="333"/>
      <c r="JT167" s="333"/>
      <c r="JU167" s="333"/>
      <c r="KZ167" s="332">
        <f t="shared" si="39"/>
        <v>2997.7850000000003</v>
      </c>
      <c r="LA167" s="332">
        <f t="shared" si="40"/>
        <v>2087.1612500000001</v>
      </c>
      <c r="MD167" s="332">
        <v>0</v>
      </c>
      <c r="ME167" s="345">
        <v>0</v>
      </c>
      <c r="MF167" s="332">
        <v>0</v>
      </c>
      <c r="MG167" s="332">
        <v>0</v>
      </c>
      <c r="MH167" s="332">
        <v>0</v>
      </c>
      <c r="MI167" s="332">
        <v>0</v>
      </c>
      <c r="MY167" s="332">
        <v>0.5</v>
      </c>
      <c r="MZ167" s="332">
        <v>-2.88</v>
      </c>
      <c r="NA167" s="332">
        <v>-0.75</v>
      </c>
      <c r="NB167" s="332">
        <v>-5.75</v>
      </c>
    </row>
    <row r="168" spans="1:366">
      <c r="A168" s="295"/>
      <c r="FF168" s="333"/>
      <c r="FG168" s="333"/>
      <c r="FH168" s="333"/>
      <c r="FL168" s="333"/>
      <c r="FM168" s="333"/>
      <c r="FN168" s="333"/>
      <c r="FR168" s="333"/>
      <c r="FS168" s="333"/>
      <c r="FT168" s="333"/>
      <c r="FX168" s="333"/>
      <c r="FY168" s="333"/>
      <c r="FZ168" s="333"/>
      <c r="GA168" s="333"/>
      <c r="GB168" s="333"/>
      <c r="GC168" s="333"/>
      <c r="GD168" s="333"/>
      <c r="GE168" s="333"/>
      <c r="GF168" s="333"/>
      <c r="GG168" s="333"/>
      <c r="GH168" s="333"/>
      <c r="GI168" s="333"/>
      <c r="GJ168" s="333"/>
      <c r="GK168" s="333"/>
      <c r="GL168" s="333"/>
      <c r="GV168" s="333"/>
      <c r="GW168" s="333"/>
      <c r="GX168" s="333"/>
      <c r="GY168" s="333"/>
      <c r="GZ168" s="333"/>
      <c r="HA168" s="333"/>
      <c r="IL168" s="333"/>
      <c r="IM168" s="333"/>
      <c r="IN168" s="333"/>
      <c r="IU168" s="335"/>
      <c r="IV168" s="335"/>
      <c r="IW168" s="335"/>
      <c r="IX168" s="333"/>
      <c r="IY168" s="333"/>
      <c r="IZ168" s="333"/>
      <c r="JA168" s="333"/>
      <c r="JB168" s="333"/>
      <c r="JC168" s="333"/>
      <c r="JS168" s="333"/>
      <c r="JT168" s="333"/>
      <c r="JU168" s="333"/>
      <c r="KZ168" s="332">
        <f t="shared" si="39"/>
        <v>1812.0749999999998</v>
      </c>
      <c r="LA168" s="332">
        <f t="shared" si="40"/>
        <v>2900.3233749999999</v>
      </c>
      <c r="MD168" s="332">
        <v>-0.19</v>
      </c>
      <c r="ME168" s="345">
        <v>-0.43180000000000002</v>
      </c>
      <c r="MF168" s="332">
        <v>0</v>
      </c>
      <c r="MG168" s="332">
        <v>0</v>
      </c>
      <c r="MH168" s="332">
        <v>0</v>
      </c>
      <c r="MI168" s="332">
        <v>0</v>
      </c>
      <c r="MY168" s="332">
        <v>0.38</v>
      </c>
      <c r="MZ168" s="332">
        <v>3.13</v>
      </c>
      <c r="NA168" s="332">
        <v>-2.5</v>
      </c>
      <c r="NB168" s="332">
        <v>-3.5</v>
      </c>
    </row>
    <row r="169" spans="1:366">
      <c r="A169" s="295"/>
      <c r="FF169" s="333"/>
      <c r="FG169" s="333"/>
      <c r="FH169" s="333"/>
      <c r="FL169" s="333"/>
      <c r="FM169" s="333"/>
      <c r="FN169" s="333"/>
      <c r="FR169" s="333"/>
      <c r="FS169" s="333"/>
      <c r="FT169" s="333"/>
      <c r="FX169" s="333"/>
      <c r="FY169" s="333"/>
      <c r="FZ169" s="333"/>
      <c r="GA169" s="333"/>
      <c r="GB169" s="333"/>
      <c r="GC169" s="333"/>
      <c r="GD169" s="333"/>
      <c r="GE169" s="333"/>
      <c r="GF169" s="333"/>
      <c r="GG169" s="333"/>
      <c r="GH169" s="333"/>
      <c r="GI169" s="333"/>
      <c r="GJ169" s="333"/>
      <c r="GK169" s="333"/>
      <c r="GL169" s="333"/>
      <c r="GV169" s="333"/>
      <c r="GW169" s="333"/>
      <c r="GX169" s="333"/>
      <c r="GY169" s="333"/>
      <c r="GZ169" s="333"/>
      <c r="HA169" s="333"/>
      <c r="IL169" s="333"/>
      <c r="IM169" s="333"/>
      <c r="IN169" s="333"/>
      <c r="IU169" s="335"/>
      <c r="IV169" s="335"/>
      <c r="IW169" s="335"/>
      <c r="IX169" s="333"/>
      <c r="IY169" s="333"/>
      <c r="IZ169" s="333"/>
      <c r="JA169" s="333"/>
      <c r="JB169" s="333"/>
      <c r="JC169" s="333"/>
      <c r="JS169" s="333"/>
      <c r="JT169" s="333"/>
      <c r="JU169" s="333"/>
      <c r="KZ169" s="332">
        <f t="shared" si="39"/>
        <v>6425.44</v>
      </c>
      <c r="LA169" s="332">
        <f t="shared" si="40"/>
        <v>2647.2945</v>
      </c>
      <c r="MD169" s="332">
        <v>0</v>
      </c>
      <c r="ME169" s="345">
        <v>0</v>
      </c>
      <c r="MF169" s="332">
        <v>0</v>
      </c>
      <c r="MG169" s="332">
        <v>0</v>
      </c>
      <c r="MH169" s="332">
        <v>0</v>
      </c>
      <c r="MI169" s="332">
        <v>0</v>
      </c>
      <c r="MY169" s="332">
        <v>-0.38</v>
      </c>
      <c r="MZ169" s="332">
        <v>-0.88</v>
      </c>
      <c r="NA169" s="332">
        <v>-0.88</v>
      </c>
      <c r="NB169" s="332">
        <v>-4.38</v>
      </c>
    </row>
    <row r="170" spans="1:366">
      <c r="A170" s="295"/>
      <c r="FF170" s="333"/>
      <c r="FG170" s="333"/>
      <c r="FH170" s="333"/>
      <c r="FL170" s="333"/>
      <c r="FM170" s="333"/>
      <c r="FN170" s="333"/>
      <c r="FR170" s="333"/>
      <c r="FS170" s="333"/>
      <c r="FT170" s="333"/>
      <c r="FX170" s="333"/>
      <c r="FY170" s="333"/>
      <c r="FZ170" s="333"/>
      <c r="GA170" s="333"/>
      <c r="GB170" s="333"/>
      <c r="GC170" s="333"/>
      <c r="GD170" s="333"/>
      <c r="GE170" s="333"/>
      <c r="GF170" s="333"/>
      <c r="GG170" s="333"/>
      <c r="GH170" s="333"/>
      <c r="GI170" s="333"/>
      <c r="GJ170" s="333"/>
      <c r="GK170" s="333"/>
      <c r="GL170" s="333"/>
      <c r="GV170" s="333"/>
      <c r="GW170" s="333"/>
      <c r="GX170" s="333"/>
      <c r="GY170" s="333"/>
      <c r="GZ170" s="333"/>
      <c r="HA170" s="333"/>
      <c r="IL170" s="333"/>
      <c r="IM170" s="333"/>
      <c r="IN170" s="333"/>
      <c r="IU170" s="335"/>
      <c r="IV170" s="335"/>
      <c r="IW170" s="335"/>
      <c r="IX170" s="333"/>
      <c r="IY170" s="333"/>
      <c r="IZ170" s="333"/>
      <c r="JA170" s="333"/>
      <c r="JB170" s="333"/>
      <c r="JC170" s="333"/>
      <c r="JS170" s="333"/>
      <c r="JT170" s="333"/>
      <c r="JU170" s="333"/>
      <c r="KZ170" s="332">
        <f t="shared" si="39"/>
        <v>1822.3731249999998</v>
      </c>
      <c r="LA170" s="332">
        <f t="shared" si="40"/>
        <v>1336.163125</v>
      </c>
      <c r="MD170" s="332">
        <v>0</v>
      </c>
      <c r="ME170" s="345">
        <v>0</v>
      </c>
      <c r="MF170" s="332">
        <v>0</v>
      </c>
      <c r="MG170" s="332">
        <v>0</v>
      </c>
      <c r="MH170" s="332">
        <v>0</v>
      </c>
      <c r="MI170" s="332">
        <v>0</v>
      </c>
      <c r="MY170" s="332">
        <v>0.38</v>
      </c>
      <c r="MZ170" s="332">
        <v>1</v>
      </c>
      <c r="NA170" s="332">
        <v>-3.5</v>
      </c>
      <c r="NB170" s="332">
        <v>-7.63</v>
      </c>
    </row>
    <row r="171" spans="1:366">
      <c r="A171" s="295"/>
      <c r="FF171" s="333"/>
      <c r="FG171" s="333"/>
      <c r="FH171" s="333"/>
      <c r="FL171" s="333"/>
      <c r="FM171" s="333"/>
      <c r="FN171" s="333"/>
      <c r="FR171" s="333"/>
      <c r="FS171" s="333"/>
      <c r="FT171" s="333"/>
      <c r="FX171" s="333"/>
      <c r="FY171" s="333"/>
      <c r="FZ171" s="333"/>
      <c r="GA171" s="333"/>
      <c r="GB171" s="333"/>
      <c r="GC171" s="333"/>
      <c r="GD171" s="333"/>
      <c r="GE171" s="333"/>
      <c r="GF171" s="333"/>
      <c r="GG171" s="333"/>
      <c r="GH171" s="333"/>
      <c r="GI171" s="333"/>
      <c r="GJ171" s="333"/>
      <c r="GK171" s="333"/>
      <c r="GL171" s="333"/>
      <c r="GV171" s="333"/>
      <c r="GW171" s="333"/>
      <c r="GX171" s="333"/>
      <c r="GY171" s="333"/>
      <c r="GZ171" s="333"/>
      <c r="HA171" s="333"/>
      <c r="IL171" s="333"/>
      <c r="IM171" s="333"/>
      <c r="IN171" s="333"/>
      <c r="IU171" s="335"/>
      <c r="IV171" s="335"/>
      <c r="IW171" s="335"/>
      <c r="IX171" s="333"/>
      <c r="IY171" s="333"/>
      <c r="IZ171" s="333"/>
      <c r="JA171" s="333"/>
      <c r="JB171" s="333"/>
      <c r="JC171" s="333"/>
      <c r="JS171" s="333"/>
      <c r="JT171" s="333"/>
      <c r="JU171" s="333"/>
      <c r="KZ171" s="332">
        <f t="shared" si="39"/>
        <v>471.32249999999999</v>
      </c>
      <c r="LA171" s="332">
        <f t="shared" si="40"/>
        <v>363.34999999999997</v>
      </c>
      <c r="MD171" s="332">
        <v>0</v>
      </c>
      <c r="ME171" s="345">
        <v>0</v>
      </c>
      <c r="MF171" s="332">
        <v>0</v>
      </c>
      <c r="MG171" s="332">
        <v>0</v>
      </c>
      <c r="MH171" s="332">
        <v>9.9999999999999898E-3</v>
      </c>
      <c r="MI171" s="332">
        <v>2.27272727272727E-2</v>
      </c>
      <c r="MY171" s="332">
        <v>0.81</v>
      </c>
      <c r="MZ171" s="332">
        <v>-1.1299999999999999</v>
      </c>
      <c r="NA171" s="332">
        <v>-0.25</v>
      </c>
      <c r="NB171" s="332">
        <v>-1.56</v>
      </c>
    </row>
    <row r="172" spans="1:366">
      <c r="A172" s="295"/>
      <c r="FF172" s="333"/>
      <c r="FG172" s="333"/>
      <c r="FH172" s="333"/>
      <c r="FL172" s="333"/>
      <c r="FM172" s="333"/>
      <c r="FN172" s="333"/>
      <c r="FR172" s="333"/>
      <c r="FS172" s="333"/>
      <c r="FT172" s="333"/>
      <c r="FX172" s="333"/>
      <c r="FY172" s="333"/>
      <c r="FZ172" s="333"/>
      <c r="GA172" s="333"/>
      <c r="GB172" s="333"/>
      <c r="GC172" s="333"/>
      <c r="GD172" s="333"/>
      <c r="GE172" s="333"/>
      <c r="GF172" s="333"/>
      <c r="GG172" s="333"/>
      <c r="GH172" s="333"/>
      <c r="GI172" s="333"/>
      <c r="GJ172" s="333"/>
      <c r="GK172" s="333"/>
      <c r="GL172" s="333"/>
      <c r="GV172" s="333"/>
      <c r="GW172" s="333"/>
      <c r="GX172" s="333"/>
      <c r="GY172" s="333"/>
      <c r="GZ172" s="333"/>
      <c r="HA172" s="333"/>
      <c r="IL172" s="333"/>
      <c r="IM172" s="333"/>
      <c r="IN172" s="333"/>
      <c r="IU172" s="335"/>
      <c r="IV172" s="335"/>
      <c r="IW172" s="335"/>
      <c r="IX172" s="333"/>
      <c r="IY172" s="333"/>
      <c r="IZ172" s="333"/>
      <c r="JA172" s="333"/>
      <c r="JB172" s="333"/>
      <c r="JC172" s="333"/>
      <c r="JS172" s="333"/>
      <c r="JT172" s="333"/>
      <c r="JU172" s="333"/>
      <c r="KZ172" s="332">
        <f t="shared" si="39"/>
        <v>0</v>
      </c>
      <c r="LA172" s="332">
        <f t="shared" si="40"/>
        <v>0</v>
      </c>
      <c r="MY172" s="332">
        <v>2.31</v>
      </c>
      <c r="MZ172" s="332">
        <v>-0.25</v>
      </c>
      <c r="NA172" s="332">
        <v>-1.25</v>
      </c>
      <c r="NB172" s="332">
        <v>-1.44</v>
      </c>
    </row>
    <row r="173" spans="1:366">
      <c r="A173" s="295"/>
      <c r="FF173" s="333"/>
      <c r="FG173" s="333"/>
      <c r="FH173" s="333"/>
      <c r="FL173" s="333"/>
      <c r="FM173" s="333"/>
      <c r="FN173" s="333"/>
      <c r="FR173" s="333"/>
      <c r="FS173" s="333"/>
      <c r="FT173" s="333"/>
      <c r="FX173" s="333"/>
      <c r="FY173" s="333"/>
      <c r="FZ173" s="333"/>
      <c r="GA173" s="333"/>
      <c r="GB173" s="333"/>
      <c r="GC173" s="333"/>
      <c r="GD173" s="333"/>
      <c r="GE173" s="333"/>
      <c r="GF173" s="333"/>
      <c r="GG173" s="333"/>
      <c r="GH173" s="333"/>
      <c r="GI173" s="333"/>
      <c r="GJ173" s="333"/>
      <c r="GK173" s="333"/>
      <c r="GL173" s="333"/>
      <c r="GV173" s="333"/>
      <c r="GW173" s="333"/>
      <c r="GX173" s="333"/>
      <c r="GY173" s="333"/>
      <c r="GZ173" s="333"/>
      <c r="HA173" s="333"/>
      <c r="IL173" s="333"/>
      <c r="IM173" s="333"/>
      <c r="IN173" s="333"/>
      <c r="IU173" s="335"/>
      <c r="IV173" s="335"/>
      <c r="IW173" s="335"/>
      <c r="IX173" s="333"/>
      <c r="IY173" s="333"/>
      <c r="IZ173" s="333"/>
      <c r="JA173" s="333"/>
      <c r="JB173" s="333"/>
      <c r="JC173" s="333"/>
      <c r="JS173" s="333"/>
      <c r="JT173" s="333"/>
      <c r="JU173" s="333"/>
      <c r="KZ173" s="332">
        <f t="shared" si="39"/>
        <v>4126.2540000000008</v>
      </c>
      <c r="LA173" s="332">
        <f t="shared" si="40"/>
        <v>2891.9900000000002</v>
      </c>
      <c r="MD173" s="332">
        <v>0</v>
      </c>
      <c r="ME173" s="345">
        <v>0</v>
      </c>
      <c r="MF173" s="332">
        <v>0</v>
      </c>
      <c r="MG173" s="332">
        <v>0</v>
      </c>
      <c r="MH173" s="332">
        <v>0</v>
      </c>
      <c r="MI173" s="332">
        <v>0</v>
      </c>
      <c r="MY173" s="332">
        <v>1</v>
      </c>
      <c r="MZ173" s="332">
        <v>-2.13</v>
      </c>
      <c r="NA173" s="332">
        <v>-4.25</v>
      </c>
      <c r="NB173" s="332">
        <v>-7.5</v>
      </c>
    </row>
    <row r="174" spans="1:366">
      <c r="A174" s="295"/>
      <c r="FF174" s="333"/>
      <c r="FG174" s="333"/>
      <c r="FH174" s="333"/>
      <c r="FL174" s="333"/>
      <c r="FM174" s="333"/>
      <c r="FN174" s="333"/>
      <c r="FR174" s="333"/>
      <c r="FS174" s="333"/>
      <c r="FT174" s="333"/>
      <c r="FX174" s="333"/>
      <c r="FY174" s="333"/>
      <c r="FZ174" s="333"/>
      <c r="GA174" s="333"/>
      <c r="GB174" s="333"/>
      <c r="GC174" s="333"/>
      <c r="GD174" s="333"/>
      <c r="GE174" s="333"/>
      <c r="GF174" s="333"/>
      <c r="GG174" s="333"/>
      <c r="GH174" s="333"/>
      <c r="GI174" s="333"/>
      <c r="GJ174" s="333"/>
      <c r="GK174" s="333"/>
      <c r="GL174" s="333"/>
      <c r="GV174" s="333"/>
      <c r="GW174" s="333"/>
      <c r="GX174" s="333"/>
      <c r="GY174" s="333"/>
      <c r="GZ174" s="333"/>
      <c r="HA174" s="333"/>
      <c r="IL174" s="333"/>
      <c r="IM174" s="333"/>
      <c r="IN174" s="333"/>
      <c r="IU174" s="335"/>
      <c r="IV174" s="335"/>
      <c r="IW174" s="335"/>
      <c r="IX174" s="333"/>
      <c r="IY174" s="333"/>
      <c r="IZ174" s="333"/>
      <c r="JA174" s="333"/>
      <c r="JB174" s="333"/>
      <c r="JC174" s="333"/>
      <c r="JS174" s="333"/>
      <c r="JT174" s="333"/>
      <c r="JU174" s="333"/>
      <c r="KZ174" s="332">
        <f t="shared" si="39"/>
        <v>3083.50875</v>
      </c>
      <c r="LA174" s="332">
        <f t="shared" si="40"/>
        <v>1712.7130000000002</v>
      </c>
      <c r="MD174" s="332">
        <v>0</v>
      </c>
      <c r="ME174" s="345">
        <v>0</v>
      </c>
      <c r="MF174" s="332">
        <v>0</v>
      </c>
      <c r="MG174" s="332">
        <v>0</v>
      </c>
      <c r="MH174" s="332">
        <v>0</v>
      </c>
      <c r="MI174" s="332">
        <v>0</v>
      </c>
      <c r="MY174" s="332">
        <v>1.75</v>
      </c>
      <c r="MZ174" s="332">
        <v>-0.5</v>
      </c>
      <c r="NA174" s="332">
        <v>-2.38</v>
      </c>
      <c r="NB174" s="332">
        <v>-4.13</v>
      </c>
    </row>
    <row r="175" spans="1:366">
      <c r="A175" s="295"/>
      <c r="FF175" s="333"/>
      <c r="FG175" s="333"/>
      <c r="FH175" s="333"/>
      <c r="FL175" s="333"/>
      <c r="FM175" s="333"/>
      <c r="FN175" s="333"/>
      <c r="FR175" s="333"/>
      <c r="FS175" s="333"/>
      <c r="FT175" s="333"/>
      <c r="FX175" s="333"/>
      <c r="FY175" s="333"/>
      <c r="FZ175" s="333"/>
      <c r="GA175" s="333"/>
      <c r="GB175" s="333"/>
      <c r="GC175" s="333"/>
      <c r="GD175" s="333"/>
      <c r="GE175" s="333"/>
      <c r="GF175" s="333"/>
      <c r="GG175" s="333"/>
      <c r="GH175" s="333"/>
      <c r="GI175" s="333"/>
      <c r="GJ175" s="333"/>
      <c r="GK175" s="333"/>
      <c r="GL175" s="333"/>
      <c r="GV175" s="333"/>
      <c r="GW175" s="333"/>
      <c r="GX175" s="333"/>
      <c r="GY175" s="333"/>
      <c r="GZ175" s="333"/>
      <c r="HA175" s="333"/>
      <c r="IL175" s="333"/>
      <c r="IM175" s="333"/>
      <c r="IN175" s="333"/>
      <c r="IU175" s="335"/>
      <c r="IV175" s="335"/>
      <c r="IW175" s="335"/>
      <c r="IX175" s="333"/>
      <c r="IY175" s="333"/>
      <c r="IZ175" s="333"/>
      <c r="JA175" s="333"/>
      <c r="JB175" s="333"/>
      <c r="JC175" s="333"/>
      <c r="JS175" s="333"/>
      <c r="JT175" s="333"/>
      <c r="JU175" s="333"/>
      <c r="KZ175" s="332">
        <f t="shared" si="39"/>
        <v>19242.875</v>
      </c>
      <c r="LA175" s="332">
        <f t="shared" si="40"/>
        <v>965.2912500000001</v>
      </c>
      <c r="MD175" s="332">
        <v>0</v>
      </c>
      <c r="ME175" s="345">
        <v>0</v>
      </c>
      <c r="MF175" s="332">
        <v>0</v>
      </c>
      <c r="MG175" s="332">
        <v>0</v>
      </c>
      <c r="MH175" s="332">
        <v>0.02</v>
      </c>
      <c r="MI175" s="332">
        <v>6.6666666666666596E-2</v>
      </c>
      <c r="MY175" s="332">
        <v>0.42</v>
      </c>
      <c r="MZ175" s="332">
        <v>-0.42</v>
      </c>
      <c r="NA175" s="332">
        <v>-1.08</v>
      </c>
      <c r="NB175" s="332">
        <v>-3.25</v>
      </c>
    </row>
    <row r="176" spans="1:366">
      <c r="A176" s="295"/>
      <c r="FF176" s="333"/>
      <c r="FG176" s="333"/>
      <c r="FH176" s="333"/>
      <c r="FL176" s="333"/>
      <c r="FM176" s="333"/>
      <c r="FN176" s="333"/>
      <c r="FR176" s="333"/>
      <c r="FS176" s="333"/>
      <c r="FT176" s="333"/>
      <c r="FX176" s="333"/>
      <c r="FY176" s="333"/>
      <c r="FZ176" s="333"/>
      <c r="GA176" s="333"/>
      <c r="GB176" s="333"/>
      <c r="GC176" s="333"/>
      <c r="GD176" s="333"/>
      <c r="GE176" s="333"/>
      <c r="GF176" s="333"/>
      <c r="GG176" s="333"/>
      <c r="GH176" s="333"/>
      <c r="GI176" s="333"/>
      <c r="GJ176" s="333"/>
      <c r="GK176" s="333"/>
      <c r="GL176" s="333"/>
      <c r="GV176" s="333"/>
      <c r="GW176" s="333"/>
      <c r="GX176" s="333"/>
      <c r="GY176" s="333"/>
      <c r="GZ176" s="333"/>
      <c r="HA176" s="333"/>
      <c r="IL176" s="333"/>
      <c r="IM176" s="333"/>
      <c r="IN176" s="333"/>
      <c r="IU176" s="335"/>
      <c r="IV176" s="335"/>
      <c r="IW176" s="335"/>
      <c r="IX176" s="333"/>
      <c r="IY176" s="333"/>
      <c r="IZ176" s="333"/>
      <c r="JA176" s="333"/>
      <c r="JB176" s="333"/>
      <c r="JC176" s="333"/>
      <c r="JS176" s="333"/>
      <c r="JT176" s="333"/>
      <c r="JU176" s="333"/>
      <c r="KZ176" s="332">
        <f t="shared" si="39"/>
        <v>2748.1824999999999</v>
      </c>
      <c r="LA176" s="332">
        <f t="shared" si="40"/>
        <v>2154.4503749999999</v>
      </c>
      <c r="MD176" s="332">
        <v>0</v>
      </c>
      <c r="ME176" s="345">
        <v>0</v>
      </c>
      <c r="MF176" s="332">
        <v>0</v>
      </c>
      <c r="MG176" s="332">
        <v>0</v>
      </c>
      <c r="MH176" s="332">
        <v>0</v>
      </c>
      <c r="MI176" s="332">
        <v>0</v>
      </c>
      <c r="MY176" s="332">
        <v>0.63</v>
      </c>
      <c r="MZ176" s="332">
        <v>0.75</v>
      </c>
      <c r="NA176" s="332">
        <v>-1.75</v>
      </c>
      <c r="NB176" s="332">
        <v>-3.88</v>
      </c>
    </row>
    <row r="177" spans="1:366">
      <c r="A177" s="295"/>
      <c r="FF177" s="333"/>
      <c r="FG177" s="333"/>
      <c r="FH177" s="333"/>
      <c r="FL177" s="333"/>
      <c r="FM177" s="333"/>
      <c r="FN177" s="333"/>
      <c r="FR177" s="333"/>
      <c r="FS177" s="333"/>
      <c r="FT177" s="333"/>
      <c r="FX177" s="333"/>
      <c r="FY177" s="333"/>
      <c r="FZ177" s="333"/>
      <c r="GA177" s="333"/>
      <c r="GB177" s="333"/>
      <c r="GC177" s="333"/>
      <c r="GD177" s="333"/>
      <c r="GE177" s="333"/>
      <c r="GF177" s="333"/>
      <c r="GG177" s="333"/>
      <c r="GH177" s="333"/>
      <c r="GI177" s="333"/>
      <c r="GJ177" s="333"/>
      <c r="GK177" s="333"/>
      <c r="GL177" s="333"/>
      <c r="GV177" s="333"/>
      <c r="GW177" s="333"/>
      <c r="GX177" s="333"/>
      <c r="GY177" s="333"/>
      <c r="GZ177" s="333"/>
      <c r="HA177" s="333"/>
      <c r="IL177" s="333"/>
      <c r="IM177" s="333"/>
      <c r="IN177" s="333"/>
      <c r="IU177" s="335"/>
      <c r="IV177" s="335"/>
      <c r="IW177" s="335"/>
      <c r="IX177" s="333"/>
      <c r="IY177" s="333"/>
      <c r="IZ177" s="333"/>
      <c r="JA177" s="333"/>
      <c r="JB177" s="333"/>
      <c r="JC177" s="333"/>
      <c r="JS177" s="333"/>
      <c r="JT177" s="333"/>
      <c r="JU177" s="333"/>
      <c r="KZ177" s="332">
        <f t="shared" si="39"/>
        <v>1950.165</v>
      </c>
      <c r="LA177" s="332">
        <f t="shared" si="40"/>
        <v>1280.533625</v>
      </c>
      <c r="MD177" s="332">
        <v>0</v>
      </c>
      <c r="ME177" s="345">
        <v>0</v>
      </c>
      <c r="MF177" s="332">
        <v>0</v>
      </c>
      <c r="MG177" s="332">
        <v>0</v>
      </c>
      <c r="MH177" s="332">
        <v>0</v>
      </c>
      <c r="MI177" s="332">
        <v>0</v>
      </c>
      <c r="MY177" s="332">
        <v>-1.25</v>
      </c>
      <c r="MZ177" s="332">
        <v>0.88</v>
      </c>
      <c r="NA177" s="332">
        <v>-3.63</v>
      </c>
      <c r="NB177" s="332">
        <v>-9.3800000000000008</v>
      </c>
    </row>
    <row r="178" spans="1:366">
      <c r="A178" s="295"/>
      <c r="FF178" s="333"/>
      <c r="FG178" s="333"/>
      <c r="FH178" s="333"/>
      <c r="FL178" s="333"/>
      <c r="FM178" s="333"/>
      <c r="FN178" s="333"/>
      <c r="FR178" s="333"/>
      <c r="FS178" s="333"/>
      <c r="FT178" s="333"/>
      <c r="FX178" s="333"/>
      <c r="FY178" s="333"/>
      <c r="FZ178" s="333"/>
      <c r="GA178" s="333"/>
      <c r="GB178" s="333"/>
      <c r="GC178" s="333"/>
      <c r="GD178" s="333"/>
      <c r="GE178" s="333"/>
      <c r="GF178" s="333"/>
      <c r="GG178" s="333"/>
      <c r="GH178" s="333"/>
      <c r="GI178" s="333"/>
      <c r="GJ178" s="333"/>
      <c r="GK178" s="333"/>
      <c r="GL178" s="333"/>
      <c r="GV178" s="333"/>
      <c r="GW178" s="333"/>
      <c r="GX178" s="333"/>
      <c r="GY178" s="333"/>
      <c r="GZ178" s="333"/>
      <c r="HA178" s="333"/>
      <c r="IL178" s="333"/>
      <c r="IM178" s="333"/>
      <c r="IN178" s="333"/>
      <c r="IU178" s="335"/>
      <c r="IV178" s="335"/>
      <c r="IW178" s="335"/>
      <c r="IX178" s="333"/>
      <c r="IY178" s="333"/>
      <c r="IZ178" s="333"/>
      <c r="JA178" s="333"/>
      <c r="JB178" s="333"/>
      <c r="JC178" s="333"/>
      <c r="JS178" s="333"/>
      <c r="JT178" s="333"/>
      <c r="JU178" s="333"/>
      <c r="KZ178" s="332">
        <f t="shared" si="39"/>
        <v>7860.48</v>
      </c>
      <c r="LA178" s="332">
        <f t="shared" si="40"/>
        <v>6549.060375</v>
      </c>
      <c r="MD178" s="332">
        <v>0</v>
      </c>
      <c r="ME178" s="345">
        <v>0</v>
      </c>
      <c r="MF178" s="332">
        <v>0</v>
      </c>
      <c r="MG178" s="332">
        <v>0</v>
      </c>
      <c r="MH178" s="332">
        <v>0</v>
      </c>
      <c r="MI178" s="332">
        <v>0</v>
      </c>
      <c r="MY178" s="332">
        <v>-0.88</v>
      </c>
      <c r="MZ178" s="332">
        <v>3.25</v>
      </c>
      <c r="NA178" s="332">
        <v>-0.38</v>
      </c>
      <c r="NB178" s="332">
        <v>-4.25</v>
      </c>
    </row>
    <row r="179" spans="1:366">
      <c r="A179" s="295"/>
      <c r="FF179" s="333"/>
      <c r="FG179" s="333"/>
      <c r="FH179" s="333"/>
      <c r="FL179" s="333"/>
      <c r="FM179" s="333"/>
      <c r="FN179" s="333"/>
      <c r="FR179" s="333"/>
      <c r="FS179" s="333"/>
      <c r="FT179" s="333"/>
      <c r="FX179" s="333"/>
      <c r="FY179" s="333"/>
      <c r="FZ179" s="333"/>
      <c r="GA179" s="333"/>
      <c r="GB179" s="333"/>
      <c r="GC179" s="333"/>
      <c r="GD179" s="333"/>
      <c r="GE179" s="333"/>
      <c r="GF179" s="333"/>
      <c r="GG179" s="333"/>
      <c r="GH179" s="333"/>
      <c r="GI179" s="333"/>
      <c r="GJ179" s="333"/>
      <c r="GK179" s="333"/>
      <c r="GL179" s="333"/>
      <c r="GV179" s="333"/>
      <c r="GW179" s="333"/>
      <c r="GX179" s="333"/>
      <c r="GY179" s="333"/>
      <c r="GZ179" s="333"/>
      <c r="HA179" s="333"/>
      <c r="IL179" s="333"/>
      <c r="IM179" s="333"/>
      <c r="IN179" s="333"/>
      <c r="IU179" s="335"/>
      <c r="IV179" s="335"/>
      <c r="IW179" s="335"/>
      <c r="IX179" s="333"/>
      <c r="IY179" s="333"/>
      <c r="IZ179" s="333"/>
      <c r="JA179" s="333"/>
      <c r="JB179" s="333"/>
      <c r="JC179" s="333"/>
      <c r="JS179" s="333"/>
      <c r="JT179" s="333"/>
      <c r="JU179" s="333"/>
      <c r="KZ179" s="332">
        <f t="shared" si="39"/>
        <v>16267.336799999999</v>
      </c>
      <c r="LA179" s="332">
        <f t="shared" si="40"/>
        <v>12872</v>
      </c>
      <c r="MD179" s="332">
        <v>0</v>
      </c>
      <c r="ME179" s="345">
        <v>0</v>
      </c>
      <c r="MF179" s="332">
        <v>0</v>
      </c>
      <c r="MG179" s="332">
        <v>0</v>
      </c>
      <c r="MH179" s="332">
        <v>9.9999999999999898E-3</v>
      </c>
      <c r="MI179" s="332">
        <v>3.2786885245901599E-2</v>
      </c>
      <c r="MY179" s="332">
        <v>1.75</v>
      </c>
      <c r="MZ179" s="332">
        <v>-2</v>
      </c>
      <c r="NA179" s="332">
        <v>0.75</v>
      </c>
      <c r="NB179" s="332">
        <v>1.5</v>
      </c>
    </row>
    <row r="180" spans="1:366">
      <c r="A180" s="295"/>
      <c r="FF180" s="333"/>
      <c r="FG180" s="333"/>
      <c r="FH180" s="333"/>
      <c r="FL180" s="333"/>
      <c r="FM180" s="333"/>
      <c r="FN180" s="333"/>
      <c r="FR180" s="333"/>
      <c r="FS180" s="333"/>
      <c r="FT180" s="333"/>
      <c r="FX180" s="333"/>
      <c r="FY180" s="333"/>
      <c r="FZ180" s="333"/>
      <c r="GA180" s="333"/>
      <c r="GB180" s="333"/>
      <c r="GC180" s="333"/>
      <c r="GD180" s="333"/>
      <c r="GE180" s="333"/>
      <c r="GF180" s="333"/>
      <c r="GG180" s="333"/>
      <c r="GH180" s="333"/>
      <c r="GI180" s="333"/>
      <c r="GJ180" s="333"/>
      <c r="GK180" s="333"/>
      <c r="GL180" s="333"/>
      <c r="GV180" s="333"/>
      <c r="GW180" s="333"/>
      <c r="GX180" s="333"/>
      <c r="GY180" s="333"/>
      <c r="GZ180" s="333"/>
      <c r="HA180" s="333"/>
      <c r="IL180" s="333"/>
      <c r="IM180" s="333"/>
      <c r="IN180" s="333"/>
      <c r="IU180" s="335"/>
      <c r="IV180" s="335"/>
      <c r="IW180" s="335"/>
      <c r="IX180" s="333"/>
      <c r="IY180" s="333"/>
      <c r="IZ180" s="333"/>
      <c r="JA180" s="333"/>
      <c r="JB180" s="333"/>
      <c r="JC180" s="333"/>
      <c r="JS180" s="333"/>
      <c r="JT180" s="333"/>
      <c r="JU180" s="333"/>
      <c r="KZ180" s="332">
        <f t="shared" si="39"/>
        <v>0</v>
      </c>
      <c r="LA180" s="332">
        <f t="shared" si="40"/>
        <v>1084.327</v>
      </c>
      <c r="MD180" s="332">
        <v>0</v>
      </c>
      <c r="ME180" s="345">
        <v>0</v>
      </c>
      <c r="MF180" s="332">
        <v>0</v>
      </c>
      <c r="MG180" s="332">
        <v>0</v>
      </c>
      <c r="MH180" s="332">
        <v>0</v>
      </c>
      <c r="MI180" s="332">
        <v>0</v>
      </c>
      <c r="MY180" s="332">
        <v>-0.38</v>
      </c>
      <c r="MZ180" s="332">
        <v>-0.75</v>
      </c>
      <c r="NA180" s="332">
        <v>-1.5</v>
      </c>
      <c r="NB180" s="332">
        <v>-6</v>
      </c>
    </row>
    <row r="181" spans="1:366">
      <c r="A181" s="295"/>
      <c r="FF181" s="333"/>
      <c r="FG181" s="333"/>
      <c r="FH181" s="333"/>
      <c r="FL181" s="333"/>
      <c r="FM181" s="333"/>
      <c r="FN181" s="333"/>
      <c r="FR181" s="333"/>
      <c r="FS181" s="333"/>
      <c r="FT181" s="333"/>
      <c r="FX181" s="333"/>
      <c r="FY181" s="333"/>
      <c r="FZ181" s="333"/>
      <c r="GA181" s="333"/>
      <c r="GB181" s="333"/>
      <c r="GC181" s="333"/>
      <c r="GD181" s="333"/>
      <c r="GE181" s="333"/>
      <c r="GF181" s="333"/>
      <c r="GG181" s="333"/>
      <c r="GH181" s="333"/>
      <c r="GI181" s="333"/>
      <c r="GJ181" s="333"/>
      <c r="GK181" s="333"/>
      <c r="GL181" s="333"/>
      <c r="GV181" s="333"/>
      <c r="GW181" s="333"/>
      <c r="GX181" s="333"/>
      <c r="GY181" s="333"/>
      <c r="GZ181" s="333"/>
      <c r="HA181" s="333"/>
      <c r="IL181" s="333"/>
      <c r="IM181" s="333"/>
      <c r="IN181" s="333"/>
      <c r="IU181" s="335"/>
      <c r="IV181" s="335"/>
      <c r="IW181" s="335"/>
      <c r="IX181" s="333"/>
      <c r="IY181" s="333"/>
      <c r="IZ181" s="333"/>
      <c r="JA181" s="333"/>
      <c r="JB181" s="333"/>
      <c r="JC181" s="333"/>
      <c r="JS181" s="333"/>
      <c r="JT181" s="333"/>
      <c r="JU181" s="333"/>
      <c r="KZ181" s="332">
        <f t="shared" si="39"/>
        <v>2619.5250000000001</v>
      </c>
      <c r="LA181" s="332">
        <f t="shared" si="40"/>
        <v>2337.8219999999997</v>
      </c>
      <c r="MD181" s="332">
        <v>0</v>
      </c>
      <c r="ME181" s="345">
        <v>0</v>
      </c>
      <c r="MF181" s="332">
        <v>1.4999999999999999E-2</v>
      </c>
      <c r="MG181" s="332">
        <v>-5.3571428571428499E-2</v>
      </c>
      <c r="MH181" s="332">
        <v>0</v>
      </c>
      <c r="MI181" s="332">
        <v>0</v>
      </c>
      <c r="MY181" s="332">
        <v>-8</v>
      </c>
      <c r="MZ181" s="332">
        <v>-15.75</v>
      </c>
      <c r="NA181" s="332">
        <v>-12.5</v>
      </c>
      <c r="NB181" s="332">
        <v>-36.25</v>
      </c>
    </row>
    <row r="182" spans="1:366">
      <c r="A182" s="295"/>
      <c r="FF182" s="333"/>
      <c r="FG182" s="333"/>
      <c r="FH182" s="333"/>
      <c r="FL182" s="333"/>
      <c r="FM182" s="333"/>
      <c r="FN182" s="333"/>
      <c r="FR182" s="333"/>
      <c r="FS182" s="333"/>
      <c r="FT182" s="333"/>
      <c r="FX182" s="333"/>
      <c r="FY182" s="333"/>
      <c r="FZ182" s="333"/>
      <c r="GA182" s="333"/>
      <c r="GB182" s="333"/>
      <c r="GC182" s="333"/>
      <c r="GD182" s="333"/>
      <c r="GE182" s="333"/>
      <c r="GF182" s="333"/>
      <c r="GG182" s="333"/>
      <c r="GH182" s="333"/>
      <c r="GI182" s="333"/>
      <c r="GJ182" s="333"/>
      <c r="GK182" s="333"/>
      <c r="GL182" s="333"/>
      <c r="GV182" s="333"/>
      <c r="GW182" s="333"/>
      <c r="GX182" s="333"/>
      <c r="GY182" s="333"/>
      <c r="GZ182" s="333"/>
      <c r="HA182" s="333"/>
      <c r="IL182" s="333"/>
      <c r="IM182" s="333"/>
      <c r="IN182" s="333"/>
      <c r="IU182" s="335"/>
      <c r="IV182" s="335"/>
      <c r="IW182" s="335"/>
      <c r="IX182" s="333"/>
      <c r="IY182" s="333"/>
      <c r="IZ182" s="333"/>
      <c r="JA182" s="333"/>
      <c r="JB182" s="333"/>
      <c r="JC182" s="333"/>
      <c r="JS182" s="333"/>
      <c r="JT182" s="333"/>
      <c r="JU182" s="333"/>
      <c r="KZ182" s="332">
        <f t="shared" si="39"/>
        <v>381.22499999999997</v>
      </c>
      <c r="LA182" s="332">
        <f t="shared" si="40"/>
        <v>159.01374999999999</v>
      </c>
      <c r="MD182" s="332">
        <v>0.02</v>
      </c>
      <c r="ME182" s="345">
        <v>9.0899999999999995E-2</v>
      </c>
      <c r="MF182" s="332">
        <v>0</v>
      </c>
      <c r="MG182" s="332">
        <v>0</v>
      </c>
      <c r="MH182" s="332">
        <v>0</v>
      </c>
      <c r="MI182" s="332">
        <v>0</v>
      </c>
      <c r="MY182" s="332">
        <v>-0.75</v>
      </c>
      <c r="MZ182" s="332">
        <v>0.38</v>
      </c>
      <c r="NA182" s="332">
        <v>-3.13</v>
      </c>
      <c r="NB182" s="332">
        <v>-4.75</v>
      </c>
    </row>
    <row r="183" spans="1:366">
      <c r="A183" s="295"/>
      <c r="FF183" s="333"/>
      <c r="FG183" s="333"/>
      <c r="FH183" s="333"/>
      <c r="FL183" s="333"/>
      <c r="FM183" s="333"/>
      <c r="FN183" s="333"/>
      <c r="FR183" s="333"/>
      <c r="FS183" s="333"/>
      <c r="FT183" s="333"/>
      <c r="FX183" s="333"/>
      <c r="FY183" s="333"/>
      <c r="FZ183" s="333"/>
      <c r="GA183" s="333"/>
      <c r="GB183" s="333"/>
      <c r="GC183" s="333"/>
      <c r="GD183" s="333"/>
      <c r="GE183" s="333"/>
      <c r="GF183" s="333"/>
      <c r="GG183" s="333"/>
      <c r="GH183" s="333"/>
      <c r="GI183" s="333"/>
      <c r="GJ183" s="333"/>
      <c r="GK183" s="333"/>
      <c r="GL183" s="333"/>
      <c r="GV183" s="333"/>
      <c r="GW183" s="333"/>
      <c r="GX183" s="333"/>
      <c r="GY183" s="333"/>
      <c r="GZ183" s="333"/>
      <c r="HA183" s="333"/>
      <c r="IL183" s="333"/>
      <c r="IM183" s="333"/>
      <c r="IN183" s="333"/>
      <c r="IU183" s="335"/>
      <c r="IV183" s="335"/>
      <c r="IW183" s="335"/>
      <c r="IX183" s="333"/>
      <c r="IY183" s="333"/>
      <c r="IZ183" s="333"/>
      <c r="JA183" s="333"/>
      <c r="JB183" s="333"/>
      <c r="JC183" s="333"/>
      <c r="JS183" s="333"/>
      <c r="JT183" s="333"/>
      <c r="JU183" s="333"/>
      <c r="KZ183" s="332">
        <f t="shared" si="39"/>
        <v>11818.8</v>
      </c>
      <c r="LA183" s="332">
        <f t="shared" si="40"/>
        <v>7226.9120000000003</v>
      </c>
      <c r="MD183" s="332">
        <v>0</v>
      </c>
      <c r="ME183" s="345">
        <v>0</v>
      </c>
      <c r="MF183" s="332">
        <v>0</v>
      </c>
      <c r="MG183" s="332">
        <v>0</v>
      </c>
      <c r="MH183" s="332">
        <v>0</v>
      </c>
      <c r="MI183" s="332">
        <v>0</v>
      </c>
      <c r="MY183" s="332">
        <v>-1.38</v>
      </c>
      <c r="MZ183" s="332">
        <v>-1.5</v>
      </c>
      <c r="NA183" s="332">
        <v>-7</v>
      </c>
      <c r="NB183" s="332">
        <v>-14.13</v>
      </c>
    </row>
    <row r="184" spans="1:366">
      <c r="A184" s="295"/>
      <c r="FF184" s="333"/>
      <c r="FG184" s="333"/>
      <c r="FH184" s="333"/>
      <c r="FL184" s="333"/>
      <c r="FM184" s="333"/>
      <c r="FN184" s="333"/>
      <c r="FR184" s="333"/>
      <c r="FS184" s="333"/>
      <c r="FT184" s="333"/>
      <c r="FX184" s="333"/>
      <c r="FY184" s="333"/>
      <c r="FZ184" s="333"/>
      <c r="GA184" s="333"/>
      <c r="GB184" s="333"/>
      <c r="GC184" s="333"/>
      <c r="GD184" s="333"/>
      <c r="GE184" s="333"/>
      <c r="GF184" s="333"/>
      <c r="GG184" s="333"/>
      <c r="GH184" s="333"/>
      <c r="GI184" s="333"/>
      <c r="GJ184" s="333"/>
      <c r="GK184" s="333"/>
      <c r="GL184" s="333"/>
      <c r="GV184" s="333"/>
      <c r="GW184" s="333"/>
      <c r="GX184" s="333"/>
      <c r="GY184" s="333"/>
      <c r="GZ184" s="333"/>
      <c r="HA184" s="333"/>
      <c r="IL184" s="333"/>
      <c r="IM184" s="333"/>
      <c r="IN184" s="333"/>
      <c r="IU184" s="335"/>
      <c r="IV184" s="335"/>
      <c r="IW184" s="335"/>
      <c r="IX184" s="333"/>
      <c r="IY184" s="333"/>
      <c r="IZ184" s="333"/>
      <c r="JA184" s="333"/>
      <c r="JB184" s="333"/>
      <c r="JC184" s="333"/>
      <c r="JS184" s="333"/>
      <c r="JT184" s="333"/>
      <c r="JU184" s="333"/>
      <c r="KZ184" s="332">
        <f t="shared" si="39"/>
        <v>355.65937500000001</v>
      </c>
      <c r="LA184" s="332">
        <f t="shared" si="40"/>
        <v>482.07299999999998</v>
      </c>
      <c r="MD184" s="332">
        <v>0</v>
      </c>
      <c r="MY184" s="332">
        <v>2.75</v>
      </c>
      <c r="MZ184" s="332">
        <v>2.63</v>
      </c>
      <c r="NA184" s="332">
        <v>-3.38</v>
      </c>
      <c r="NB184" s="332">
        <v>-4</v>
      </c>
    </row>
    <row r="185" spans="1:366">
      <c r="A185" s="295"/>
      <c r="FF185" s="333"/>
      <c r="FG185" s="333"/>
      <c r="FH185" s="333"/>
      <c r="FL185" s="333"/>
      <c r="FM185" s="333"/>
      <c r="FN185" s="333"/>
      <c r="FR185" s="333"/>
      <c r="FS185" s="333"/>
      <c r="FT185" s="333"/>
      <c r="FX185" s="333"/>
      <c r="FY185" s="333"/>
      <c r="FZ185" s="333"/>
      <c r="GA185" s="333"/>
      <c r="GB185" s="333"/>
      <c r="GC185" s="333"/>
      <c r="GD185" s="333"/>
      <c r="GE185" s="333"/>
      <c r="GF185" s="333"/>
      <c r="GG185" s="333"/>
      <c r="GH185" s="333"/>
      <c r="GI185" s="333"/>
      <c r="GJ185" s="333"/>
      <c r="GK185" s="333"/>
      <c r="GL185" s="333"/>
      <c r="GV185" s="333"/>
      <c r="GW185" s="333"/>
      <c r="GX185" s="333"/>
      <c r="GY185" s="333"/>
      <c r="GZ185" s="333"/>
      <c r="HA185" s="333"/>
      <c r="IL185" s="333"/>
      <c r="IM185" s="333"/>
      <c r="IN185" s="333"/>
      <c r="IU185" s="335"/>
      <c r="IV185" s="335"/>
      <c r="IW185" s="335"/>
      <c r="IX185" s="333"/>
      <c r="IY185" s="333"/>
      <c r="IZ185" s="333"/>
      <c r="JA185" s="333"/>
      <c r="JB185" s="333"/>
      <c r="JC185" s="333"/>
      <c r="JS185" s="333"/>
      <c r="JT185" s="333"/>
      <c r="JU185" s="333"/>
      <c r="KZ185" s="332">
        <f t="shared" si="39"/>
        <v>4965.6487500000003</v>
      </c>
      <c r="LA185" s="332">
        <f t="shared" si="40"/>
        <v>3612.6364999999996</v>
      </c>
      <c r="MD185" s="332">
        <v>0</v>
      </c>
      <c r="ME185" s="345">
        <v>0</v>
      </c>
      <c r="MF185" s="332">
        <v>0</v>
      </c>
      <c r="MG185" s="332">
        <v>0</v>
      </c>
      <c r="MH185" s="332">
        <v>0</v>
      </c>
      <c r="MI185" s="332">
        <v>0</v>
      </c>
      <c r="MY185" s="332">
        <v>1.63</v>
      </c>
      <c r="MZ185" s="332">
        <v>2.63</v>
      </c>
      <c r="NA185" s="332">
        <v>-3.75</v>
      </c>
      <c r="NB185" s="332">
        <v>-2.63</v>
      </c>
    </row>
    <row r="186" spans="1:366">
      <c r="A186" s="295"/>
      <c r="FF186" s="333"/>
      <c r="FG186" s="333"/>
      <c r="FH186" s="333"/>
      <c r="FL186" s="333"/>
      <c r="FM186" s="333"/>
      <c r="FN186" s="333"/>
      <c r="FR186" s="333"/>
      <c r="FS186" s="333"/>
      <c r="FT186" s="333"/>
      <c r="FX186" s="333"/>
      <c r="FY186" s="333"/>
      <c r="FZ186" s="333"/>
      <c r="GA186" s="333"/>
      <c r="GB186" s="333"/>
      <c r="GC186" s="333"/>
      <c r="GD186" s="333"/>
      <c r="GE186" s="333"/>
      <c r="GF186" s="333"/>
      <c r="GG186" s="333"/>
      <c r="GH186" s="333"/>
      <c r="GI186" s="333"/>
      <c r="GJ186" s="333"/>
      <c r="GK186" s="333"/>
      <c r="GL186" s="333"/>
      <c r="GV186" s="333"/>
      <c r="GW186" s="333"/>
      <c r="GX186" s="333"/>
      <c r="GY186" s="333"/>
      <c r="GZ186" s="333"/>
      <c r="HA186" s="333"/>
      <c r="IL186" s="333"/>
      <c r="IM186" s="333"/>
      <c r="IN186" s="333"/>
      <c r="IU186" s="335"/>
      <c r="IV186" s="335"/>
      <c r="IW186" s="335"/>
      <c r="IX186" s="333"/>
      <c r="IY186" s="333"/>
      <c r="IZ186" s="333"/>
      <c r="JA186" s="333"/>
      <c r="JB186" s="333"/>
      <c r="JC186" s="333"/>
      <c r="JS186" s="333"/>
      <c r="JT186" s="333"/>
      <c r="JU186" s="333"/>
      <c r="KZ186" s="332">
        <f t="shared" si="39"/>
        <v>587.125</v>
      </c>
      <c r="LA186" s="332">
        <f t="shared" si="40"/>
        <v>415.47800000000001</v>
      </c>
      <c r="MD186" s="332">
        <v>0</v>
      </c>
      <c r="ME186" s="345">
        <v>0</v>
      </c>
      <c r="MF186" s="332">
        <v>0</v>
      </c>
      <c r="MG186" s="332">
        <v>0</v>
      </c>
      <c r="MH186" s="332">
        <v>1.4999999999999999E-2</v>
      </c>
      <c r="MI186" s="332">
        <v>2.1276595744680799E-2</v>
      </c>
      <c r="MY186" s="332">
        <v>1.5</v>
      </c>
      <c r="MZ186" s="332">
        <v>-1.5</v>
      </c>
      <c r="NA186" s="332">
        <v>-2.38</v>
      </c>
      <c r="NB186" s="332">
        <v>-4.63</v>
      </c>
    </row>
    <row r="187" spans="1:366">
      <c r="A187" s="295"/>
      <c r="FF187" s="333"/>
      <c r="FG187" s="333"/>
      <c r="FH187" s="333"/>
      <c r="FL187" s="333"/>
      <c r="FM187" s="333"/>
      <c r="FN187" s="333"/>
      <c r="FR187" s="333"/>
      <c r="FS187" s="333"/>
      <c r="FT187" s="333"/>
      <c r="FX187" s="333"/>
      <c r="FY187" s="333"/>
      <c r="FZ187" s="333"/>
      <c r="GA187" s="333"/>
      <c r="GB187" s="333"/>
      <c r="GC187" s="333"/>
      <c r="GD187" s="333"/>
      <c r="GE187" s="333"/>
      <c r="GF187" s="333"/>
      <c r="GG187" s="333"/>
      <c r="GH187" s="333"/>
      <c r="GI187" s="333"/>
      <c r="GJ187" s="333"/>
      <c r="GK187" s="333"/>
      <c r="GL187" s="333"/>
      <c r="GV187" s="333"/>
      <c r="GW187" s="333"/>
      <c r="GX187" s="333"/>
      <c r="GY187" s="333"/>
      <c r="GZ187" s="333"/>
      <c r="HA187" s="333"/>
      <c r="IL187" s="333"/>
      <c r="IM187" s="333"/>
      <c r="IN187" s="333"/>
      <c r="IU187" s="335"/>
      <c r="IV187" s="335"/>
      <c r="IW187" s="335"/>
      <c r="IX187" s="333"/>
      <c r="IY187" s="333"/>
      <c r="IZ187" s="333"/>
      <c r="JA187" s="333"/>
      <c r="JB187" s="333"/>
      <c r="JC187" s="333"/>
      <c r="JS187" s="333"/>
      <c r="JT187" s="333"/>
      <c r="JU187" s="333"/>
      <c r="KZ187" s="332">
        <f t="shared" si="39"/>
        <v>103.5</v>
      </c>
      <c r="LA187" s="332">
        <f t="shared" si="40"/>
        <v>68.65625</v>
      </c>
      <c r="MD187" s="332">
        <v>0</v>
      </c>
      <c r="ME187" s="345">
        <v>0</v>
      </c>
      <c r="MF187" s="332">
        <v>0</v>
      </c>
      <c r="MG187" s="332">
        <v>0</v>
      </c>
      <c r="MH187" s="332">
        <v>0.01</v>
      </c>
      <c r="MI187" s="332">
        <v>3.125E-2</v>
      </c>
      <c r="MY187" s="332">
        <v>3.88</v>
      </c>
      <c r="MZ187" s="332">
        <v>-0.63</v>
      </c>
      <c r="NA187" s="332">
        <v>-5.13</v>
      </c>
      <c r="NB187" s="332">
        <v>-3.13</v>
      </c>
    </row>
    <row r="188" spans="1:366">
      <c r="A188" s="295"/>
      <c r="FF188" s="333"/>
      <c r="FG188" s="333"/>
      <c r="FH188" s="333"/>
      <c r="FL188" s="333"/>
      <c r="FM188" s="333"/>
      <c r="FN188" s="333"/>
      <c r="FR188" s="333"/>
      <c r="FS188" s="333"/>
      <c r="FT188" s="333"/>
      <c r="FX188" s="333"/>
      <c r="FY188" s="333"/>
      <c r="FZ188" s="333"/>
      <c r="GA188" s="333"/>
      <c r="GB188" s="333"/>
      <c r="GC188" s="333"/>
      <c r="GD188" s="333"/>
      <c r="GE188" s="333"/>
      <c r="GF188" s="333"/>
      <c r="GG188" s="333"/>
      <c r="GH188" s="333"/>
      <c r="GI188" s="333"/>
      <c r="GJ188" s="333"/>
      <c r="GK188" s="333"/>
      <c r="GL188" s="333"/>
      <c r="GV188" s="333"/>
      <c r="GW188" s="333"/>
      <c r="GX188" s="333"/>
      <c r="GY188" s="333"/>
      <c r="GZ188" s="333"/>
      <c r="HA188" s="333"/>
      <c r="IL188" s="333"/>
      <c r="IM188" s="333"/>
      <c r="IN188" s="333"/>
      <c r="IU188" s="335"/>
      <c r="IV188" s="335"/>
      <c r="IW188" s="335"/>
      <c r="IX188" s="333"/>
      <c r="IY188" s="333"/>
      <c r="IZ188" s="333"/>
      <c r="JA188" s="333"/>
      <c r="JB188" s="333"/>
      <c r="JC188" s="333"/>
      <c r="JS188" s="333"/>
      <c r="JT188" s="333"/>
      <c r="JU188" s="333"/>
      <c r="KZ188" s="332">
        <f t="shared" si="39"/>
        <v>0</v>
      </c>
      <c r="LA188" s="332">
        <f t="shared" si="40"/>
        <v>46.314</v>
      </c>
      <c r="MD188" s="332">
        <v>0</v>
      </c>
      <c r="ME188" s="345">
        <v>0</v>
      </c>
      <c r="MF188" s="332">
        <v>0</v>
      </c>
      <c r="MG188" s="332">
        <v>0</v>
      </c>
      <c r="MH188" s="332">
        <v>-7.4999999999999997E-3</v>
      </c>
      <c r="MI188" s="332">
        <v>-2.34375E-2</v>
      </c>
      <c r="MY188" s="332">
        <v>0</v>
      </c>
      <c r="MZ188" s="332">
        <v>0</v>
      </c>
      <c r="NA188" s="332">
        <v>0</v>
      </c>
      <c r="NB188" s="332">
        <v>-20.25</v>
      </c>
    </row>
    <row r="189" spans="1:366">
      <c r="A189" s="295"/>
      <c r="FF189" s="333"/>
      <c r="FG189" s="333"/>
      <c r="FH189" s="333"/>
      <c r="FL189" s="333"/>
      <c r="FM189" s="333"/>
      <c r="FN189" s="333"/>
      <c r="FR189" s="333"/>
      <c r="FS189" s="333"/>
      <c r="FT189" s="333"/>
      <c r="FX189" s="333"/>
      <c r="FY189" s="333"/>
      <c r="FZ189" s="333"/>
      <c r="GA189" s="333"/>
      <c r="GB189" s="333"/>
      <c r="GC189" s="333"/>
      <c r="GD189" s="333"/>
      <c r="GE189" s="333"/>
      <c r="GF189" s="333"/>
      <c r="GG189" s="333"/>
      <c r="GH189" s="333"/>
      <c r="GI189" s="333"/>
      <c r="GJ189" s="333"/>
      <c r="GK189" s="333"/>
      <c r="GL189" s="333"/>
      <c r="GV189" s="333"/>
      <c r="GW189" s="333"/>
      <c r="GX189" s="333"/>
      <c r="GY189" s="333"/>
      <c r="GZ189" s="333"/>
      <c r="HA189" s="333"/>
      <c r="IL189" s="333"/>
      <c r="IM189" s="333"/>
      <c r="IN189" s="333"/>
      <c r="IU189" s="335"/>
      <c r="IV189" s="335"/>
      <c r="IW189" s="335"/>
      <c r="IX189" s="333"/>
      <c r="IY189" s="333"/>
      <c r="IZ189" s="333"/>
      <c r="JA189" s="333"/>
      <c r="JB189" s="333"/>
      <c r="JC189" s="333"/>
      <c r="JS189" s="333"/>
      <c r="JT189" s="333"/>
      <c r="JU189" s="333"/>
      <c r="KZ189" s="332">
        <f t="shared" si="39"/>
        <v>3773.2624999999998</v>
      </c>
      <c r="LA189" s="332">
        <f t="shared" si="40"/>
        <v>3222.1743749999996</v>
      </c>
      <c r="MD189" s="332">
        <v>0</v>
      </c>
      <c r="ME189" s="345">
        <v>0</v>
      </c>
      <c r="MF189" s="332">
        <v>0.01</v>
      </c>
      <c r="MG189" s="332">
        <v>-2.5000000000000001E-2</v>
      </c>
      <c r="MH189" s="332">
        <v>0</v>
      </c>
      <c r="MI189" s="332">
        <v>0</v>
      </c>
      <c r="MY189" s="332">
        <v>0.75</v>
      </c>
      <c r="MZ189" s="332">
        <v>0.63</v>
      </c>
      <c r="NA189" s="332">
        <v>-1.38</v>
      </c>
      <c r="NB189" s="332">
        <v>-3.5</v>
      </c>
    </row>
    <row r="190" spans="1:366">
      <c r="A190" s="295"/>
      <c r="FF190" s="333"/>
      <c r="FG190" s="333"/>
      <c r="FH190" s="333"/>
      <c r="FL190" s="333"/>
      <c r="FM190" s="333"/>
      <c r="FN190" s="333"/>
      <c r="FR190" s="333"/>
      <c r="FS190" s="333"/>
      <c r="FT190" s="333"/>
      <c r="FX190" s="333"/>
      <c r="FY190" s="333"/>
      <c r="FZ190" s="333"/>
      <c r="GA190" s="333"/>
      <c r="GB190" s="333"/>
      <c r="GC190" s="333"/>
      <c r="GD190" s="333"/>
      <c r="GE190" s="333"/>
      <c r="GF190" s="333"/>
      <c r="GG190" s="333"/>
      <c r="GH190" s="333"/>
      <c r="GI190" s="333"/>
      <c r="GJ190" s="333"/>
      <c r="GK190" s="333"/>
      <c r="GL190" s="333"/>
      <c r="GV190" s="333"/>
      <c r="GW190" s="333"/>
      <c r="GX190" s="333"/>
      <c r="GY190" s="333"/>
      <c r="GZ190" s="333"/>
      <c r="HA190" s="333"/>
      <c r="IL190" s="333"/>
      <c r="IM190" s="333"/>
      <c r="IN190" s="333"/>
      <c r="IU190" s="335"/>
      <c r="IV190" s="335"/>
      <c r="IW190" s="335"/>
      <c r="IX190" s="333"/>
      <c r="IY190" s="333"/>
      <c r="IZ190" s="333"/>
      <c r="JA190" s="333"/>
      <c r="JB190" s="333"/>
      <c r="JC190" s="333"/>
      <c r="JS190" s="333"/>
      <c r="JT190" s="333"/>
      <c r="JU190" s="333"/>
      <c r="KZ190" s="332">
        <f t="shared" si="39"/>
        <v>0</v>
      </c>
      <c r="LA190" s="332">
        <f t="shared" si="40"/>
        <v>920.91599999999994</v>
      </c>
      <c r="MD190" s="332">
        <v>0</v>
      </c>
      <c r="ME190" s="345">
        <v>0</v>
      </c>
      <c r="MF190" s="332">
        <v>9.9999999999999898E-3</v>
      </c>
      <c r="MG190" s="332">
        <v>-1.9230769230769201E-2</v>
      </c>
      <c r="MH190" s="332">
        <v>0</v>
      </c>
      <c r="MI190" s="332">
        <v>0</v>
      </c>
      <c r="MY190" s="332">
        <v>0.19</v>
      </c>
      <c r="MZ190" s="332">
        <v>1.31</v>
      </c>
      <c r="NA190" s="332">
        <v>-1.44</v>
      </c>
      <c r="NB190" s="332">
        <v>-6</v>
      </c>
    </row>
    <row r="191" spans="1:366">
      <c r="A191" s="295"/>
      <c r="FF191" s="333"/>
      <c r="FG191" s="333"/>
      <c r="FH191" s="333"/>
      <c r="FL191" s="333"/>
      <c r="FM191" s="333"/>
      <c r="FN191" s="333"/>
      <c r="FR191" s="333"/>
      <c r="FS191" s="333"/>
      <c r="FT191" s="333"/>
      <c r="FX191" s="333"/>
      <c r="FY191" s="333"/>
      <c r="FZ191" s="333"/>
      <c r="GA191" s="333"/>
      <c r="GB191" s="333"/>
      <c r="GC191" s="333"/>
      <c r="GD191" s="333"/>
      <c r="GE191" s="333"/>
      <c r="GF191" s="333"/>
      <c r="GG191" s="333"/>
      <c r="GH191" s="333"/>
      <c r="GI191" s="333"/>
      <c r="GJ191" s="333"/>
      <c r="GK191" s="333"/>
      <c r="GL191" s="333"/>
      <c r="GV191" s="333"/>
      <c r="GW191" s="333"/>
      <c r="GX191" s="333"/>
      <c r="GY191" s="333"/>
      <c r="GZ191" s="333"/>
      <c r="HA191" s="333"/>
      <c r="IL191" s="333"/>
      <c r="IM191" s="333"/>
      <c r="IN191" s="333"/>
      <c r="IU191" s="335"/>
      <c r="IV191" s="335"/>
      <c r="IW191" s="335"/>
      <c r="IX191" s="333"/>
      <c r="IY191" s="333"/>
      <c r="IZ191" s="333"/>
      <c r="JA191" s="333"/>
      <c r="JB191" s="333"/>
      <c r="JC191" s="333"/>
      <c r="JS191" s="333"/>
      <c r="JT191" s="333"/>
      <c r="JU191" s="333"/>
      <c r="KZ191" s="332">
        <f t="shared" si="39"/>
        <v>4105.5</v>
      </c>
      <c r="LA191" s="332">
        <f t="shared" si="40"/>
        <v>1836.8625</v>
      </c>
      <c r="MD191" s="332">
        <v>0</v>
      </c>
      <c r="ME191" s="345">
        <v>0</v>
      </c>
      <c r="MF191" s="332">
        <v>0.03</v>
      </c>
      <c r="MG191" s="332">
        <v>-0.11111111111111099</v>
      </c>
      <c r="MH191" s="332">
        <v>0</v>
      </c>
      <c r="MI191" s="332">
        <v>0</v>
      </c>
      <c r="MY191" s="332">
        <v>-0.38</v>
      </c>
      <c r="MZ191" s="332">
        <v>1.1299999999999999</v>
      </c>
      <c r="NA191" s="332">
        <v>-4.75</v>
      </c>
      <c r="NB191" s="332">
        <v>-6.88</v>
      </c>
    </row>
    <row r="192" spans="1:366">
      <c r="A192" s="295"/>
      <c r="FF192" s="333"/>
      <c r="FG192" s="333"/>
      <c r="FH192" s="333"/>
      <c r="FL192" s="333"/>
      <c r="FM192" s="333"/>
      <c r="FN192" s="333"/>
      <c r="FR192" s="333"/>
      <c r="FS192" s="333"/>
      <c r="FT192" s="333"/>
      <c r="FX192" s="333"/>
      <c r="FY192" s="333"/>
      <c r="FZ192" s="333"/>
      <c r="GA192" s="333"/>
      <c r="GB192" s="333"/>
      <c r="GC192" s="333"/>
      <c r="GD192" s="333"/>
      <c r="GE192" s="333"/>
      <c r="GF192" s="333"/>
      <c r="GG192" s="333"/>
      <c r="GH192" s="333"/>
      <c r="GI192" s="333"/>
      <c r="GJ192" s="333"/>
      <c r="GK192" s="333"/>
      <c r="GL192" s="333"/>
      <c r="GV192" s="333"/>
      <c r="GW192" s="333"/>
      <c r="GX192" s="333"/>
      <c r="GY192" s="333"/>
      <c r="GZ192" s="333"/>
      <c r="HA192" s="333"/>
      <c r="IL192" s="333"/>
      <c r="IM192" s="333"/>
      <c r="IN192" s="333"/>
      <c r="IU192" s="335"/>
      <c r="IV192" s="335"/>
      <c r="IW192" s="335"/>
      <c r="IX192" s="333"/>
      <c r="IY192" s="333"/>
      <c r="IZ192" s="333"/>
      <c r="JA192" s="333"/>
      <c r="JB192" s="333"/>
      <c r="JC192" s="333"/>
      <c r="JS192" s="333"/>
      <c r="JT192" s="333"/>
      <c r="JU192" s="333"/>
      <c r="KZ192" s="332">
        <f t="shared" si="39"/>
        <v>607.38</v>
      </c>
      <c r="LA192" s="332">
        <f t="shared" si="40"/>
        <v>449.57249999999999</v>
      </c>
      <c r="MD192" s="332">
        <v>5.0000000000000001E-3</v>
      </c>
      <c r="ME192" s="345">
        <v>9.4999999999999998E-3</v>
      </c>
      <c r="MF192" s="332">
        <v>0</v>
      </c>
      <c r="MG192" s="332">
        <v>0</v>
      </c>
      <c r="MH192" s="332">
        <v>0</v>
      </c>
      <c r="MI192" s="332">
        <v>0</v>
      </c>
      <c r="MY192" s="332">
        <v>0.5</v>
      </c>
      <c r="MZ192" s="332">
        <v>0.25</v>
      </c>
      <c r="NA192" s="332">
        <v>-2</v>
      </c>
      <c r="NB192" s="332">
        <v>-3.67</v>
      </c>
    </row>
    <row r="193" spans="1:366">
      <c r="A193" s="295"/>
      <c r="FF193" s="333"/>
      <c r="FG193" s="333"/>
      <c r="FH193" s="333"/>
      <c r="FL193" s="333"/>
      <c r="FM193" s="333"/>
      <c r="FN193" s="333"/>
      <c r="FR193" s="333"/>
      <c r="FS193" s="333"/>
      <c r="FT193" s="333"/>
      <c r="FX193" s="333"/>
      <c r="FY193" s="333"/>
      <c r="FZ193" s="333"/>
      <c r="GA193" s="333"/>
      <c r="GB193" s="333"/>
      <c r="GC193" s="333"/>
      <c r="GD193" s="333"/>
      <c r="GE193" s="333"/>
      <c r="GF193" s="333"/>
      <c r="GG193" s="333"/>
      <c r="GH193" s="333"/>
      <c r="GI193" s="333"/>
      <c r="GJ193" s="333"/>
      <c r="GK193" s="333"/>
      <c r="GL193" s="333"/>
      <c r="GV193" s="333"/>
      <c r="GW193" s="333"/>
      <c r="GX193" s="333"/>
      <c r="GY193" s="333"/>
      <c r="GZ193" s="333"/>
      <c r="HA193" s="333"/>
      <c r="IL193" s="333"/>
      <c r="IM193" s="333"/>
      <c r="IN193" s="333"/>
      <c r="IU193" s="335"/>
      <c r="IV193" s="335"/>
      <c r="IW193" s="335"/>
      <c r="IX193" s="333"/>
      <c r="IY193" s="333"/>
      <c r="IZ193" s="333"/>
      <c r="JA193" s="333"/>
      <c r="JB193" s="333"/>
      <c r="JC193" s="333"/>
      <c r="JS193" s="333"/>
      <c r="JT193" s="333"/>
      <c r="JU193" s="333"/>
      <c r="KZ193" s="332">
        <f t="shared" si="39"/>
        <v>816.85</v>
      </c>
      <c r="LA193" s="332">
        <f t="shared" si="40"/>
        <v>416.56487500000003</v>
      </c>
      <c r="MD193" s="332">
        <v>0</v>
      </c>
      <c r="ME193" s="345">
        <v>0</v>
      </c>
      <c r="MF193" s="332">
        <v>0</v>
      </c>
      <c r="MG193" s="332">
        <v>0</v>
      </c>
      <c r="MH193" s="332">
        <v>0</v>
      </c>
      <c r="MI193" s="332">
        <v>0</v>
      </c>
      <c r="MY193" s="332">
        <v>-0.13</v>
      </c>
      <c r="MZ193" s="332">
        <v>2</v>
      </c>
      <c r="NA193" s="332">
        <v>-3.5</v>
      </c>
      <c r="NB193" s="332">
        <v>-2</v>
      </c>
    </row>
    <row r="194" spans="1:366">
      <c r="A194" s="295"/>
      <c r="FF194" s="333"/>
      <c r="FG194" s="333"/>
      <c r="FH194" s="333"/>
      <c r="FL194" s="333"/>
      <c r="FM194" s="333"/>
      <c r="FN194" s="333"/>
      <c r="FR194" s="333"/>
      <c r="FS194" s="333"/>
      <c r="FT194" s="333"/>
      <c r="FX194" s="333"/>
      <c r="FY194" s="333"/>
      <c r="FZ194" s="333"/>
      <c r="GA194" s="333"/>
      <c r="GB194" s="333"/>
      <c r="GC194" s="333"/>
      <c r="GD194" s="333"/>
      <c r="GE194" s="333"/>
      <c r="GF194" s="333"/>
      <c r="GG194" s="333"/>
      <c r="GH194" s="333"/>
      <c r="GI194" s="333"/>
      <c r="GJ194" s="333"/>
      <c r="GK194" s="333"/>
      <c r="GL194" s="333"/>
      <c r="GV194" s="333"/>
      <c r="GW194" s="333"/>
      <c r="GX194" s="333"/>
      <c r="GY194" s="333"/>
      <c r="GZ194" s="333"/>
      <c r="HA194" s="333"/>
      <c r="IL194" s="333"/>
      <c r="IM194" s="333"/>
      <c r="IN194" s="333"/>
      <c r="IU194" s="335"/>
      <c r="IV194" s="335"/>
      <c r="IW194" s="335"/>
      <c r="IX194" s="333"/>
      <c r="IY194" s="333"/>
      <c r="IZ194" s="333"/>
      <c r="JA194" s="333"/>
      <c r="JB194" s="333"/>
      <c r="JC194" s="333"/>
      <c r="JS194" s="333"/>
      <c r="JT194" s="333"/>
      <c r="JU194" s="333"/>
      <c r="KZ194" s="332">
        <f t="shared" ref="KZ194:KZ232" si="41">KZ74*LA74</f>
        <v>4358.75</v>
      </c>
      <c r="LA194" s="332">
        <f t="shared" ref="LA194:LA232" si="42">MZ74*MY74</f>
        <v>2057.1664999999998</v>
      </c>
      <c r="MD194" s="332">
        <v>0</v>
      </c>
      <c r="ME194" s="345">
        <v>0</v>
      </c>
      <c r="MF194" s="332">
        <v>0</v>
      </c>
      <c r="MG194" s="332">
        <v>0</v>
      </c>
      <c r="MH194" s="332">
        <v>0</v>
      </c>
      <c r="MI194" s="332">
        <v>0</v>
      </c>
      <c r="MY194" s="332">
        <v>0.25</v>
      </c>
      <c r="MZ194" s="332">
        <v>1.5</v>
      </c>
      <c r="NA194" s="332">
        <v>-1.75</v>
      </c>
      <c r="NB194" s="332">
        <v>-6.25</v>
      </c>
    </row>
    <row r="195" spans="1:366">
      <c r="A195" s="295"/>
      <c r="FF195" s="333"/>
      <c r="FG195" s="333"/>
      <c r="FH195" s="333"/>
      <c r="FL195" s="333"/>
      <c r="FM195" s="333"/>
      <c r="FN195" s="333"/>
      <c r="FR195" s="333"/>
      <c r="FS195" s="333"/>
      <c r="FT195" s="333"/>
      <c r="FX195" s="333"/>
      <c r="FY195" s="333"/>
      <c r="FZ195" s="333"/>
      <c r="GA195" s="333"/>
      <c r="GB195" s="333"/>
      <c r="GC195" s="333"/>
      <c r="GD195" s="333"/>
      <c r="GE195" s="333"/>
      <c r="GF195" s="333"/>
      <c r="GG195" s="333"/>
      <c r="GH195" s="333"/>
      <c r="GI195" s="333"/>
      <c r="GJ195" s="333"/>
      <c r="GK195" s="333"/>
      <c r="GL195" s="333"/>
      <c r="GV195" s="333"/>
      <c r="GW195" s="333"/>
      <c r="GX195" s="333"/>
      <c r="GY195" s="333"/>
      <c r="GZ195" s="333"/>
      <c r="HA195" s="333"/>
      <c r="IL195" s="333"/>
      <c r="IM195" s="333"/>
      <c r="IN195" s="333"/>
      <c r="IU195" s="335"/>
      <c r="IV195" s="335"/>
      <c r="IW195" s="335"/>
      <c r="IX195" s="333"/>
      <c r="IY195" s="333"/>
      <c r="IZ195" s="333"/>
      <c r="JA195" s="333"/>
      <c r="JB195" s="333"/>
      <c r="JC195" s="333"/>
      <c r="JS195" s="333"/>
      <c r="JT195" s="333"/>
      <c r="JU195" s="333"/>
      <c r="KZ195" s="332">
        <f t="shared" si="41"/>
        <v>818.1400000000001</v>
      </c>
      <c r="LA195" s="332">
        <f t="shared" si="42"/>
        <v>376.6995</v>
      </c>
      <c r="MD195" s="332">
        <v>0</v>
      </c>
      <c r="ME195" s="345">
        <v>0</v>
      </c>
      <c r="MF195" s="332">
        <v>9.9999999999999898E-3</v>
      </c>
      <c r="MG195" s="332">
        <v>-2.5974025974025899E-2</v>
      </c>
      <c r="MH195" s="332">
        <v>0</v>
      </c>
      <c r="MI195" s="332">
        <v>0</v>
      </c>
      <c r="MY195" s="332">
        <v>2.13</v>
      </c>
      <c r="MZ195" s="332">
        <v>2.13</v>
      </c>
      <c r="NA195" s="332">
        <v>-2</v>
      </c>
      <c r="NB195" s="332">
        <v>0.38</v>
      </c>
    </row>
    <row r="196" spans="1:366">
      <c r="A196" s="295"/>
      <c r="FF196" s="333"/>
      <c r="FG196" s="333"/>
      <c r="FH196" s="333"/>
      <c r="FL196" s="333"/>
      <c r="FM196" s="333"/>
      <c r="FN196" s="333"/>
      <c r="FR196" s="333"/>
      <c r="FS196" s="333"/>
      <c r="FT196" s="333"/>
      <c r="FX196" s="333"/>
      <c r="FY196" s="333"/>
      <c r="FZ196" s="333"/>
      <c r="GA196" s="333"/>
      <c r="GB196" s="333"/>
      <c r="GC196" s="333"/>
      <c r="GD196" s="333"/>
      <c r="GE196" s="333"/>
      <c r="GF196" s="333"/>
      <c r="GG196" s="333"/>
      <c r="GH196" s="333"/>
      <c r="GI196" s="333"/>
      <c r="GJ196" s="333"/>
      <c r="GK196" s="333"/>
      <c r="GL196" s="333"/>
      <c r="GV196" s="333"/>
      <c r="GW196" s="333"/>
      <c r="GX196" s="333"/>
      <c r="GY196" s="333"/>
      <c r="GZ196" s="333"/>
      <c r="HA196" s="333"/>
      <c r="IL196" s="333"/>
      <c r="IM196" s="333"/>
      <c r="IN196" s="333"/>
      <c r="IU196" s="335"/>
      <c r="IV196" s="335"/>
      <c r="IW196" s="335"/>
      <c r="IX196" s="333"/>
      <c r="IY196" s="333"/>
      <c r="IZ196" s="333"/>
      <c r="JA196" s="333"/>
      <c r="JB196" s="333"/>
      <c r="JC196" s="333"/>
      <c r="JS196" s="333"/>
      <c r="JT196" s="333"/>
      <c r="JU196" s="333"/>
      <c r="KZ196" s="332">
        <f t="shared" si="41"/>
        <v>10585.90625</v>
      </c>
      <c r="LA196" s="332">
        <f t="shared" si="42"/>
        <v>6034.0232499999993</v>
      </c>
      <c r="MD196" s="332">
        <v>0</v>
      </c>
      <c r="ME196" s="345">
        <v>0</v>
      </c>
      <c r="MF196" s="332">
        <v>0</v>
      </c>
      <c r="MG196" s="332">
        <v>0</v>
      </c>
      <c r="MH196" s="332">
        <v>9.9999999999999898E-3</v>
      </c>
      <c r="MI196" s="332">
        <v>1.9607843137254902E-2</v>
      </c>
      <c r="MY196" s="332">
        <v>0</v>
      </c>
      <c r="MZ196" s="332">
        <v>0</v>
      </c>
      <c r="NA196" s="332">
        <v>0</v>
      </c>
      <c r="NB196" s="332">
        <v>0</v>
      </c>
    </row>
    <row r="197" spans="1:366">
      <c r="A197" s="295"/>
      <c r="FF197" s="333"/>
      <c r="FG197" s="333"/>
      <c r="FH197" s="333"/>
      <c r="FL197" s="333"/>
      <c r="FM197" s="333"/>
      <c r="FN197" s="333"/>
      <c r="FR197" s="333"/>
      <c r="FS197" s="333"/>
      <c r="FT197" s="333"/>
      <c r="FX197" s="333"/>
      <c r="FY197" s="333"/>
      <c r="FZ197" s="333"/>
      <c r="GA197" s="333"/>
      <c r="GB197" s="333"/>
      <c r="GC197" s="333"/>
      <c r="GD197" s="333"/>
      <c r="GE197" s="333"/>
      <c r="GF197" s="333"/>
      <c r="GG197" s="333"/>
      <c r="GH197" s="333"/>
      <c r="GI197" s="333"/>
      <c r="GJ197" s="333"/>
      <c r="GK197" s="333"/>
      <c r="GL197" s="333"/>
      <c r="GY197" s="333"/>
      <c r="GZ197" s="333"/>
      <c r="HA197" s="333"/>
      <c r="IL197" s="333"/>
      <c r="IM197" s="333"/>
      <c r="IN197" s="333"/>
      <c r="IU197" s="335"/>
      <c r="IV197" s="335"/>
      <c r="IW197" s="335"/>
      <c r="IX197" s="333"/>
      <c r="IY197" s="333"/>
      <c r="IZ197" s="333"/>
      <c r="JA197" s="333"/>
      <c r="JB197" s="333"/>
      <c r="JC197" s="333"/>
      <c r="JS197" s="333"/>
      <c r="JT197" s="333"/>
      <c r="JU197" s="333"/>
      <c r="KZ197" s="332">
        <f t="shared" si="41"/>
        <v>2524.5</v>
      </c>
      <c r="LA197" s="332">
        <f t="shared" si="42"/>
        <v>2041.6154999999903</v>
      </c>
      <c r="MD197" s="332">
        <v>0</v>
      </c>
      <c r="ME197" s="345">
        <v>0</v>
      </c>
      <c r="MF197" s="332">
        <v>0</v>
      </c>
      <c r="MG197" s="332">
        <v>0</v>
      </c>
      <c r="MH197" s="332">
        <v>9.9999999999999898E-3</v>
      </c>
      <c r="MI197" s="332">
        <v>4.8387096774193498E-2</v>
      </c>
      <c r="MY197" s="332">
        <v>-2.38</v>
      </c>
      <c r="MZ197" s="332">
        <v>-2.75</v>
      </c>
      <c r="NA197" s="332">
        <v>-0.5</v>
      </c>
      <c r="NB197" s="332">
        <v>-5.13</v>
      </c>
    </row>
    <row r="198" spans="1:366">
      <c r="A198" s="295"/>
      <c r="FF198" s="333"/>
      <c r="FG198" s="333"/>
      <c r="FH198" s="333"/>
      <c r="FL198" s="333"/>
      <c r="FM198" s="333"/>
      <c r="FN198" s="333"/>
      <c r="FR198" s="333"/>
      <c r="FS198" s="333"/>
      <c r="FT198" s="333"/>
      <c r="FX198" s="333"/>
      <c r="FY198" s="333"/>
      <c r="FZ198" s="333"/>
      <c r="GA198" s="333"/>
      <c r="GB198" s="333"/>
      <c r="GC198" s="333"/>
      <c r="GD198" s="333"/>
      <c r="GE198" s="333"/>
      <c r="GF198" s="333"/>
      <c r="GG198" s="333"/>
      <c r="GH198" s="333"/>
      <c r="GI198" s="333"/>
      <c r="GY198" s="333"/>
      <c r="GZ198" s="333"/>
      <c r="HA198" s="333"/>
      <c r="IL198" s="333"/>
      <c r="IM198" s="333"/>
      <c r="IN198" s="333"/>
      <c r="IU198" s="335"/>
      <c r="IV198" s="335"/>
      <c r="IW198" s="335"/>
      <c r="IX198" s="333"/>
      <c r="IY198" s="333"/>
      <c r="IZ198" s="333"/>
      <c r="JA198" s="333"/>
      <c r="JB198" s="333"/>
      <c r="JC198" s="333"/>
      <c r="JS198" s="333"/>
      <c r="JT198" s="333"/>
      <c r="JU198" s="333"/>
      <c r="KZ198" s="332">
        <f t="shared" si="41"/>
        <v>1956.875</v>
      </c>
      <c r="LA198" s="332">
        <f t="shared" si="42"/>
        <v>1074.1426875</v>
      </c>
      <c r="MD198" s="332">
        <v>0</v>
      </c>
      <c r="ME198" s="345">
        <v>0</v>
      </c>
      <c r="MF198" s="332">
        <v>0</v>
      </c>
      <c r="MG198" s="332">
        <v>0</v>
      </c>
      <c r="MH198" s="332">
        <v>0</v>
      </c>
      <c r="MI198" s="332">
        <v>0</v>
      </c>
      <c r="MY198" s="332">
        <v>0.25</v>
      </c>
      <c r="MZ198" s="332">
        <v>1</v>
      </c>
      <c r="NA198" s="332">
        <v>-3</v>
      </c>
      <c r="NB198" s="332">
        <v>-3.75</v>
      </c>
    </row>
    <row r="199" spans="1:366">
      <c r="A199" s="295"/>
      <c r="FF199" s="333"/>
      <c r="FG199" s="333"/>
      <c r="FH199" s="333"/>
      <c r="FL199" s="333"/>
      <c r="FM199" s="333"/>
      <c r="FN199" s="333"/>
      <c r="FR199" s="333"/>
      <c r="FS199" s="333"/>
      <c r="FT199" s="333"/>
      <c r="FX199" s="333"/>
      <c r="FY199" s="333"/>
      <c r="FZ199" s="333"/>
      <c r="GA199" s="333"/>
      <c r="GB199" s="333"/>
      <c r="GC199" s="333"/>
      <c r="GD199" s="333"/>
      <c r="GE199" s="333"/>
      <c r="GF199" s="333"/>
      <c r="GG199" s="333"/>
      <c r="GH199" s="333"/>
      <c r="GI199" s="333"/>
      <c r="GY199" s="333"/>
      <c r="GZ199" s="333"/>
      <c r="HA199" s="333"/>
      <c r="IL199" s="333"/>
      <c r="IM199" s="333"/>
      <c r="IN199" s="333"/>
      <c r="IU199" s="335"/>
      <c r="IV199" s="335"/>
      <c r="IW199" s="335"/>
      <c r="IX199" s="333"/>
      <c r="IY199" s="333"/>
      <c r="IZ199" s="333"/>
      <c r="JA199" s="333"/>
      <c r="JB199" s="333"/>
      <c r="JC199" s="333"/>
      <c r="JS199" s="333"/>
      <c r="JT199" s="333"/>
      <c r="JU199" s="333"/>
      <c r="KZ199" s="332">
        <f t="shared" si="41"/>
        <v>0</v>
      </c>
      <c r="LA199" s="332">
        <f t="shared" si="42"/>
        <v>711.84799999999996</v>
      </c>
      <c r="MD199" s="332">
        <v>0</v>
      </c>
      <c r="ME199" s="345">
        <v>0</v>
      </c>
      <c r="MF199" s="332">
        <v>0</v>
      </c>
      <c r="MG199" s="332">
        <v>0</v>
      </c>
      <c r="MH199" s="332">
        <v>0</v>
      </c>
      <c r="MI199" s="332">
        <v>0</v>
      </c>
      <c r="MY199" s="332">
        <v>1.63</v>
      </c>
      <c r="MZ199" s="332">
        <v>-2.13</v>
      </c>
      <c r="NA199" s="332">
        <v>-3.75</v>
      </c>
      <c r="NB199" s="332">
        <v>-7</v>
      </c>
    </row>
    <row r="200" spans="1:366">
      <c r="A200" s="295"/>
      <c r="FF200" s="333"/>
      <c r="FG200" s="333"/>
      <c r="FH200" s="333"/>
      <c r="FL200" s="333"/>
      <c r="FM200" s="333"/>
      <c r="FN200" s="333"/>
      <c r="FR200" s="333"/>
      <c r="FS200" s="333"/>
      <c r="FT200" s="333"/>
      <c r="FX200" s="333"/>
      <c r="FY200" s="333"/>
      <c r="FZ200" s="333"/>
      <c r="GA200" s="333"/>
      <c r="GB200" s="333"/>
      <c r="GC200" s="333"/>
      <c r="GD200" s="333"/>
      <c r="GE200" s="333"/>
      <c r="GF200" s="333"/>
      <c r="GG200" s="333"/>
      <c r="GH200" s="333"/>
      <c r="GI200" s="333"/>
      <c r="GY200" s="333"/>
      <c r="GZ200" s="333"/>
      <c r="HA200" s="333"/>
      <c r="IL200" s="333"/>
      <c r="IM200" s="333"/>
      <c r="IN200" s="333"/>
      <c r="IU200" s="335"/>
      <c r="IV200" s="335"/>
      <c r="IW200" s="335"/>
      <c r="IX200" s="333"/>
      <c r="IY200" s="333"/>
      <c r="IZ200" s="333"/>
      <c r="JA200" s="333"/>
      <c r="JB200" s="333"/>
      <c r="JC200" s="333"/>
      <c r="JS200" s="333"/>
      <c r="JT200" s="333"/>
      <c r="JU200" s="333"/>
      <c r="KZ200" s="332">
        <f t="shared" si="41"/>
        <v>1519.14375</v>
      </c>
      <c r="LA200" s="332">
        <f t="shared" si="42"/>
        <v>1652.3486250000001</v>
      </c>
      <c r="MD200" s="332">
        <v>0</v>
      </c>
      <c r="ME200" s="345">
        <v>0</v>
      </c>
      <c r="MF200" s="332">
        <v>0</v>
      </c>
      <c r="MG200" s="332">
        <v>0</v>
      </c>
      <c r="MH200" s="332">
        <v>0</v>
      </c>
      <c r="MI200" s="332">
        <v>0</v>
      </c>
      <c r="MY200" s="332">
        <v>-0.38</v>
      </c>
      <c r="MZ200" s="332">
        <v>0.25</v>
      </c>
      <c r="NA200" s="332">
        <v>-1.88</v>
      </c>
      <c r="NB200" s="332">
        <v>-2.13</v>
      </c>
    </row>
    <row r="201" spans="1:366">
      <c r="A201" s="295"/>
      <c r="FF201" s="333"/>
      <c r="FG201" s="333"/>
      <c r="FH201" s="333"/>
      <c r="FL201" s="333"/>
      <c r="FM201" s="333"/>
      <c r="FN201" s="333"/>
      <c r="FR201" s="333"/>
      <c r="FS201" s="333"/>
      <c r="FT201" s="333"/>
      <c r="FX201" s="333"/>
      <c r="FY201" s="333"/>
      <c r="FZ201" s="333"/>
      <c r="GA201" s="333"/>
      <c r="GB201" s="333"/>
      <c r="GC201" s="333"/>
      <c r="GD201" s="333"/>
      <c r="GE201" s="333"/>
      <c r="GF201" s="333"/>
      <c r="GG201" s="333"/>
      <c r="GH201" s="333"/>
      <c r="GI201" s="333"/>
      <c r="GY201" s="333"/>
      <c r="GZ201" s="333"/>
      <c r="HA201" s="333"/>
      <c r="IL201" s="333"/>
      <c r="IM201" s="333"/>
      <c r="IN201" s="333"/>
      <c r="IU201" s="335"/>
      <c r="IV201" s="335"/>
      <c r="IW201" s="335"/>
      <c r="IX201" s="333"/>
      <c r="IY201" s="333"/>
      <c r="IZ201" s="333"/>
      <c r="JA201" s="333"/>
      <c r="JB201" s="333"/>
      <c r="JC201" s="333"/>
      <c r="JS201" s="333"/>
      <c r="JT201" s="333"/>
      <c r="JU201" s="333"/>
      <c r="KZ201" s="332">
        <f t="shared" si="41"/>
        <v>0</v>
      </c>
      <c r="LA201" s="332">
        <f t="shared" si="42"/>
        <v>223.84375000000003</v>
      </c>
      <c r="MD201" s="332">
        <v>0</v>
      </c>
      <c r="ME201" s="345">
        <v>0</v>
      </c>
      <c r="MF201" s="332">
        <v>0</v>
      </c>
      <c r="MG201" s="332">
        <v>0</v>
      </c>
      <c r="MH201" s="332">
        <v>0</v>
      </c>
      <c r="MI201" s="332">
        <v>0</v>
      </c>
      <c r="MY201" s="332">
        <v>-0.5</v>
      </c>
      <c r="MZ201" s="332">
        <v>1.1299999999999999</v>
      </c>
      <c r="NA201" s="332">
        <v>-1.1299999999999999</v>
      </c>
      <c r="NB201" s="332">
        <v>-4.25</v>
      </c>
    </row>
    <row r="202" spans="1:366">
      <c r="A202" s="295"/>
      <c r="FF202" s="333"/>
      <c r="FG202" s="333"/>
      <c r="FH202" s="333"/>
      <c r="FL202" s="333"/>
      <c r="FM202" s="333"/>
      <c r="FN202" s="333"/>
      <c r="FR202" s="333"/>
      <c r="FS202" s="333"/>
      <c r="FT202" s="333"/>
      <c r="FX202" s="333"/>
      <c r="FY202" s="333"/>
      <c r="FZ202" s="333"/>
      <c r="GA202" s="333"/>
      <c r="GB202" s="333"/>
      <c r="GC202" s="333"/>
      <c r="GD202" s="333"/>
      <c r="GE202" s="333"/>
      <c r="GF202" s="333"/>
      <c r="GG202" s="333"/>
      <c r="GH202" s="333"/>
      <c r="GI202" s="333"/>
      <c r="GY202" s="333"/>
      <c r="GZ202" s="333"/>
      <c r="HA202" s="333"/>
      <c r="IL202" s="333"/>
      <c r="IM202" s="333"/>
      <c r="IN202" s="333"/>
      <c r="IU202" s="335"/>
      <c r="IV202" s="335"/>
      <c r="IW202" s="335"/>
      <c r="IX202" s="333"/>
      <c r="IY202" s="333"/>
      <c r="IZ202" s="333"/>
      <c r="JA202" s="333"/>
      <c r="JB202" s="333"/>
      <c r="JC202" s="333"/>
      <c r="JS202" s="333"/>
      <c r="JT202" s="333"/>
      <c r="JU202" s="333"/>
      <c r="KZ202" s="332">
        <f t="shared" si="41"/>
        <v>0</v>
      </c>
      <c r="LA202" s="332">
        <f t="shared" si="42"/>
        <v>583.76850000000002</v>
      </c>
      <c r="MD202" s="332">
        <v>0</v>
      </c>
      <c r="MY202" s="332">
        <v>-0.13</v>
      </c>
      <c r="MZ202" s="332">
        <v>1.5</v>
      </c>
      <c r="NA202" s="332">
        <v>-2.13</v>
      </c>
      <c r="NB202" s="332">
        <v>-1.94</v>
      </c>
    </row>
    <row r="203" spans="1:366">
      <c r="A203" s="295"/>
      <c r="FF203" s="333"/>
      <c r="FG203" s="333"/>
      <c r="FH203" s="333"/>
      <c r="FL203" s="333"/>
      <c r="FM203" s="333"/>
      <c r="FN203" s="333"/>
      <c r="FR203" s="333"/>
      <c r="FS203" s="333"/>
      <c r="FT203" s="333"/>
      <c r="FX203" s="333"/>
      <c r="FY203" s="333"/>
      <c r="FZ203" s="333"/>
      <c r="GA203" s="333"/>
      <c r="GB203" s="333"/>
      <c r="GC203" s="333"/>
      <c r="GD203" s="333"/>
      <c r="GE203" s="333"/>
      <c r="GF203" s="333"/>
      <c r="GG203" s="333"/>
      <c r="GH203" s="333"/>
      <c r="GI203" s="333"/>
      <c r="GY203" s="333"/>
      <c r="GZ203" s="333"/>
      <c r="HA203" s="333"/>
      <c r="IL203" s="333"/>
      <c r="IM203" s="333"/>
      <c r="IN203" s="333"/>
      <c r="IU203" s="335"/>
      <c r="IV203" s="335"/>
      <c r="IW203" s="335"/>
      <c r="IX203" s="333"/>
      <c r="IY203" s="333"/>
      <c r="IZ203" s="333"/>
      <c r="JA203" s="333"/>
      <c r="JB203" s="333"/>
      <c r="JC203" s="333"/>
      <c r="JS203" s="333"/>
      <c r="JT203" s="333"/>
      <c r="JU203" s="333"/>
      <c r="KZ203" s="332">
        <f t="shared" si="41"/>
        <v>2699.1731249999998</v>
      </c>
      <c r="LA203" s="332">
        <f t="shared" si="42"/>
        <v>1208.3568749999999</v>
      </c>
      <c r="MD203" s="332">
        <v>0</v>
      </c>
      <c r="ME203" s="345">
        <v>0</v>
      </c>
      <c r="MF203" s="332">
        <v>0</v>
      </c>
      <c r="MG203" s="332">
        <v>0</v>
      </c>
      <c r="MH203" s="332">
        <v>0</v>
      </c>
      <c r="MI203" s="332">
        <v>0</v>
      </c>
      <c r="MY203" s="332">
        <v>-1.5</v>
      </c>
      <c r="MZ203" s="332">
        <v>2.25</v>
      </c>
      <c r="NA203" s="332">
        <v>0.25</v>
      </c>
      <c r="NB203" s="332">
        <v>-0.75</v>
      </c>
    </row>
    <row r="204" spans="1:366">
      <c r="A204" s="295"/>
      <c r="FF204" s="333"/>
      <c r="FG204" s="333"/>
      <c r="FH204" s="333"/>
      <c r="FL204" s="333"/>
      <c r="FM204" s="333"/>
      <c r="FN204" s="333"/>
      <c r="FR204" s="333"/>
      <c r="FS204" s="333"/>
      <c r="FT204" s="333"/>
      <c r="FX204" s="333"/>
      <c r="FY204" s="333"/>
      <c r="FZ204" s="333"/>
      <c r="GA204" s="333"/>
      <c r="GB204" s="333"/>
      <c r="GC204" s="333"/>
      <c r="GD204" s="333"/>
      <c r="GE204" s="333"/>
      <c r="GF204" s="333"/>
      <c r="GG204" s="333"/>
      <c r="GH204" s="333"/>
      <c r="GI204" s="333"/>
      <c r="GY204" s="333"/>
      <c r="GZ204" s="333"/>
      <c r="HA204" s="333"/>
      <c r="IL204" s="333"/>
      <c r="IM204" s="333"/>
      <c r="IN204" s="333"/>
      <c r="IU204" s="335"/>
      <c r="IV204" s="335"/>
      <c r="IW204" s="335"/>
      <c r="IX204" s="333"/>
      <c r="IY204" s="333"/>
      <c r="IZ204" s="333"/>
      <c r="JA204" s="333"/>
      <c r="JB204" s="333"/>
      <c r="JC204" s="333"/>
      <c r="JS204" s="333"/>
      <c r="JT204" s="333"/>
      <c r="JU204" s="333"/>
      <c r="KZ204" s="332">
        <f t="shared" si="41"/>
        <v>3952.1625000000004</v>
      </c>
      <c r="LA204" s="332">
        <f t="shared" si="42"/>
        <v>1724.260125</v>
      </c>
      <c r="MD204" s="332">
        <v>0</v>
      </c>
      <c r="ME204" s="345">
        <v>0</v>
      </c>
      <c r="MF204" s="332">
        <v>0</v>
      </c>
      <c r="MG204" s="332">
        <v>0</v>
      </c>
      <c r="MH204" s="332">
        <v>0</v>
      </c>
      <c r="MI204" s="332">
        <v>0</v>
      </c>
      <c r="MY204" s="332">
        <v>-22.38</v>
      </c>
      <c r="MZ204" s="332">
        <v>1.25</v>
      </c>
      <c r="NA204" s="332">
        <v>-2.25</v>
      </c>
      <c r="NB204" s="332">
        <v>-26.5</v>
      </c>
    </row>
    <row r="205" spans="1:366">
      <c r="A205" s="295"/>
      <c r="FF205" s="333"/>
      <c r="FG205" s="333"/>
      <c r="FH205" s="333"/>
      <c r="FL205" s="333"/>
      <c r="FM205" s="333"/>
      <c r="FN205" s="333"/>
      <c r="FR205" s="333"/>
      <c r="FS205" s="333"/>
      <c r="FT205" s="333"/>
      <c r="FX205" s="333"/>
      <c r="FY205" s="333"/>
      <c r="FZ205" s="333"/>
      <c r="GA205" s="333"/>
      <c r="GB205" s="333"/>
      <c r="GC205" s="333"/>
      <c r="GD205" s="333"/>
      <c r="GE205" s="333"/>
      <c r="GF205" s="333"/>
      <c r="GG205" s="333"/>
      <c r="GH205" s="333"/>
      <c r="GI205" s="333"/>
      <c r="GY205" s="333"/>
      <c r="GZ205" s="333"/>
      <c r="HA205" s="333"/>
      <c r="IL205" s="333"/>
      <c r="IM205" s="333"/>
      <c r="IN205" s="333"/>
      <c r="IU205" s="335"/>
      <c r="IV205" s="335"/>
      <c r="IW205" s="335"/>
      <c r="IX205" s="333"/>
      <c r="IY205" s="333"/>
      <c r="IZ205" s="333"/>
      <c r="JA205" s="333"/>
      <c r="JB205" s="333"/>
      <c r="JC205" s="333"/>
      <c r="JS205" s="333"/>
      <c r="JT205" s="333"/>
      <c r="JU205" s="333"/>
      <c r="KZ205" s="332">
        <f t="shared" si="41"/>
        <v>313.55999999999995</v>
      </c>
      <c r="LA205" s="332">
        <f t="shared" si="42"/>
        <v>348.36749999999887</v>
      </c>
      <c r="MD205" s="332">
        <v>0</v>
      </c>
      <c r="ME205" s="345">
        <v>0</v>
      </c>
      <c r="MF205" s="332">
        <v>0</v>
      </c>
      <c r="MG205" s="332">
        <v>0</v>
      </c>
      <c r="MH205" s="332">
        <v>8.3333333333333295E-4</v>
      </c>
      <c r="MI205" s="332">
        <v>2.6315789473684201E-3</v>
      </c>
      <c r="MY205" s="332">
        <v>-1</v>
      </c>
      <c r="MZ205" s="332">
        <v>0.38</v>
      </c>
      <c r="NA205" s="332">
        <v>-3.38</v>
      </c>
      <c r="NB205" s="332">
        <v>-8</v>
      </c>
    </row>
    <row r="206" spans="1:366">
      <c r="A206" s="295"/>
      <c r="FF206" s="333"/>
      <c r="FG206" s="333"/>
      <c r="FH206" s="333"/>
      <c r="FL206" s="333"/>
      <c r="FM206" s="333"/>
      <c r="FN206" s="333"/>
      <c r="FR206" s="333"/>
      <c r="FS206" s="333"/>
      <c r="FT206" s="333"/>
      <c r="FX206" s="333"/>
      <c r="FY206" s="333"/>
      <c r="FZ206" s="333"/>
      <c r="GA206" s="333"/>
      <c r="GB206" s="333"/>
      <c r="GC206" s="333"/>
      <c r="GD206" s="333"/>
      <c r="GE206" s="333"/>
      <c r="GF206" s="333"/>
      <c r="GG206" s="333"/>
      <c r="GH206" s="333"/>
      <c r="GI206" s="333"/>
      <c r="GY206" s="333"/>
      <c r="GZ206" s="333"/>
      <c r="HA206" s="333"/>
      <c r="IL206" s="333"/>
      <c r="IM206" s="333"/>
      <c r="IN206" s="333"/>
      <c r="IU206" s="335"/>
      <c r="IV206" s="335"/>
      <c r="IW206" s="335"/>
      <c r="IX206" s="333"/>
      <c r="IY206" s="333"/>
      <c r="IZ206" s="333"/>
      <c r="JA206" s="333"/>
      <c r="JB206" s="333"/>
      <c r="JC206" s="333"/>
      <c r="JS206" s="333"/>
      <c r="JT206" s="333"/>
      <c r="JU206" s="333"/>
      <c r="KZ206" s="332">
        <f t="shared" si="41"/>
        <v>2634.7999999999997</v>
      </c>
      <c r="LA206" s="332">
        <f t="shared" si="42"/>
        <v>751.23124999999993</v>
      </c>
      <c r="MD206" s="332">
        <v>0</v>
      </c>
      <c r="ME206" s="345">
        <v>0</v>
      </c>
      <c r="MF206" s="332">
        <v>0</v>
      </c>
      <c r="MG206" s="332">
        <v>0</v>
      </c>
      <c r="MH206" s="332">
        <v>0</v>
      </c>
      <c r="MI206" s="332">
        <v>0</v>
      </c>
      <c r="MY206" s="332">
        <v>1.75</v>
      </c>
      <c r="MZ206" s="332">
        <v>1.5</v>
      </c>
      <c r="NA206" s="332">
        <v>-3.63</v>
      </c>
      <c r="NB206" s="332">
        <v>-2.75</v>
      </c>
    </row>
    <row r="207" spans="1:366">
      <c r="A207" s="295"/>
      <c r="FF207" s="333"/>
      <c r="FG207" s="333"/>
      <c r="FH207" s="333"/>
      <c r="FL207" s="333"/>
      <c r="FM207" s="333"/>
      <c r="FN207" s="333"/>
      <c r="FR207" s="333"/>
      <c r="FS207" s="333"/>
      <c r="FT207" s="333"/>
      <c r="FX207" s="333"/>
      <c r="FY207" s="333"/>
      <c r="FZ207" s="333"/>
      <c r="GA207" s="333"/>
      <c r="GB207" s="333"/>
      <c r="GC207" s="333"/>
      <c r="GD207" s="333"/>
      <c r="GE207" s="333"/>
      <c r="GF207" s="333"/>
      <c r="GG207" s="333"/>
      <c r="GH207" s="333"/>
      <c r="GI207" s="333"/>
      <c r="GY207" s="333"/>
      <c r="GZ207" s="333"/>
      <c r="HA207" s="333"/>
      <c r="IL207" s="333"/>
      <c r="IM207" s="333"/>
      <c r="IN207" s="333"/>
      <c r="IU207" s="335"/>
      <c r="IV207" s="335"/>
      <c r="IW207" s="335"/>
      <c r="IX207" s="333"/>
      <c r="IY207" s="333"/>
      <c r="IZ207" s="333"/>
      <c r="JA207" s="333"/>
      <c r="JB207" s="333"/>
      <c r="JC207" s="333"/>
      <c r="JS207" s="333"/>
      <c r="JT207" s="333"/>
      <c r="JU207" s="333"/>
      <c r="KZ207" s="332">
        <f t="shared" si="41"/>
        <v>501.25499999999994</v>
      </c>
      <c r="LA207" s="332">
        <f t="shared" si="42"/>
        <v>711.92375000000004</v>
      </c>
      <c r="MD207" s="332">
        <v>0</v>
      </c>
      <c r="ME207" s="345">
        <v>0</v>
      </c>
      <c r="MF207" s="332">
        <v>0</v>
      </c>
      <c r="MG207" s="332">
        <v>0</v>
      </c>
      <c r="MH207" s="332">
        <v>0</v>
      </c>
      <c r="MI207" s="332">
        <v>0</v>
      </c>
      <c r="MY207" s="332">
        <v>2.38</v>
      </c>
      <c r="MZ207" s="332">
        <v>-0.13</v>
      </c>
      <c r="NA207" s="332">
        <v>-0.5</v>
      </c>
      <c r="NB207" s="332">
        <v>-1.25</v>
      </c>
    </row>
    <row r="208" spans="1:366">
      <c r="A208" s="295"/>
      <c r="FF208" s="333"/>
      <c r="FG208" s="333"/>
      <c r="FH208" s="333"/>
      <c r="FL208" s="333"/>
      <c r="FM208" s="333"/>
      <c r="FN208" s="333"/>
      <c r="FR208" s="333"/>
      <c r="FS208" s="333"/>
      <c r="FT208" s="333"/>
      <c r="FX208" s="333"/>
      <c r="FY208" s="333"/>
      <c r="FZ208" s="333"/>
      <c r="GA208" s="333"/>
      <c r="GB208" s="333"/>
      <c r="GC208" s="333"/>
      <c r="GD208" s="333"/>
      <c r="GE208" s="333"/>
      <c r="GF208" s="333"/>
      <c r="GG208" s="333"/>
      <c r="GH208" s="333"/>
      <c r="GI208" s="333"/>
      <c r="GY208" s="333"/>
      <c r="GZ208" s="333"/>
      <c r="HA208" s="333"/>
      <c r="IL208" s="333"/>
      <c r="IM208" s="333"/>
      <c r="IN208" s="333"/>
      <c r="IU208" s="335"/>
      <c r="IV208" s="335"/>
      <c r="IW208" s="335"/>
      <c r="IX208" s="333"/>
      <c r="IY208" s="333"/>
      <c r="IZ208" s="333"/>
      <c r="JA208" s="333"/>
      <c r="JB208" s="333"/>
      <c r="JC208" s="333"/>
      <c r="JS208" s="333"/>
      <c r="JT208" s="333"/>
      <c r="JU208" s="333"/>
      <c r="KZ208" s="332">
        <f t="shared" si="41"/>
        <v>4045.9375</v>
      </c>
      <c r="LA208" s="332">
        <f t="shared" si="42"/>
        <v>1216.1479999999999</v>
      </c>
      <c r="MD208" s="332">
        <v>0</v>
      </c>
      <c r="ME208" s="345">
        <v>0</v>
      </c>
      <c r="MF208" s="332">
        <v>0</v>
      </c>
      <c r="MG208" s="332">
        <v>0</v>
      </c>
      <c r="MH208" s="332">
        <v>0</v>
      </c>
      <c r="MI208" s="332">
        <v>0</v>
      </c>
      <c r="MY208" s="332">
        <v>-0.88</v>
      </c>
      <c r="MZ208" s="332">
        <v>0.25</v>
      </c>
      <c r="NA208" s="332">
        <v>-3</v>
      </c>
      <c r="NB208" s="332">
        <v>-8.3800000000000008</v>
      </c>
    </row>
    <row r="209" spans="1:366">
      <c r="A209" s="295"/>
      <c r="FF209" s="333"/>
      <c r="FG209" s="333"/>
      <c r="FH209" s="333"/>
      <c r="FL209" s="333"/>
      <c r="FM209" s="333"/>
      <c r="FN209" s="333"/>
      <c r="FR209" s="333"/>
      <c r="FS209" s="333"/>
      <c r="FT209" s="333"/>
      <c r="FX209" s="333"/>
      <c r="FY209" s="333"/>
      <c r="FZ209" s="333"/>
      <c r="GA209" s="333"/>
      <c r="GB209" s="333"/>
      <c r="GC209" s="333"/>
      <c r="GD209" s="333"/>
      <c r="GE209" s="333"/>
      <c r="GF209" s="333"/>
      <c r="GG209" s="333"/>
      <c r="GH209" s="333"/>
      <c r="GI209" s="333"/>
      <c r="GY209" s="333"/>
      <c r="GZ209" s="333"/>
      <c r="HA209" s="333"/>
      <c r="IL209" s="333"/>
      <c r="IM209" s="333"/>
      <c r="IN209" s="333"/>
      <c r="IU209" s="335"/>
      <c r="IV209" s="335"/>
      <c r="IW209" s="335"/>
      <c r="IX209" s="333"/>
      <c r="IY209" s="333"/>
      <c r="IZ209" s="333"/>
      <c r="JA209" s="333"/>
      <c r="JB209" s="333"/>
      <c r="JC209" s="333"/>
      <c r="JS209" s="333"/>
      <c r="JT209" s="333"/>
      <c r="JU209" s="333"/>
      <c r="KZ209" s="332">
        <f t="shared" si="41"/>
        <v>3226.5</v>
      </c>
      <c r="LA209" s="332">
        <f t="shared" si="42"/>
        <v>1945.1145000000001</v>
      </c>
      <c r="MD209" s="332">
        <v>0</v>
      </c>
      <c r="ME209" s="345">
        <v>0</v>
      </c>
      <c r="MF209" s="332">
        <v>0</v>
      </c>
      <c r="MG209" s="332">
        <v>0</v>
      </c>
      <c r="MH209" s="332">
        <v>0</v>
      </c>
      <c r="MI209" s="332">
        <v>0</v>
      </c>
      <c r="MY209" s="332">
        <v>0.5</v>
      </c>
      <c r="MZ209" s="332">
        <v>0.88</v>
      </c>
      <c r="NA209" s="332">
        <v>-3.88</v>
      </c>
      <c r="NB209" s="332">
        <v>-4.75</v>
      </c>
    </row>
    <row r="210" spans="1:366">
      <c r="A210" s="295"/>
      <c r="FF210" s="333"/>
      <c r="FG210" s="333"/>
      <c r="FH210" s="333"/>
      <c r="FL210" s="333"/>
      <c r="FM210" s="333"/>
      <c r="FN210" s="333"/>
      <c r="FR210" s="333"/>
      <c r="FS210" s="333"/>
      <c r="FT210" s="333"/>
      <c r="FX210" s="333"/>
      <c r="FY210" s="333"/>
      <c r="FZ210" s="333"/>
      <c r="GA210" s="333"/>
      <c r="GB210" s="333"/>
      <c r="GC210" s="333"/>
      <c r="GD210" s="333"/>
      <c r="GE210" s="333"/>
      <c r="GF210" s="333"/>
      <c r="GG210" s="333"/>
      <c r="GH210" s="333"/>
      <c r="GI210" s="333"/>
      <c r="GY210" s="333"/>
      <c r="GZ210" s="333"/>
      <c r="HA210" s="333"/>
      <c r="IL210" s="333"/>
      <c r="IM210" s="333"/>
      <c r="IN210" s="333"/>
      <c r="IU210" s="335"/>
      <c r="IV210" s="335"/>
      <c r="IW210" s="335"/>
      <c r="IX210" s="333"/>
      <c r="IY210" s="333"/>
      <c r="IZ210" s="333"/>
      <c r="JA210" s="333"/>
      <c r="JB210" s="333"/>
      <c r="JC210" s="333"/>
      <c r="JS210" s="333"/>
      <c r="JT210" s="333"/>
      <c r="JU210" s="333"/>
      <c r="KZ210" s="332">
        <f t="shared" si="41"/>
        <v>3346.6543750000001</v>
      </c>
      <c r="LA210" s="332">
        <f t="shared" si="42"/>
        <v>1337.011</v>
      </c>
      <c r="MD210" s="332">
        <v>0</v>
      </c>
      <c r="ME210" s="345">
        <v>0</v>
      </c>
      <c r="MF210" s="332">
        <v>0</v>
      </c>
      <c r="MG210" s="332">
        <v>0</v>
      </c>
      <c r="MH210" s="332">
        <v>0</v>
      </c>
      <c r="MI210" s="332">
        <v>0</v>
      </c>
      <c r="MY210" s="332">
        <v>1.75</v>
      </c>
      <c r="MZ210" s="332">
        <v>0</v>
      </c>
      <c r="NA210" s="332">
        <v>-3.63</v>
      </c>
      <c r="NB210" s="332">
        <v>-5.38</v>
      </c>
    </row>
    <row r="211" spans="1:366">
      <c r="A211" s="295"/>
      <c r="FF211" s="333"/>
      <c r="FG211" s="333"/>
      <c r="FH211" s="333"/>
      <c r="FL211" s="333"/>
      <c r="FM211" s="333"/>
      <c r="FN211" s="333"/>
      <c r="FR211" s="333"/>
      <c r="FS211" s="333"/>
      <c r="FT211" s="333"/>
      <c r="FX211" s="333"/>
      <c r="FY211" s="333"/>
      <c r="FZ211" s="333"/>
      <c r="GA211" s="333"/>
      <c r="GB211" s="333"/>
      <c r="GC211" s="333"/>
      <c r="GD211" s="333"/>
      <c r="GE211" s="333"/>
      <c r="GF211" s="333"/>
      <c r="GG211" s="333"/>
      <c r="GH211" s="333"/>
      <c r="GI211" s="333"/>
      <c r="GY211" s="333"/>
      <c r="GZ211" s="333"/>
      <c r="HA211" s="333"/>
      <c r="IL211" s="333"/>
      <c r="IM211" s="333"/>
      <c r="IN211" s="333"/>
      <c r="IU211" s="335"/>
      <c r="IV211" s="335"/>
      <c r="IW211" s="335"/>
      <c r="IX211" s="333"/>
      <c r="IY211" s="333"/>
      <c r="IZ211" s="333"/>
      <c r="JA211" s="333"/>
      <c r="JB211" s="333"/>
      <c r="JC211" s="333"/>
      <c r="JS211" s="333"/>
      <c r="JT211" s="333"/>
      <c r="JU211" s="333"/>
      <c r="KZ211" s="332">
        <f t="shared" si="41"/>
        <v>2517.3812499999999</v>
      </c>
      <c r="LA211" s="332">
        <f t="shared" si="42"/>
        <v>2029.27125</v>
      </c>
      <c r="MD211" s="332">
        <v>0</v>
      </c>
      <c r="MY211" s="332">
        <v>1.38</v>
      </c>
      <c r="MZ211" s="332">
        <v>-0.13</v>
      </c>
      <c r="NA211" s="332">
        <v>-0.25</v>
      </c>
      <c r="NB211" s="332">
        <v>-2.06</v>
      </c>
    </row>
    <row r="212" spans="1:366">
      <c r="A212" s="295"/>
      <c r="FL212" s="333"/>
      <c r="FM212" s="333"/>
      <c r="FN212" s="333"/>
      <c r="FR212" s="333"/>
      <c r="FS212" s="333"/>
      <c r="FT212" s="333"/>
      <c r="FX212" s="333"/>
      <c r="FY212" s="333"/>
      <c r="FZ212" s="333"/>
      <c r="GA212" s="333"/>
      <c r="GB212" s="333"/>
      <c r="GC212" s="333"/>
      <c r="GD212" s="333"/>
      <c r="GE212" s="333"/>
      <c r="GF212" s="333"/>
      <c r="GG212" s="333"/>
      <c r="GH212" s="333"/>
      <c r="GI212" s="333"/>
      <c r="GY212" s="333"/>
      <c r="GZ212" s="333"/>
      <c r="HA212" s="333"/>
      <c r="IL212" s="333"/>
      <c r="IM212" s="333"/>
      <c r="IN212" s="333"/>
      <c r="IU212" s="335"/>
      <c r="IV212" s="335"/>
      <c r="IW212" s="335"/>
      <c r="IX212" s="333"/>
      <c r="IY212" s="333"/>
      <c r="IZ212" s="333"/>
      <c r="JA212" s="333"/>
      <c r="JB212" s="333"/>
      <c r="JC212" s="333"/>
      <c r="JS212" s="333"/>
      <c r="JT212" s="333"/>
      <c r="JU212" s="333"/>
      <c r="KZ212" s="332">
        <f t="shared" si="41"/>
        <v>3501.3125</v>
      </c>
      <c r="LA212" s="332">
        <f t="shared" si="42"/>
        <v>2937.66</v>
      </c>
      <c r="MD212" s="332">
        <v>0</v>
      </c>
      <c r="ME212" s="345">
        <v>0</v>
      </c>
      <c r="MF212" s="332">
        <v>7.4999999999999997E-3</v>
      </c>
      <c r="MG212" s="332">
        <v>-2.1739130434782601E-2</v>
      </c>
      <c r="MH212" s="332">
        <v>0</v>
      </c>
      <c r="MI212" s="332">
        <v>0</v>
      </c>
      <c r="MY212" s="332">
        <v>0.25</v>
      </c>
      <c r="MZ212" s="332">
        <v>1.38</v>
      </c>
      <c r="NA212" s="332">
        <v>-3.38</v>
      </c>
      <c r="NB212" s="332">
        <v>-4</v>
      </c>
    </row>
    <row r="213" spans="1:366">
      <c r="A213" s="295"/>
      <c r="FL213" s="333"/>
      <c r="FM213" s="333"/>
      <c r="FN213" s="333"/>
      <c r="FR213" s="333"/>
      <c r="FS213" s="333"/>
      <c r="FT213" s="333"/>
      <c r="FX213" s="333"/>
      <c r="FY213" s="333"/>
      <c r="FZ213" s="333"/>
      <c r="GA213" s="333"/>
      <c r="GB213" s="333"/>
      <c r="GC213" s="333"/>
      <c r="GD213" s="333"/>
      <c r="GE213" s="333"/>
      <c r="GF213" s="333"/>
      <c r="GG213" s="333"/>
      <c r="GH213" s="333"/>
      <c r="GI213" s="333"/>
      <c r="GY213" s="333"/>
      <c r="GZ213" s="333"/>
      <c r="HA213" s="333"/>
      <c r="IL213" s="333"/>
      <c r="IM213" s="333"/>
      <c r="IN213" s="333"/>
      <c r="IU213" s="335"/>
      <c r="IV213" s="335"/>
      <c r="IW213" s="335"/>
      <c r="IX213" s="333"/>
      <c r="IY213" s="333"/>
      <c r="IZ213" s="333"/>
      <c r="JA213" s="333"/>
      <c r="JB213" s="333"/>
      <c r="JC213" s="333"/>
      <c r="JS213" s="333"/>
      <c r="JT213" s="333"/>
      <c r="JU213" s="333"/>
      <c r="KZ213" s="332">
        <f t="shared" si="41"/>
        <v>463.24374999999998</v>
      </c>
      <c r="LA213" s="332">
        <f t="shared" si="42"/>
        <v>205.35974999999999</v>
      </c>
      <c r="MD213" s="332">
        <v>0</v>
      </c>
      <c r="ME213" s="345">
        <v>0</v>
      </c>
      <c r="MF213" s="332">
        <v>0</v>
      </c>
      <c r="MG213" s="332">
        <v>0</v>
      </c>
      <c r="MH213" s="332">
        <v>0</v>
      </c>
      <c r="MI213" s="332">
        <v>0</v>
      </c>
      <c r="MY213" s="332">
        <v>1.1299999999999999</v>
      </c>
      <c r="MZ213" s="332">
        <v>0</v>
      </c>
      <c r="NA213" s="332">
        <v>-0.38</v>
      </c>
      <c r="NB213" s="332">
        <v>-2.38</v>
      </c>
    </row>
    <row r="214" spans="1:366">
      <c r="A214" s="295"/>
      <c r="FL214" s="333"/>
      <c r="FM214" s="333"/>
      <c r="FN214" s="333"/>
      <c r="FR214" s="333"/>
      <c r="FS214" s="333"/>
      <c r="FT214" s="333"/>
      <c r="FX214" s="333"/>
      <c r="FY214" s="333"/>
      <c r="FZ214" s="333"/>
      <c r="GA214" s="333"/>
      <c r="GB214" s="333"/>
      <c r="GC214" s="333"/>
      <c r="GD214" s="333"/>
      <c r="GE214" s="333"/>
      <c r="GF214" s="333"/>
      <c r="GG214" s="333"/>
      <c r="GH214" s="333"/>
      <c r="GI214" s="333"/>
      <c r="GY214" s="333"/>
      <c r="GZ214" s="333"/>
      <c r="HA214" s="333"/>
      <c r="IL214" s="333"/>
      <c r="IM214" s="333"/>
      <c r="IN214" s="333"/>
      <c r="IU214" s="335"/>
      <c r="IV214" s="335"/>
      <c r="IW214" s="335"/>
      <c r="IX214" s="333"/>
      <c r="IY214" s="333"/>
      <c r="IZ214" s="333"/>
      <c r="JA214" s="333"/>
      <c r="JB214" s="333"/>
      <c r="JC214" s="333"/>
      <c r="JS214" s="333"/>
      <c r="JT214" s="333"/>
      <c r="JU214" s="333"/>
      <c r="KZ214" s="332">
        <f t="shared" si="41"/>
        <v>776.55499999999995</v>
      </c>
      <c r="LA214" s="332">
        <f t="shared" si="42"/>
        <v>440.04999999999995</v>
      </c>
      <c r="MD214" s="332">
        <v>0</v>
      </c>
      <c r="ME214" s="345">
        <v>0</v>
      </c>
      <c r="MF214" s="332">
        <v>0</v>
      </c>
      <c r="MG214" s="332">
        <v>0</v>
      </c>
      <c r="MH214" s="332">
        <v>0</v>
      </c>
      <c r="MI214" s="332">
        <v>0</v>
      </c>
      <c r="MY214" s="332">
        <v>0.75</v>
      </c>
      <c r="MZ214" s="332">
        <v>-0.88</v>
      </c>
      <c r="NA214" s="332">
        <v>-1.63</v>
      </c>
      <c r="NB214" s="332">
        <v>-1.63</v>
      </c>
    </row>
    <row r="215" spans="1:366">
      <c r="A215" s="295"/>
      <c r="FL215" s="333"/>
      <c r="FM215" s="333"/>
      <c r="FN215" s="333"/>
      <c r="FR215" s="333"/>
      <c r="FS215" s="333"/>
      <c r="FT215" s="333"/>
      <c r="FX215" s="333"/>
      <c r="FY215" s="333"/>
      <c r="FZ215" s="333"/>
      <c r="GA215" s="333"/>
      <c r="GB215" s="333"/>
      <c r="GC215" s="333"/>
      <c r="GD215" s="333"/>
      <c r="GE215" s="333"/>
      <c r="GF215" s="333"/>
      <c r="GG215" s="333"/>
      <c r="GH215" s="333"/>
      <c r="GI215" s="333"/>
      <c r="GY215" s="333"/>
      <c r="GZ215" s="333"/>
      <c r="HA215" s="333"/>
      <c r="IL215" s="333"/>
      <c r="IM215" s="333"/>
      <c r="IN215" s="333"/>
      <c r="IU215" s="335"/>
      <c r="IV215" s="335"/>
      <c r="IW215" s="335"/>
      <c r="IX215" s="333"/>
      <c r="IY215" s="333"/>
      <c r="IZ215" s="333"/>
      <c r="JA215" s="333"/>
      <c r="JB215" s="333"/>
      <c r="JC215" s="333"/>
      <c r="JS215" s="333"/>
      <c r="JT215" s="333"/>
      <c r="JU215" s="333"/>
      <c r="KZ215" s="332">
        <f t="shared" si="41"/>
        <v>11865.875</v>
      </c>
      <c r="LA215" s="332">
        <f t="shared" si="42"/>
        <v>10460.53125</v>
      </c>
      <c r="MD215" s="332">
        <v>0</v>
      </c>
      <c r="ME215" s="345">
        <v>0</v>
      </c>
      <c r="MF215" s="332">
        <v>0</v>
      </c>
      <c r="MG215" s="332">
        <v>0</v>
      </c>
      <c r="MH215" s="332">
        <v>0</v>
      </c>
      <c r="MI215" s="332">
        <v>0</v>
      </c>
      <c r="MY215" s="332">
        <v>-0.63</v>
      </c>
      <c r="MZ215" s="332">
        <v>1.38</v>
      </c>
      <c r="NA215" s="332">
        <v>-6.13</v>
      </c>
      <c r="NB215" s="332">
        <v>-11.13</v>
      </c>
    </row>
    <row r="216" spans="1:366">
      <c r="A216" s="295"/>
      <c r="FL216" s="333"/>
      <c r="FM216" s="333"/>
      <c r="FN216" s="333"/>
      <c r="FR216" s="333"/>
      <c r="FS216" s="333"/>
      <c r="FT216" s="333"/>
      <c r="FX216" s="333"/>
      <c r="FY216" s="333"/>
      <c r="FZ216" s="333"/>
      <c r="GA216" s="333"/>
      <c r="GB216" s="333"/>
      <c r="GC216" s="333"/>
      <c r="GD216" s="333"/>
      <c r="GE216" s="333"/>
      <c r="GF216" s="333"/>
      <c r="GG216" s="333"/>
      <c r="GH216" s="333"/>
      <c r="GI216" s="333"/>
      <c r="GY216" s="333"/>
      <c r="GZ216" s="333"/>
      <c r="HA216" s="333"/>
      <c r="IL216" s="333"/>
      <c r="IM216" s="333"/>
      <c r="IN216" s="333"/>
      <c r="IU216" s="335"/>
      <c r="IV216" s="335"/>
      <c r="IW216" s="335"/>
      <c r="IX216" s="333"/>
      <c r="IY216" s="333"/>
      <c r="IZ216" s="333"/>
      <c r="JA216" s="333"/>
      <c r="JB216" s="333"/>
      <c r="JC216" s="333"/>
      <c r="JS216" s="333"/>
      <c r="JT216" s="333"/>
      <c r="JU216" s="333"/>
      <c r="KZ216" s="332">
        <f t="shared" si="41"/>
        <v>5127.9074999999993</v>
      </c>
      <c r="LA216" s="332">
        <f t="shared" si="42"/>
        <v>5171.8415000000005</v>
      </c>
      <c r="MD216" s="332">
        <v>0</v>
      </c>
      <c r="ME216" s="345">
        <v>0</v>
      </c>
      <c r="MF216" s="332">
        <v>0</v>
      </c>
      <c r="MG216" s="332">
        <v>0</v>
      </c>
      <c r="MH216" s="332">
        <v>0</v>
      </c>
      <c r="MI216" s="332">
        <v>0</v>
      </c>
      <c r="MY216" s="332">
        <v>-2.5</v>
      </c>
      <c r="MZ216" s="332">
        <v>3.13</v>
      </c>
      <c r="NA216" s="332">
        <v>-4.38</v>
      </c>
      <c r="NB216" s="332">
        <v>-3.13</v>
      </c>
    </row>
    <row r="217" spans="1:366">
      <c r="A217" s="295"/>
      <c r="FL217" s="333"/>
      <c r="FM217" s="333"/>
      <c r="FN217" s="333"/>
      <c r="FR217" s="333"/>
      <c r="FS217" s="333"/>
      <c r="FT217" s="333"/>
      <c r="FX217" s="333"/>
      <c r="FY217" s="333"/>
      <c r="FZ217" s="333"/>
      <c r="GA217" s="333"/>
      <c r="GB217" s="333"/>
      <c r="GC217" s="333"/>
      <c r="GD217" s="333"/>
      <c r="GE217" s="333"/>
      <c r="GF217" s="333"/>
      <c r="GY217" s="333"/>
      <c r="GZ217" s="333"/>
      <c r="HA217" s="333"/>
      <c r="IL217" s="333"/>
      <c r="IM217" s="333"/>
      <c r="IN217" s="333"/>
      <c r="IU217" s="335"/>
      <c r="IV217" s="335"/>
      <c r="IW217" s="335"/>
      <c r="IX217" s="333"/>
      <c r="IY217" s="333"/>
      <c r="IZ217" s="333"/>
      <c r="JA217" s="333"/>
      <c r="JB217" s="333"/>
      <c r="JC217" s="333"/>
      <c r="JS217" s="333"/>
      <c r="JT217" s="333"/>
      <c r="JU217" s="333"/>
      <c r="KZ217" s="332">
        <f t="shared" si="41"/>
        <v>10318.375</v>
      </c>
      <c r="LA217" s="332">
        <f t="shared" si="42"/>
        <v>5426.75</v>
      </c>
      <c r="MD217" s="332">
        <v>0</v>
      </c>
      <c r="ME217" s="345">
        <v>0</v>
      </c>
      <c r="MF217" s="332">
        <v>0</v>
      </c>
      <c r="MG217" s="332">
        <v>0</v>
      </c>
      <c r="MH217" s="332">
        <v>0</v>
      </c>
      <c r="MI217" s="332">
        <v>0</v>
      </c>
      <c r="MY217" s="332">
        <v>0.38</v>
      </c>
      <c r="MZ217" s="332">
        <v>3.38</v>
      </c>
      <c r="NA217" s="332">
        <v>-3.5</v>
      </c>
      <c r="NB217" s="332">
        <v>-3.88</v>
      </c>
    </row>
    <row r="218" spans="1:366">
      <c r="A218" s="295"/>
      <c r="FR218" s="333"/>
      <c r="FS218" s="333"/>
      <c r="FT218" s="333"/>
      <c r="FX218" s="333"/>
      <c r="FY218" s="333"/>
      <c r="FZ218" s="333"/>
      <c r="GA218" s="333"/>
      <c r="GB218" s="333"/>
      <c r="GC218" s="333"/>
      <c r="GD218" s="333"/>
      <c r="GE218" s="333"/>
      <c r="GF218" s="333"/>
      <c r="GY218" s="333"/>
      <c r="GZ218" s="333"/>
      <c r="HA218" s="333"/>
      <c r="IL218" s="333"/>
      <c r="IM218" s="333"/>
      <c r="IN218" s="333"/>
      <c r="IU218" s="335"/>
      <c r="IV218" s="335"/>
      <c r="IW218" s="335"/>
      <c r="IX218" s="333"/>
      <c r="IY218" s="333"/>
      <c r="IZ218" s="333"/>
      <c r="JA218" s="333"/>
      <c r="JB218" s="333"/>
      <c r="JC218" s="333"/>
      <c r="JS218" s="333"/>
      <c r="JT218" s="333"/>
      <c r="JU218" s="333"/>
      <c r="KZ218" s="332">
        <f t="shared" si="41"/>
        <v>3801.7156249999998</v>
      </c>
      <c r="LA218" s="332">
        <f t="shared" si="42"/>
        <v>1796.9275</v>
      </c>
      <c r="MD218" s="332">
        <v>0</v>
      </c>
      <c r="ME218" s="345">
        <v>0</v>
      </c>
      <c r="MF218" s="332">
        <v>1.4999999999999999E-2</v>
      </c>
      <c r="MG218" s="332">
        <v>-2.8571428571428501E-2</v>
      </c>
      <c r="MH218" s="332">
        <v>0</v>
      </c>
      <c r="MI218" s="332">
        <v>0</v>
      </c>
      <c r="MY218" s="332">
        <v>-0.63</v>
      </c>
      <c r="MZ218" s="332">
        <v>-2.75</v>
      </c>
      <c r="NA218" s="332">
        <v>-3.13</v>
      </c>
      <c r="NB218" s="332">
        <v>-10.75</v>
      </c>
    </row>
    <row r="219" spans="1:366">
      <c r="A219" s="295"/>
      <c r="FR219" s="333"/>
      <c r="FS219" s="333"/>
      <c r="FT219" s="333"/>
      <c r="FX219" s="333"/>
      <c r="FY219" s="333"/>
      <c r="FZ219" s="333"/>
      <c r="GA219" s="333"/>
      <c r="GB219" s="333"/>
      <c r="GC219" s="333"/>
      <c r="GD219" s="333"/>
      <c r="GE219" s="333"/>
      <c r="GF219" s="333"/>
      <c r="GY219" s="333"/>
      <c r="GZ219" s="333"/>
      <c r="HA219" s="333"/>
      <c r="IL219" s="333"/>
      <c r="IM219" s="333"/>
      <c r="IN219" s="333"/>
      <c r="IU219" s="335"/>
      <c r="IV219" s="335"/>
      <c r="IW219" s="335"/>
      <c r="IX219" s="333"/>
      <c r="IY219" s="333"/>
      <c r="IZ219" s="333"/>
      <c r="JA219" s="333"/>
      <c r="JB219" s="333"/>
      <c r="JC219" s="333"/>
      <c r="JS219" s="333"/>
      <c r="JT219" s="333"/>
      <c r="JU219" s="333"/>
      <c r="KZ219" s="332">
        <f t="shared" si="41"/>
        <v>710.09</v>
      </c>
      <c r="LA219" s="332">
        <f t="shared" si="42"/>
        <v>539.79840624999997</v>
      </c>
      <c r="MD219" s="332">
        <v>0</v>
      </c>
      <c r="MY219" s="332">
        <v>-1</v>
      </c>
      <c r="MZ219" s="332">
        <v>0.5</v>
      </c>
      <c r="NA219" s="332">
        <v>-1.88</v>
      </c>
      <c r="NB219" s="332">
        <v>-3.25</v>
      </c>
    </row>
    <row r="220" spans="1:366">
      <c r="A220" s="295"/>
      <c r="FR220" s="333"/>
      <c r="FS220" s="333"/>
      <c r="FT220" s="333"/>
      <c r="FX220" s="333"/>
      <c r="FY220" s="333"/>
      <c r="FZ220" s="333"/>
      <c r="GA220" s="333"/>
      <c r="GB220" s="333"/>
      <c r="GC220" s="333"/>
      <c r="GD220" s="333"/>
      <c r="GE220" s="333"/>
      <c r="GF220" s="333"/>
      <c r="GY220" s="333"/>
      <c r="GZ220" s="333"/>
      <c r="HA220" s="333"/>
      <c r="IL220" s="333"/>
      <c r="IM220" s="333"/>
      <c r="IN220" s="333"/>
      <c r="IU220" s="335"/>
      <c r="IV220" s="335"/>
      <c r="IW220" s="335"/>
      <c r="IX220" s="333"/>
      <c r="IY220" s="333"/>
      <c r="IZ220" s="333"/>
      <c r="JA220" s="333"/>
      <c r="JB220" s="333"/>
      <c r="JC220" s="333"/>
      <c r="JS220" s="333"/>
      <c r="JT220" s="333"/>
      <c r="JU220" s="333"/>
      <c r="KZ220" s="332">
        <f t="shared" si="41"/>
        <v>8848.8075000000008</v>
      </c>
      <c r="LA220" s="332">
        <f t="shared" si="42"/>
        <v>6447.3440000000001</v>
      </c>
      <c r="MD220" s="332">
        <v>0</v>
      </c>
      <c r="ME220" s="345">
        <v>0</v>
      </c>
      <c r="MF220" s="332">
        <v>0</v>
      </c>
      <c r="MG220" s="332">
        <v>0</v>
      </c>
      <c r="MH220" s="332">
        <v>0</v>
      </c>
      <c r="MI220" s="332">
        <v>0</v>
      </c>
      <c r="MY220" s="332">
        <v>-1.5</v>
      </c>
      <c r="MZ220" s="332">
        <v>-1</v>
      </c>
      <c r="NA220" s="332">
        <v>0.75</v>
      </c>
      <c r="NB220" s="332">
        <v>-3.75</v>
      </c>
    </row>
    <row r="221" spans="1:366">
      <c r="A221" s="295"/>
      <c r="FR221" s="333"/>
      <c r="FS221" s="333"/>
      <c r="FT221" s="333"/>
      <c r="FX221" s="333"/>
      <c r="FY221" s="333"/>
      <c r="FZ221" s="333"/>
      <c r="GA221" s="333"/>
      <c r="GB221" s="333"/>
      <c r="GC221" s="333"/>
      <c r="GD221" s="333"/>
      <c r="GE221" s="333"/>
      <c r="GF221" s="333"/>
      <c r="GY221" s="333"/>
      <c r="GZ221" s="333"/>
      <c r="HA221" s="333"/>
      <c r="IL221" s="333"/>
      <c r="IM221" s="333"/>
      <c r="IN221" s="333"/>
      <c r="IU221" s="335"/>
      <c r="IV221" s="335"/>
      <c r="IW221" s="335"/>
      <c r="IX221" s="333"/>
      <c r="IY221" s="333"/>
      <c r="IZ221" s="333"/>
      <c r="JA221" s="333"/>
      <c r="JB221" s="333"/>
      <c r="JC221" s="333"/>
      <c r="JS221" s="333"/>
      <c r="JT221" s="333"/>
      <c r="JU221" s="333"/>
      <c r="KZ221" s="332">
        <f t="shared" si="41"/>
        <v>986.30625000000009</v>
      </c>
      <c r="LA221" s="332">
        <f t="shared" si="42"/>
        <v>764.37987499999997</v>
      </c>
      <c r="MD221" s="332">
        <v>0</v>
      </c>
      <c r="ME221" s="345">
        <v>0</v>
      </c>
      <c r="MF221" s="332">
        <v>0</v>
      </c>
      <c r="MG221" s="332">
        <v>0</v>
      </c>
      <c r="MH221" s="332">
        <v>0</v>
      </c>
      <c r="MI221" s="332">
        <v>0</v>
      </c>
      <c r="MY221" s="332">
        <v>-0.88</v>
      </c>
      <c r="MZ221" s="332">
        <v>1.75</v>
      </c>
      <c r="NA221" s="332">
        <v>-1.88</v>
      </c>
      <c r="NB221" s="332">
        <v>-3.25</v>
      </c>
    </row>
    <row r="222" spans="1:366">
      <c r="A222" s="295"/>
      <c r="FR222" s="333"/>
      <c r="FS222" s="333"/>
      <c r="FT222" s="333"/>
      <c r="FX222" s="333"/>
      <c r="FY222" s="333"/>
      <c r="FZ222" s="333"/>
      <c r="GA222" s="333"/>
      <c r="GB222" s="333"/>
      <c r="GC222" s="333"/>
      <c r="GD222" s="333"/>
      <c r="GE222" s="333"/>
      <c r="GF222" s="333"/>
      <c r="GY222" s="333"/>
      <c r="GZ222" s="333"/>
      <c r="HA222" s="333"/>
      <c r="IL222" s="333"/>
      <c r="IM222" s="333"/>
      <c r="IN222" s="333"/>
      <c r="IU222" s="335"/>
      <c r="IV222" s="335"/>
      <c r="IW222" s="335"/>
      <c r="IX222" s="333"/>
      <c r="IY222" s="333"/>
      <c r="IZ222" s="333"/>
      <c r="JA222" s="333"/>
      <c r="JB222" s="333"/>
      <c r="JC222" s="333"/>
      <c r="JS222" s="333"/>
      <c r="JT222" s="333"/>
      <c r="JU222" s="333"/>
      <c r="KZ222" s="332">
        <f t="shared" si="41"/>
        <v>165.74812499999999</v>
      </c>
      <c r="LA222" s="332">
        <f t="shared" si="42"/>
        <v>113.1735</v>
      </c>
      <c r="MD222" s="332">
        <v>0</v>
      </c>
      <c r="ME222" s="345">
        <v>0</v>
      </c>
      <c r="MF222" s="332">
        <v>0</v>
      </c>
      <c r="MG222" s="332">
        <v>0</v>
      </c>
      <c r="MH222" s="332">
        <v>5.0000000000000001E-3</v>
      </c>
      <c r="MI222" s="332">
        <v>2.1739130434782601E-2</v>
      </c>
      <c r="MY222" s="332">
        <v>-0.13</v>
      </c>
      <c r="MZ222" s="332">
        <v>1.63</v>
      </c>
      <c r="NA222" s="332">
        <v>-2.63</v>
      </c>
      <c r="NB222" s="332">
        <v>-3.38</v>
      </c>
    </row>
    <row r="223" spans="1:366">
      <c r="A223" s="295"/>
      <c r="FR223" s="333"/>
      <c r="FS223" s="333"/>
      <c r="FT223" s="333"/>
      <c r="FX223" s="333"/>
      <c r="FY223" s="333"/>
      <c r="FZ223" s="333"/>
      <c r="GA223" s="333"/>
      <c r="GB223" s="333"/>
      <c r="GC223" s="333"/>
      <c r="GD223" s="333"/>
      <c r="GE223" s="333"/>
      <c r="GF223" s="333"/>
      <c r="GY223" s="333"/>
      <c r="GZ223" s="333"/>
      <c r="HA223" s="333"/>
      <c r="IL223" s="333"/>
      <c r="IM223" s="333"/>
      <c r="IN223" s="333"/>
      <c r="IU223" s="335"/>
      <c r="IV223" s="335"/>
      <c r="IW223" s="335"/>
      <c r="IX223" s="333"/>
      <c r="IY223" s="333"/>
      <c r="IZ223" s="333"/>
      <c r="JA223" s="333"/>
      <c r="JB223" s="333"/>
      <c r="JC223" s="333"/>
      <c r="JS223" s="333"/>
      <c r="JT223" s="333"/>
      <c r="JU223" s="333"/>
      <c r="KZ223" s="332">
        <f t="shared" si="41"/>
        <v>4542.640625</v>
      </c>
      <c r="LA223" s="332">
        <f t="shared" si="42"/>
        <v>2241.60475</v>
      </c>
      <c r="MD223" s="332">
        <v>0</v>
      </c>
      <c r="ME223" s="345">
        <v>0</v>
      </c>
      <c r="MF223" s="332">
        <v>0</v>
      </c>
      <c r="MG223" s="332">
        <v>0</v>
      </c>
      <c r="MH223" s="332">
        <v>0</v>
      </c>
      <c r="MI223" s="332">
        <v>0</v>
      </c>
      <c r="MY223" s="332">
        <v>1.1299999999999999</v>
      </c>
      <c r="MZ223" s="332">
        <v>0.88</v>
      </c>
      <c r="NA223" s="332">
        <v>-1.63</v>
      </c>
      <c r="NB223" s="332">
        <v>-2.25</v>
      </c>
    </row>
    <row r="224" spans="1:366">
      <c r="A224" s="295"/>
      <c r="FR224" s="333"/>
      <c r="FS224" s="333"/>
      <c r="FT224" s="333"/>
      <c r="FX224" s="333"/>
      <c r="FY224" s="333"/>
      <c r="FZ224" s="333"/>
      <c r="GA224" s="333"/>
      <c r="GB224" s="333"/>
      <c r="GC224" s="333"/>
      <c r="GD224" s="333"/>
      <c r="GE224" s="333"/>
      <c r="GF224" s="333"/>
      <c r="GY224" s="333"/>
      <c r="GZ224" s="333"/>
      <c r="HA224" s="333"/>
      <c r="IL224" s="333"/>
      <c r="IM224" s="333"/>
      <c r="IN224" s="333"/>
      <c r="IU224" s="335"/>
      <c r="IV224" s="335"/>
      <c r="IW224" s="335"/>
      <c r="IX224" s="333"/>
      <c r="IY224" s="333"/>
      <c r="IZ224" s="333"/>
      <c r="JA224" s="333"/>
      <c r="JB224" s="333"/>
      <c r="JC224" s="333"/>
      <c r="JS224" s="333"/>
      <c r="JT224" s="333"/>
      <c r="JU224" s="333"/>
      <c r="KZ224" s="332">
        <f t="shared" si="41"/>
        <v>2259.8375000000001</v>
      </c>
      <c r="LA224" s="332">
        <f t="shared" si="42"/>
        <v>1961.5084999999999</v>
      </c>
      <c r="MD224" s="332">
        <v>0</v>
      </c>
      <c r="ME224" s="345">
        <v>0</v>
      </c>
      <c r="MF224" s="332">
        <v>0</v>
      </c>
      <c r="MG224" s="332">
        <v>0</v>
      </c>
      <c r="MH224" s="332">
        <v>7.4999999999999997E-3</v>
      </c>
      <c r="MI224" s="332">
        <v>2.0833333333333301E-2</v>
      </c>
      <c r="MY224" s="332">
        <v>2.5</v>
      </c>
      <c r="MZ224" s="332">
        <v>-2.25</v>
      </c>
      <c r="NA224" s="332">
        <v>-2.88</v>
      </c>
      <c r="NB224" s="332">
        <v>-3.88</v>
      </c>
    </row>
    <row r="225" spans="1:366">
      <c r="A225" s="295"/>
      <c r="FR225" s="333"/>
      <c r="FS225" s="333"/>
      <c r="FT225" s="333"/>
      <c r="FX225" s="333"/>
      <c r="FY225" s="333"/>
      <c r="FZ225" s="333"/>
      <c r="GA225" s="333"/>
      <c r="GB225" s="333"/>
      <c r="GC225" s="333"/>
      <c r="GD225" s="333"/>
      <c r="GE225" s="333"/>
      <c r="GF225" s="333"/>
      <c r="GY225" s="333"/>
      <c r="GZ225" s="333"/>
      <c r="HA225" s="333"/>
      <c r="IL225" s="333"/>
      <c r="IM225" s="333"/>
      <c r="IN225" s="333"/>
      <c r="IU225" s="335"/>
      <c r="IV225" s="335"/>
      <c r="IW225" s="335"/>
      <c r="IX225" s="333"/>
      <c r="IY225" s="333"/>
      <c r="IZ225" s="333"/>
      <c r="JA225" s="333"/>
      <c r="JB225" s="333"/>
      <c r="JC225" s="333"/>
      <c r="JS225" s="333"/>
      <c r="JT225" s="333"/>
      <c r="JU225" s="333"/>
      <c r="KZ225" s="332">
        <f t="shared" si="41"/>
        <v>1089.0531249999999</v>
      </c>
      <c r="LA225" s="332">
        <f t="shared" si="42"/>
        <v>496.93124999999998</v>
      </c>
      <c r="MD225" s="332">
        <v>0</v>
      </c>
      <c r="ME225" s="345">
        <v>0</v>
      </c>
      <c r="MF225" s="332">
        <v>0</v>
      </c>
      <c r="MG225" s="332">
        <v>0</v>
      </c>
      <c r="MH225" s="332">
        <v>1.4999999999999999E-2</v>
      </c>
      <c r="MI225" s="332">
        <v>5.3571428571428499E-2</v>
      </c>
      <c r="MY225" s="332">
        <v>1.88</v>
      </c>
      <c r="MZ225" s="332">
        <v>1.1299999999999999</v>
      </c>
      <c r="NA225" s="332">
        <v>-4.88</v>
      </c>
      <c r="NB225" s="332">
        <v>-5.38</v>
      </c>
    </row>
    <row r="226" spans="1:366">
      <c r="A226" s="295"/>
      <c r="FX226" s="333"/>
      <c r="FY226" s="333"/>
      <c r="FZ226" s="333"/>
      <c r="GA226" s="333"/>
      <c r="GB226" s="333"/>
      <c r="GC226" s="333"/>
      <c r="GD226" s="333"/>
      <c r="GE226" s="333"/>
      <c r="GF226" s="333"/>
      <c r="GY226" s="333"/>
      <c r="GZ226" s="333"/>
      <c r="HA226" s="333"/>
      <c r="IL226" s="333"/>
      <c r="IM226" s="333"/>
      <c r="IN226" s="333"/>
      <c r="IU226" s="335"/>
      <c r="IV226" s="335"/>
      <c r="IW226" s="335"/>
      <c r="IX226" s="333"/>
      <c r="IY226" s="333"/>
      <c r="IZ226" s="333"/>
      <c r="JA226" s="333"/>
      <c r="JB226" s="333"/>
      <c r="JC226" s="333"/>
      <c r="JS226" s="333"/>
      <c r="JT226" s="333"/>
      <c r="JU226" s="333"/>
      <c r="KZ226" s="332">
        <f t="shared" si="41"/>
        <v>646.98514660000001</v>
      </c>
      <c r="LA226" s="332">
        <f t="shared" si="42"/>
        <v>181.86626699999999</v>
      </c>
      <c r="MD226" s="332">
        <v>0</v>
      </c>
      <c r="ME226" s="345">
        <v>0</v>
      </c>
      <c r="MF226" s="332">
        <v>0</v>
      </c>
      <c r="MG226" s="332">
        <v>0</v>
      </c>
      <c r="MH226" s="332">
        <v>9.9999999999999898E-3</v>
      </c>
      <c r="MI226" s="332">
        <v>2.3668639053254399E-2</v>
      </c>
      <c r="MY226" s="332">
        <v>1.1299999999999999</v>
      </c>
      <c r="MZ226" s="332">
        <v>0.63</v>
      </c>
      <c r="NA226" s="332">
        <v>-2.25</v>
      </c>
      <c r="NB226" s="332">
        <v>-4</v>
      </c>
    </row>
    <row r="227" spans="1:366">
      <c r="A227" s="295"/>
      <c r="FX227" s="333"/>
      <c r="FY227" s="333"/>
      <c r="FZ227" s="333"/>
      <c r="GA227" s="333"/>
      <c r="GB227" s="333"/>
      <c r="GC227" s="333"/>
      <c r="GD227" s="333"/>
      <c r="GE227" s="333"/>
      <c r="GF227" s="333"/>
      <c r="GY227" s="333"/>
      <c r="GZ227" s="333"/>
      <c r="HA227" s="333"/>
      <c r="IL227" s="333"/>
      <c r="IM227" s="333"/>
      <c r="IN227" s="333"/>
      <c r="IU227" s="335"/>
      <c r="IV227" s="335"/>
      <c r="IW227" s="335"/>
      <c r="IX227" s="333"/>
      <c r="IY227" s="333"/>
      <c r="IZ227" s="333"/>
      <c r="JA227" s="333"/>
      <c r="JB227" s="333"/>
      <c r="JC227" s="333"/>
      <c r="JS227" s="333"/>
      <c r="JT227" s="333"/>
      <c r="JU227" s="333"/>
      <c r="KZ227" s="332">
        <f t="shared" si="41"/>
        <v>1818.52125</v>
      </c>
      <c r="LA227" s="332">
        <f t="shared" si="42"/>
        <v>1176.0700000000002</v>
      </c>
      <c r="MD227" s="332">
        <v>0</v>
      </c>
      <c r="ME227" s="345">
        <v>0</v>
      </c>
      <c r="MF227" s="332">
        <v>0</v>
      </c>
      <c r="MG227" s="332">
        <v>0</v>
      </c>
      <c r="MH227" s="332">
        <v>9.9999999999999898E-3</v>
      </c>
      <c r="MI227" s="332">
        <v>2.3255813953488299E-2</v>
      </c>
      <c r="MY227" s="332">
        <v>-1.1299999999999999</v>
      </c>
      <c r="MZ227" s="332">
        <v>-0.94</v>
      </c>
      <c r="NA227" s="332">
        <v>-1.31</v>
      </c>
      <c r="NB227" s="332">
        <v>-4.9400000000000004</v>
      </c>
    </row>
    <row r="228" spans="1:366">
      <c r="A228" s="295"/>
      <c r="FX228" s="333"/>
      <c r="FY228" s="333"/>
      <c r="FZ228" s="333"/>
      <c r="GA228" s="333"/>
      <c r="GB228" s="333"/>
      <c r="GC228" s="333"/>
      <c r="GD228" s="333"/>
      <c r="GE228" s="333"/>
      <c r="GF228" s="333"/>
      <c r="GY228" s="333"/>
      <c r="GZ228" s="333"/>
      <c r="HA228" s="333"/>
      <c r="IL228" s="333"/>
      <c r="IM228" s="333"/>
      <c r="IN228" s="333"/>
      <c r="IU228" s="335"/>
      <c r="IV228" s="335"/>
      <c r="IW228" s="335"/>
      <c r="IX228" s="333"/>
      <c r="IY228" s="333"/>
      <c r="IZ228" s="333"/>
      <c r="JA228" s="333"/>
      <c r="JB228" s="333"/>
      <c r="JC228" s="333"/>
      <c r="JS228" s="333"/>
      <c r="JT228" s="333"/>
      <c r="JU228" s="333"/>
      <c r="KZ228" s="332">
        <f t="shared" si="41"/>
        <v>2050.125</v>
      </c>
      <c r="LA228" s="332">
        <f t="shared" si="42"/>
        <v>829.29825000000005</v>
      </c>
      <c r="MD228" s="332">
        <v>0</v>
      </c>
      <c r="ME228" s="345">
        <v>0</v>
      </c>
      <c r="MF228" s="332">
        <v>7.4999999999999997E-3</v>
      </c>
      <c r="MG228" s="332">
        <v>-1.5228426395939E-2</v>
      </c>
      <c r="MH228" s="332">
        <v>0</v>
      </c>
      <c r="MI228" s="332">
        <v>0</v>
      </c>
      <c r="MY228" s="332">
        <v>0.88</v>
      </c>
      <c r="MZ228" s="332">
        <v>-1.63</v>
      </c>
      <c r="NA228" s="332">
        <v>-2.63</v>
      </c>
      <c r="NB228" s="332">
        <v>-6.38</v>
      </c>
    </row>
    <row r="229" spans="1:366">
      <c r="A229" s="295"/>
      <c r="FX229" s="333"/>
      <c r="FY229" s="333"/>
      <c r="FZ229" s="333"/>
      <c r="GA229" s="333"/>
      <c r="GB229" s="333"/>
      <c r="GC229" s="333"/>
      <c r="GD229" s="333"/>
      <c r="GE229" s="333"/>
      <c r="GF229" s="333"/>
      <c r="GY229" s="333"/>
      <c r="GZ229" s="333"/>
      <c r="HA229" s="333"/>
      <c r="IL229" s="333"/>
      <c r="IM229" s="333"/>
      <c r="IN229" s="333"/>
      <c r="IU229" s="335"/>
      <c r="IV229" s="335"/>
      <c r="IW229" s="335"/>
      <c r="IX229" s="333"/>
      <c r="IY229" s="333"/>
      <c r="IZ229" s="333"/>
      <c r="JA229" s="333"/>
      <c r="JB229" s="333"/>
      <c r="JC229" s="333"/>
      <c r="JS229" s="333"/>
      <c r="JT229" s="333"/>
      <c r="JU229" s="333"/>
      <c r="KZ229" s="332">
        <f t="shared" si="41"/>
        <v>909.35</v>
      </c>
      <c r="LA229" s="332">
        <f t="shared" si="42"/>
        <v>724.1987499999999</v>
      </c>
      <c r="MD229" s="332">
        <v>0</v>
      </c>
      <c r="ME229" s="345">
        <v>0</v>
      </c>
      <c r="MF229" s="332">
        <v>0</v>
      </c>
      <c r="MG229" s="332">
        <v>0</v>
      </c>
      <c r="MH229" s="332">
        <v>0</v>
      </c>
      <c r="MI229" s="332">
        <v>0</v>
      </c>
      <c r="MY229" s="332">
        <v>0.67</v>
      </c>
      <c r="MZ229" s="332">
        <v>-0.17</v>
      </c>
      <c r="NA229" s="332">
        <v>-0.08</v>
      </c>
      <c r="NB229" s="332">
        <v>-0.08</v>
      </c>
    </row>
    <row r="230" spans="1:366">
      <c r="A230" s="295"/>
      <c r="FX230" s="333"/>
      <c r="FY230" s="333"/>
      <c r="FZ230" s="333"/>
      <c r="GA230" s="333"/>
      <c r="GB230" s="333"/>
      <c r="GC230" s="333"/>
      <c r="GD230" s="333"/>
      <c r="GE230" s="333"/>
      <c r="GF230" s="333"/>
      <c r="GY230" s="333"/>
      <c r="GZ230" s="333"/>
      <c r="HA230" s="333"/>
      <c r="IL230" s="333"/>
      <c r="IM230" s="333"/>
      <c r="IN230" s="333"/>
      <c r="IU230" s="335"/>
      <c r="IV230" s="335"/>
      <c r="IW230" s="335"/>
      <c r="IX230" s="333"/>
      <c r="IY230" s="333"/>
      <c r="IZ230" s="333"/>
      <c r="JA230" s="333"/>
      <c r="JB230" s="333"/>
      <c r="JC230" s="333"/>
      <c r="JS230" s="333"/>
      <c r="JT230" s="333"/>
      <c r="JU230" s="333"/>
      <c r="KZ230" s="332">
        <f t="shared" si="41"/>
        <v>2963.0456249999997</v>
      </c>
      <c r="LA230" s="332">
        <f t="shared" si="42"/>
        <v>2774.78325</v>
      </c>
      <c r="MD230" s="332">
        <v>0</v>
      </c>
      <c r="ME230" s="345">
        <v>0</v>
      </c>
      <c r="MF230" s="332">
        <v>1.2500000000000001E-2</v>
      </c>
      <c r="MG230" s="332">
        <v>-3.2894736842105199E-2</v>
      </c>
      <c r="MH230" s="332">
        <v>0</v>
      </c>
      <c r="MI230" s="332">
        <v>0</v>
      </c>
      <c r="MY230" s="332">
        <v>-0.61</v>
      </c>
      <c r="MZ230" s="332">
        <v>0.63</v>
      </c>
      <c r="NA230" s="332">
        <v>-2.5</v>
      </c>
      <c r="NB230" s="332">
        <v>-5.48</v>
      </c>
    </row>
    <row r="231" spans="1:366">
      <c r="A231" s="295"/>
      <c r="FX231" s="333"/>
      <c r="FY231" s="333"/>
      <c r="FZ231" s="333"/>
      <c r="GA231" s="333"/>
      <c r="GB231" s="333"/>
      <c r="GC231" s="333"/>
      <c r="GD231" s="333"/>
      <c r="GE231" s="333"/>
      <c r="GF231" s="333"/>
      <c r="GY231" s="333"/>
      <c r="GZ231" s="333"/>
      <c r="HA231" s="333"/>
      <c r="IL231" s="333"/>
      <c r="IM231" s="333"/>
      <c r="IN231" s="333"/>
      <c r="IU231" s="335"/>
      <c r="IV231" s="335"/>
      <c r="IW231" s="335"/>
      <c r="IX231" s="333"/>
      <c r="IY231" s="333"/>
      <c r="IZ231" s="333"/>
      <c r="JA231" s="333"/>
      <c r="JB231" s="333"/>
      <c r="JC231" s="333"/>
      <c r="JS231" s="333"/>
      <c r="JT231" s="333"/>
      <c r="JU231" s="333"/>
      <c r="KZ231" s="332">
        <f t="shared" si="41"/>
        <v>782.04500000000007</v>
      </c>
      <c r="LA231" s="332">
        <f t="shared" si="42"/>
        <v>639.24474999999995</v>
      </c>
      <c r="MD231" s="332">
        <v>0</v>
      </c>
      <c r="ME231" s="345">
        <v>0</v>
      </c>
      <c r="MF231" s="332">
        <v>0</v>
      </c>
      <c r="MG231" s="332">
        <v>0</v>
      </c>
      <c r="MH231" s="332">
        <v>0</v>
      </c>
      <c r="MI231" s="332">
        <v>0</v>
      </c>
      <c r="MY231" s="332">
        <v>-1</v>
      </c>
      <c r="MZ231" s="332">
        <v>0.5</v>
      </c>
      <c r="NA231" s="332">
        <v>-1.75</v>
      </c>
      <c r="NB231" s="332">
        <v>-6</v>
      </c>
    </row>
    <row r="232" spans="1:366">
      <c r="A232" s="295"/>
      <c r="FX232" s="333"/>
      <c r="FY232" s="333"/>
      <c r="FZ232" s="333"/>
      <c r="GA232" s="333"/>
      <c r="GB232" s="333"/>
      <c r="GC232" s="333"/>
      <c r="GD232" s="333"/>
      <c r="GE232" s="333"/>
      <c r="GF232" s="333"/>
      <c r="GY232" s="333"/>
      <c r="GZ232" s="333"/>
      <c r="HA232" s="333"/>
      <c r="IL232" s="333"/>
      <c r="IM232" s="333"/>
      <c r="IN232" s="333"/>
      <c r="IU232" s="335"/>
      <c r="IV232" s="335"/>
      <c r="IW232" s="335"/>
      <c r="IX232" s="333"/>
      <c r="IY232" s="333"/>
      <c r="IZ232" s="333"/>
      <c r="JA232" s="333"/>
      <c r="JB232" s="333"/>
      <c r="JC232" s="333"/>
      <c r="JS232" s="333"/>
      <c r="JT232" s="333"/>
      <c r="JU232" s="333"/>
      <c r="KZ232" s="332">
        <f t="shared" si="41"/>
        <v>1205.5125</v>
      </c>
      <c r="LA232" s="332">
        <f t="shared" si="42"/>
        <v>514.84607999999946</v>
      </c>
      <c r="MD232" s="332">
        <v>3.3E-3</v>
      </c>
      <c r="ME232" s="332">
        <v>1.8348623853211E-2</v>
      </c>
      <c r="MF232" s="332">
        <v>0</v>
      </c>
      <c r="MG232" s="332">
        <v>0</v>
      </c>
      <c r="MH232" s="332">
        <v>0</v>
      </c>
      <c r="MI232" s="332">
        <v>0</v>
      </c>
      <c r="MY232" s="332">
        <v>2.59</v>
      </c>
      <c r="MZ232" s="332">
        <v>0.5</v>
      </c>
      <c r="NA232" s="332">
        <v>-1.5</v>
      </c>
      <c r="NB232" s="332">
        <v>-0.28000000000000003</v>
      </c>
    </row>
    <row r="233" spans="1:366">
      <c r="A233" s="295"/>
      <c r="B233" s="335"/>
      <c r="C233" s="335"/>
      <c r="D233" s="335"/>
      <c r="E233" s="335"/>
      <c r="F233" s="335"/>
      <c r="G233" s="335"/>
      <c r="H233" s="335"/>
      <c r="I233" s="335"/>
      <c r="J233" s="335"/>
      <c r="K233" s="335"/>
      <c r="L233" s="335"/>
      <c r="M233" s="335"/>
      <c r="N233" s="335"/>
      <c r="O233" s="335"/>
      <c r="P233" s="335"/>
      <c r="Q233" s="335"/>
      <c r="R233" s="335"/>
      <c r="S233" s="335"/>
      <c r="T233" s="335"/>
      <c r="U233" s="335"/>
      <c r="V233" s="335"/>
      <c r="W233" s="335"/>
      <c r="X233" s="335"/>
      <c r="Y233" s="335"/>
      <c r="Z233" s="335"/>
      <c r="AA233" s="335"/>
      <c r="AB233" s="335"/>
      <c r="AC233" s="335"/>
      <c r="AD233" s="335"/>
      <c r="AE233" s="335"/>
      <c r="AF233" s="335"/>
      <c r="AG233" s="335"/>
      <c r="AH233" s="335"/>
      <c r="AI233" s="335"/>
      <c r="AJ233" s="335"/>
      <c r="AK233" s="335"/>
      <c r="AL233" s="335"/>
      <c r="AM233" s="335"/>
      <c r="AN233" s="335"/>
      <c r="AO233" s="335"/>
      <c r="AP233" s="335"/>
      <c r="AQ233" s="335"/>
      <c r="AR233" s="335"/>
      <c r="AS233" s="335"/>
      <c r="AT233" s="335"/>
      <c r="AU233" s="335"/>
      <c r="AV233" s="335"/>
      <c r="AW233" s="335"/>
      <c r="AX233" s="335"/>
      <c r="DA233" s="335"/>
      <c r="DB233" s="335"/>
      <c r="DC233" s="335"/>
      <c r="DD233" s="335"/>
      <c r="DE233" s="335"/>
      <c r="DF233" s="335"/>
      <c r="DG233" s="335"/>
      <c r="DH233" s="335"/>
      <c r="DI233" s="335"/>
      <c r="DJ233" s="335"/>
      <c r="DK233" s="335"/>
      <c r="DL233" s="335"/>
      <c r="DM233" s="335"/>
      <c r="DN233" s="335"/>
      <c r="DO233" s="335"/>
      <c r="DP233" s="335"/>
      <c r="DQ233" s="335"/>
      <c r="DR233" s="335"/>
      <c r="DS233" s="335"/>
      <c r="DT233" s="335"/>
      <c r="DU233" s="335"/>
      <c r="DV233" s="335"/>
      <c r="DW233" s="335"/>
      <c r="DX233" s="335"/>
      <c r="DY233" s="335"/>
      <c r="DZ233" s="335"/>
      <c r="EA233" s="335"/>
      <c r="EB233" s="335"/>
      <c r="EC233" s="335"/>
      <c r="ED233" s="335"/>
      <c r="EE233" s="335"/>
      <c r="EF233" s="335"/>
      <c r="EG233" s="335"/>
      <c r="EH233" s="335"/>
      <c r="EI233" s="335"/>
      <c r="EJ233" s="335"/>
      <c r="EK233" s="335"/>
      <c r="EL233" s="335"/>
      <c r="EM233" s="335"/>
      <c r="EN233" s="335"/>
      <c r="EO233" s="335"/>
      <c r="EP233" s="335"/>
      <c r="EQ233" s="335"/>
      <c r="ER233" s="335"/>
      <c r="ES233" s="335"/>
      <c r="ET233" s="335"/>
      <c r="EU233" s="335"/>
      <c r="EV233" s="335"/>
      <c r="EW233" s="335"/>
      <c r="EX233" s="335"/>
      <c r="EY233" s="335"/>
      <c r="EZ233" s="335"/>
      <c r="FA233" s="335"/>
      <c r="FB233" s="335"/>
      <c r="FC233" s="335"/>
      <c r="FD233" s="335"/>
      <c r="FE233" s="335"/>
      <c r="FF233" s="335"/>
      <c r="FG233" s="335"/>
      <c r="FH233" s="335"/>
      <c r="FI233" s="335"/>
      <c r="FJ233" s="335"/>
      <c r="FK233" s="335"/>
      <c r="FL233" s="335"/>
      <c r="FM233" s="335"/>
      <c r="FN233" s="335"/>
      <c r="FO233" s="335"/>
      <c r="FP233" s="335"/>
      <c r="FQ233" s="335"/>
      <c r="FR233" s="335"/>
      <c r="FS233" s="335"/>
      <c r="FT233" s="335"/>
      <c r="FU233" s="335"/>
      <c r="FV233" s="335"/>
      <c r="FW233" s="335"/>
      <c r="FX233" s="333"/>
      <c r="FY233" s="333"/>
      <c r="FZ233" s="333"/>
      <c r="GA233" s="333"/>
      <c r="GB233" s="333"/>
      <c r="GC233" s="333"/>
      <c r="GD233" s="333"/>
      <c r="GE233" s="333"/>
      <c r="GF233" s="333"/>
      <c r="GG233" s="335"/>
      <c r="GH233" s="335"/>
      <c r="GI233" s="335"/>
      <c r="GJ233" s="335"/>
      <c r="GK233" s="335"/>
      <c r="GL233" s="335"/>
      <c r="GM233" s="335"/>
      <c r="GN233" s="335"/>
      <c r="GO233" s="335"/>
      <c r="GP233" s="335"/>
      <c r="GQ233" s="335"/>
      <c r="GR233" s="335"/>
      <c r="GS233" s="335"/>
      <c r="GT233" s="335"/>
      <c r="GU233" s="335"/>
      <c r="GV233" s="335"/>
      <c r="GW233" s="335"/>
      <c r="GX233" s="335"/>
      <c r="GY233" s="333"/>
      <c r="GZ233" s="333"/>
      <c r="HA233" s="333"/>
      <c r="HB233" s="335"/>
      <c r="HC233" s="335"/>
      <c r="HD233" s="335"/>
      <c r="HE233" s="335"/>
      <c r="HF233" s="335"/>
      <c r="HG233" s="335"/>
      <c r="HH233" s="335"/>
      <c r="HI233" s="335"/>
      <c r="HJ233" s="335"/>
      <c r="HK233" s="335"/>
      <c r="HL233" s="335"/>
      <c r="HM233" s="335"/>
      <c r="HN233" s="335"/>
      <c r="HO233" s="335"/>
      <c r="HP233" s="335"/>
      <c r="HQ233" s="335"/>
      <c r="HR233" s="335"/>
      <c r="HS233" s="335"/>
      <c r="HT233" s="335"/>
      <c r="HU233" s="335"/>
      <c r="HV233" s="335"/>
      <c r="II233" s="335"/>
      <c r="IJ233" s="335"/>
      <c r="IK233" s="335"/>
      <c r="IL233" s="333"/>
      <c r="IM233" s="333"/>
      <c r="IN233" s="333"/>
      <c r="IO233" s="335"/>
      <c r="IP233" s="335"/>
      <c r="IQ233" s="335"/>
      <c r="IR233" s="335"/>
      <c r="IS233" s="335"/>
      <c r="IT233" s="335"/>
      <c r="IU233" s="335"/>
      <c r="IV233" s="335"/>
      <c r="IW233" s="335"/>
      <c r="IX233" s="333"/>
      <c r="IY233" s="333"/>
      <c r="IZ233" s="333"/>
      <c r="JA233" s="333"/>
      <c r="JB233" s="333"/>
      <c r="JC233" s="333"/>
      <c r="JD233" s="335"/>
      <c r="JE233" s="335"/>
      <c r="JF233" s="335"/>
      <c r="JG233" s="335"/>
      <c r="JH233" s="335"/>
      <c r="JI233" s="335"/>
      <c r="JJ233" s="335"/>
      <c r="JK233" s="335"/>
      <c r="JL233" s="335"/>
      <c r="JM233" s="335"/>
      <c r="JN233" s="335"/>
      <c r="JO233" s="335"/>
      <c r="JP233" s="335"/>
      <c r="JQ233" s="335"/>
      <c r="JR233" s="335"/>
      <c r="JS233" s="333"/>
      <c r="JT233" s="333"/>
      <c r="JU233" s="333"/>
      <c r="JV233" s="335"/>
      <c r="JW233" s="335"/>
      <c r="JX233" s="335"/>
      <c r="JY233" s="335"/>
      <c r="JZ233" s="335"/>
      <c r="KA233" s="335"/>
      <c r="KB233" s="335"/>
      <c r="KC233" s="335"/>
      <c r="KD233" s="335"/>
      <c r="KE233" s="335"/>
      <c r="KF233" s="335"/>
      <c r="KG233" s="335"/>
      <c r="KH233" s="335"/>
      <c r="KI233" s="335"/>
      <c r="KJ233" s="335"/>
      <c r="KK233" s="335"/>
      <c r="KL233" s="335"/>
      <c r="KM233" s="335"/>
      <c r="KN233" s="335"/>
      <c r="KO233" s="335"/>
      <c r="KP233" s="335"/>
      <c r="KQ233" s="335"/>
      <c r="KR233" s="335"/>
      <c r="KS233" s="335"/>
    </row>
    <row r="234" spans="1:366">
      <c r="A234" s="295"/>
      <c r="B234" s="335"/>
      <c r="C234" s="335"/>
      <c r="D234" s="335"/>
      <c r="E234" s="335"/>
      <c r="F234" s="335"/>
      <c r="G234" s="335"/>
      <c r="H234" s="335"/>
      <c r="I234" s="335"/>
      <c r="J234" s="335"/>
      <c r="K234" s="335"/>
      <c r="L234" s="335"/>
      <c r="M234" s="335"/>
      <c r="N234" s="335"/>
      <c r="O234" s="335"/>
      <c r="P234" s="335"/>
      <c r="Q234" s="335"/>
      <c r="R234" s="335"/>
      <c r="S234" s="335"/>
      <c r="T234" s="335"/>
      <c r="U234" s="335"/>
      <c r="V234" s="335"/>
      <c r="W234" s="335"/>
      <c r="X234" s="335"/>
      <c r="Y234" s="335"/>
      <c r="Z234" s="335"/>
      <c r="AA234" s="335"/>
      <c r="AB234" s="335"/>
      <c r="AC234" s="335"/>
      <c r="AD234" s="335"/>
      <c r="AE234" s="335"/>
      <c r="AF234" s="335"/>
      <c r="AG234" s="335"/>
      <c r="AH234" s="335"/>
      <c r="AI234" s="335"/>
      <c r="AJ234" s="335"/>
      <c r="AK234" s="335"/>
      <c r="AL234" s="335"/>
      <c r="AM234" s="335"/>
      <c r="AN234" s="335"/>
      <c r="AO234" s="335"/>
      <c r="AP234" s="335"/>
      <c r="AQ234" s="335"/>
      <c r="AR234" s="335"/>
      <c r="AS234" s="335"/>
      <c r="AT234" s="335"/>
      <c r="AU234" s="335"/>
      <c r="AV234" s="335"/>
      <c r="AW234" s="335"/>
      <c r="AX234" s="335"/>
      <c r="AY234" s="359"/>
      <c r="AZ234" s="359"/>
      <c r="BA234" s="359"/>
      <c r="BB234" s="359"/>
      <c r="BC234" s="359"/>
      <c r="BD234" s="359"/>
      <c r="BE234" s="359"/>
      <c r="BF234" s="359"/>
      <c r="BG234" s="359"/>
      <c r="BH234" s="359"/>
      <c r="BI234" s="359"/>
      <c r="BJ234" s="359"/>
      <c r="BK234" s="353"/>
      <c r="BL234" s="353"/>
      <c r="BM234" s="353"/>
      <c r="BN234" s="353"/>
      <c r="BO234" s="353"/>
      <c r="BP234" s="353"/>
      <c r="BQ234" s="353"/>
      <c r="BR234" s="353"/>
      <c r="BS234" s="353"/>
      <c r="BT234" s="353"/>
      <c r="BU234" s="353"/>
      <c r="BV234" s="353"/>
      <c r="BW234" s="353"/>
      <c r="BX234" s="353"/>
      <c r="BY234" s="353"/>
      <c r="BZ234" s="335"/>
      <c r="CA234" s="335"/>
      <c r="CB234" s="335"/>
      <c r="CC234" s="335"/>
      <c r="CD234" s="335"/>
      <c r="CE234" s="335"/>
      <c r="CF234" s="335"/>
      <c r="CG234" s="335"/>
      <c r="CH234" s="335"/>
      <c r="DA234" s="335"/>
      <c r="DB234" s="335"/>
      <c r="DC234" s="335"/>
      <c r="DD234" s="335"/>
      <c r="DE234" s="335"/>
      <c r="DF234" s="335"/>
      <c r="DG234" s="335"/>
      <c r="DH234" s="335"/>
      <c r="DI234" s="335"/>
      <c r="DJ234" s="335"/>
      <c r="DK234" s="335"/>
      <c r="DL234" s="335"/>
      <c r="DM234" s="335"/>
      <c r="DN234" s="335"/>
      <c r="DO234" s="335"/>
      <c r="DP234" s="335"/>
      <c r="DQ234" s="335"/>
      <c r="DR234" s="335"/>
      <c r="DS234" s="335"/>
      <c r="DT234" s="335"/>
      <c r="DU234" s="335"/>
      <c r="DV234" s="335"/>
      <c r="DW234" s="335"/>
      <c r="DX234" s="335"/>
      <c r="DY234" s="335"/>
      <c r="DZ234" s="335"/>
      <c r="EA234" s="335"/>
      <c r="EB234" s="335"/>
      <c r="EC234" s="335"/>
      <c r="ED234" s="335"/>
      <c r="EE234" s="335"/>
      <c r="EF234" s="335"/>
      <c r="EG234" s="335"/>
      <c r="EH234" s="335"/>
      <c r="EI234" s="335"/>
      <c r="EJ234" s="335"/>
      <c r="EK234" s="335"/>
      <c r="EL234" s="335"/>
      <c r="EM234" s="335"/>
      <c r="EN234" s="335"/>
      <c r="EO234" s="335"/>
      <c r="EP234" s="335"/>
      <c r="EQ234" s="335"/>
      <c r="ER234" s="335"/>
      <c r="ES234" s="335"/>
      <c r="ET234" s="335"/>
      <c r="EU234" s="335"/>
      <c r="EV234" s="335"/>
      <c r="EW234" s="335"/>
      <c r="EX234" s="335"/>
      <c r="EY234" s="335"/>
      <c r="EZ234" s="335"/>
      <c r="FA234" s="335"/>
      <c r="FB234" s="335"/>
      <c r="FC234" s="335"/>
      <c r="FD234" s="335"/>
      <c r="FE234" s="335"/>
      <c r="FF234" s="335"/>
      <c r="FG234" s="335"/>
      <c r="FH234" s="335"/>
      <c r="FI234" s="335"/>
      <c r="FJ234" s="335"/>
      <c r="FK234" s="335"/>
      <c r="FL234" s="335"/>
      <c r="FM234" s="335"/>
      <c r="FN234" s="335"/>
      <c r="FO234" s="335"/>
      <c r="FP234" s="335"/>
      <c r="FQ234" s="335"/>
      <c r="FR234" s="335"/>
      <c r="FS234" s="335"/>
      <c r="FT234" s="335"/>
      <c r="FU234" s="335"/>
      <c r="FV234" s="335"/>
      <c r="FW234" s="335"/>
      <c r="FX234" s="333"/>
      <c r="FY234" s="333"/>
      <c r="FZ234" s="333"/>
      <c r="GA234" s="333"/>
      <c r="GB234" s="333"/>
      <c r="GC234" s="333"/>
      <c r="GD234" s="333"/>
      <c r="GE234" s="333"/>
      <c r="GF234" s="333"/>
      <c r="GG234" s="335"/>
      <c r="GH234" s="335"/>
      <c r="GI234" s="335"/>
      <c r="GJ234" s="335"/>
      <c r="GK234" s="335"/>
      <c r="GL234" s="335"/>
      <c r="GM234" s="335"/>
      <c r="GN234" s="335"/>
      <c r="GO234" s="335"/>
      <c r="GP234" s="335"/>
      <c r="GQ234" s="335"/>
      <c r="GR234" s="335"/>
      <c r="GS234" s="335"/>
      <c r="GT234" s="335"/>
      <c r="GU234" s="335"/>
      <c r="GV234" s="335"/>
      <c r="GW234" s="335"/>
      <c r="GX234" s="335"/>
      <c r="GY234" s="333"/>
      <c r="GZ234" s="333"/>
      <c r="HA234" s="333"/>
      <c r="HB234" s="335"/>
      <c r="HC234" s="335"/>
      <c r="HD234" s="335"/>
      <c r="HE234" s="335"/>
      <c r="HF234" s="335"/>
      <c r="HG234" s="335"/>
      <c r="HH234" s="335"/>
      <c r="HI234" s="335"/>
      <c r="HJ234" s="335"/>
      <c r="HK234" s="335"/>
      <c r="HL234" s="335"/>
      <c r="HM234" s="335"/>
      <c r="HN234" s="335"/>
      <c r="HO234" s="335"/>
      <c r="HP234" s="335"/>
      <c r="HQ234" s="335"/>
      <c r="HR234" s="335"/>
      <c r="HS234" s="335"/>
      <c r="HT234" s="335"/>
      <c r="HU234" s="335"/>
      <c r="HV234" s="335"/>
      <c r="II234" s="335"/>
      <c r="IJ234" s="335"/>
      <c r="IK234" s="335"/>
      <c r="IL234" s="333"/>
      <c r="IM234" s="333"/>
      <c r="IN234" s="333"/>
      <c r="IO234" s="335"/>
      <c r="IP234" s="335"/>
      <c r="IQ234" s="335"/>
      <c r="IR234" s="335"/>
      <c r="IS234" s="335"/>
      <c r="IT234" s="335"/>
      <c r="IU234" s="335"/>
      <c r="IV234" s="335"/>
      <c r="IW234" s="335"/>
      <c r="IX234" s="333"/>
      <c r="IY234" s="333"/>
      <c r="IZ234" s="333"/>
      <c r="JA234" s="333"/>
      <c r="JB234" s="333"/>
      <c r="JC234" s="333"/>
      <c r="JD234" s="335"/>
      <c r="JE234" s="335"/>
      <c r="JF234" s="335"/>
      <c r="JG234" s="335"/>
      <c r="JH234" s="335"/>
      <c r="JI234" s="335"/>
      <c r="JJ234" s="335"/>
      <c r="JK234" s="335"/>
      <c r="JL234" s="335"/>
      <c r="JM234" s="335"/>
      <c r="JN234" s="335"/>
      <c r="JO234" s="335"/>
      <c r="JP234" s="335"/>
      <c r="JQ234" s="335"/>
      <c r="JR234" s="335"/>
      <c r="JS234" s="333"/>
      <c r="JT234" s="333"/>
      <c r="JU234" s="333"/>
      <c r="JV234" s="335"/>
      <c r="JW234" s="335"/>
      <c r="JX234" s="335"/>
      <c r="JY234" s="335"/>
      <c r="JZ234" s="335"/>
      <c r="KA234" s="335"/>
      <c r="KB234" s="335"/>
      <c r="KC234" s="335"/>
      <c r="KD234" s="335"/>
      <c r="KE234" s="335"/>
      <c r="KF234" s="335"/>
      <c r="KG234" s="335"/>
      <c r="KH234" s="335"/>
      <c r="KI234" s="335"/>
      <c r="KJ234" s="335"/>
      <c r="KK234" s="335"/>
      <c r="KL234" s="335"/>
      <c r="KM234" s="335"/>
      <c r="KN234" s="335"/>
      <c r="KO234" s="335"/>
      <c r="KP234" s="335"/>
      <c r="KQ234" s="335"/>
      <c r="KR234" s="335"/>
      <c r="KS234" s="335"/>
    </row>
    <row r="235" spans="1:366">
      <c r="A235" s="295"/>
      <c r="B235" s="335"/>
      <c r="C235" s="335"/>
      <c r="D235" s="335"/>
      <c r="E235" s="335"/>
      <c r="F235" s="335"/>
      <c r="G235" s="335"/>
      <c r="H235" s="335"/>
      <c r="I235" s="335"/>
      <c r="J235" s="335"/>
      <c r="K235" s="335"/>
      <c r="L235" s="335"/>
      <c r="M235" s="335"/>
      <c r="N235" s="335"/>
      <c r="O235" s="335"/>
      <c r="P235" s="335"/>
      <c r="Q235" s="335"/>
      <c r="R235" s="335"/>
      <c r="S235" s="335"/>
      <c r="T235" s="335"/>
      <c r="U235" s="335"/>
      <c r="V235" s="335"/>
      <c r="W235" s="335"/>
      <c r="X235" s="335"/>
      <c r="Y235" s="335"/>
      <c r="Z235" s="335"/>
      <c r="AA235" s="335"/>
      <c r="AB235" s="335"/>
      <c r="AC235" s="335"/>
      <c r="AD235" s="335"/>
      <c r="AE235" s="335"/>
      <c r="AF235" s="335"/>
      <c r="AG235" s="335"/>
      <c r="AH235" s="335"/>
      <c r="AI235" s="335"/>
      <c r="AJ235" s="335"/>
      <c r="AK235" s="335"/>
      <c r="AL235" s="335"/>
      <c r="AM235" s="335"/>
      <c r="AN235" s="335"/>
      <c r="AO235" s="335"/>
      <c r="AP235" s="335"/>
      <c r="AQ235" s="335"/>
      <c r="AR235" s="335"/>
      <c r="AS235" s="335"/>
      <c r="AT235" s="335"/>
      <c r="AU235" s="335"/>
      <c r="AV235" s="335"/>
      <c r="AW235" s="335"/>
      <c r="AX235" s="335"/>
      <c r="AY235" s="359"/>
      <c r="AZ235" s="359"/>
      <c r="BA235" s="359"/>
      <c r="BB235" s="359"/>
      <c r="BC235" s="359"/>
      <c r="BD235" s="359"/>
      <c r="BE235" s="359"/>
      <c r="BF235" s="359"/>
      <c r="BG235" s="359"/>
      <c r="BH235" s="359"/>
      <c r="BI235" s="359"/>
      <c r="BJ235" s="359"/>
      <c r="BK235" s="353"/>
      <c r="BL235" s="353"/>
      <c r="BM235" s="353"/>
      <c r="BN235" s="353"/>
      <c r="BO235" s="353"/>
      <c r="BP235" s="353"/>
      <c r="BQ235" s="353"/>
      <c r="BR235" s="353"/>
      <c r="BS235" s="353"/>
      <c r="BT235" s="353"/>
      <c r="BU235" s="353"/>
      <c r="BV235" s="353"/>
      <c r="BW235" s="353"/>
      <c r="BX235" s="353"/>
      <c r="BY235" s="353"/>
      <c r="BZ235" s="335"/>
      <c r="CA235" s="335"/>
      <c r="CB235" s="335"/>
      <c r="CC235" s="335"/>
      <c r="CD235" s="335"/>
      <c r="CE235" s="335"/>
      <c r="CF235" s="335"/>
      <c r="CG235" s="335"/>
      <c r="CH235" s="335"/>
      <c r="DA235" s="335"/>
      <c r="DB235" s="335"/>
      <c r="DC235" s="335"/>
      <c r="DD235" s="335"/>
      <c r="DE235" s="335"/>
      <c r="DF235" s="335"/>
      <c r="DG235" s="335"/>
      <c r="DH235" s="335"/>
      <c r="DI235" s="335"/>
      <c r="DJ235" s="335"/>
      <c r="DK235" s="335"/>
      <c r="DL235" s="335"/>
      <c r="DM235" s="335"/>
      <c r="DN235" s="335"/>
      <c r="DO235" s="335"/>
      <c r="DP235" s="335"/>
      <c r="DQ235" s="335"/>
      <c r="DR235" s="335"/>
      <c r="DS235" s="335"/>
      <c r="DT235" s="335"/>
      <c r="DU235" s="335"/>
      <c r="DV235" s="335"/>
      <c r="DW235" s="335"/>
      <c r="DX235" s="335"/>
      <c r="DY235" s="335"/>
      <c r="DZ235" s="335"/>
      <c r="EA235" s="335"/>
      <c r="EB235" s="335"/>
      <c r="EC235" s="335"/>
      <c r="ED235" s="335"/>
      <c r="EE235" s="335"/>
      <c r="EF235" s="335"/>
      <c r="EG235" s="335"/>
      <c r="EH235" s="335"/>
      <c r="EI235" s="335"/>
      <c r="EJ235" s="335"/>
      <c r="EK235" s="335"/>
      <c r="EL235" s="335"/>
      <c r="EM235" s="335"/>
      <c r="EN235" s="335"/>
      <c r="EO235" s="335"/>
      <c r="EP235" s="335"/>
      <c r="EQ235" s="335"/>
      <c r="ER235" s="335"/>
      <c r="ES235" s="335"/>
      <c r="ET235" s="335"/>
      <c r="EU235" s="335"/>
      <c r="EV235" s="335"/>
      <c r="EW235" s="335"/>
      <c r="EX235" s="335"/>
      <c r="EY235" s="335"/>
      <c r="EZ235" s="335"/>
      <c r="FA235" s="335"/>
      <c r="FB235" s="335"/>
      <c r="FC235" s="335"/>
      <c r="FD235" s="335"/>
      <c r="FE235" s="335"/>
      <c r="FF235" s="335"/>
      <c r="FG235" s="335"/>
      <c r="FH235" s="335"/>
      <c r="FI235" s="335"/>
      <c r="FJ235" s="335"/>
      <c r="FK235" s="335"/>
      <c r="FL235" s="335"/>
      <c r="FM235" s="335"/>
      <c r="FN235" s="335"/>
      <c r="FO235" s="335"/>
      <c r="FP235" s="335"/>
      <c r="FQ235" s="335"/>
      <c r="FR235" s="335"/>
      <c r="FS235" s="335"/>
      <c r="FT235" s="335"/>
      <c r="FU235" s="335"/>
      <c r="FV235" s="335"/>
      <c r="FW235" s="335"/>
      <c r="FX235" s="333"/>
      <c r="FY235" s="333"/>
      <c r="FZ235" s="333"/>
      <c r="GA235" s="333"/>
      <c r="GB235" s="333"/>
      <c r="GC235" s="333"/>
      <c r="GD235" s="333"/>
      <c r="GE235" s="333"/>
      <c r="GF235" s="333"/>
      <c r="GG235" s="335"/>
      <c r="GH235" s="335"/>
      <c r="GI235" s="335"/>
      <c r="GJ235" s="335"/>
      <c r="GK235" s="335"/>
      <c r="GL235" s="335"/>
      <c r="GM235" s="335"/>
      <c r="GN235" s="335"/>
      <c r="GO235" s="335"/>
      <c r="GP235" s="335"/>
      <c r="GQ235" s="335"/>
      <c r="GR235" s="335"/>
      <c r="GS235" s="335"/>
      <c r="GT235" s="335"/>
      <c r="GU235" s="335"/>
      <c r="GV235" s="335"/>
      <c r="GW235" s="335"/>
      <c r="GX235" s="335"/>
      <c r="GY235" s="333"/>
      <c r="GZ235" s="333"/>
      <c r="HA235" s="333"/>
      <c r="HB235" s="335"/>
      <c r="HC235" s="335"/>
      <c r="HD235" s="335"/>
      <c r="HE235" s="335"/>
      <c r="HF235" s="335"/>
      <c r="HG235" s="335"/>
      <c r="HH235" s="335"/>
      <c r="HI235" s="335"/>
      <c r="HJ235" s="335"/>
      <c r="HK235" s="335"/>
      <c r="HL235" s="335"/>
      <c r="HM235" s="335"/>
      <c r="HN235" s="335"/>
      <c r="HO235" s="335"/>
      <c r="HP235" s="335"/>
      <c r="HQ235" s="335"/>
      <c r="HR235" s="335"/>
      <c r="HS235" s="335"/>
      <c r="HT235" s="335"/>
      <c r="HU235" s="335"/>
      <c r="HV235" s="335"/>
      <c r="II235" s="335"/>
      <c r="IJ235" s="335"/>
      <c r="IK235" s="335"/>
      <c r="IL235" s="333"/>
      <c r="IM235" s="333"/>
      <c r="IN235" s="333"/>
      <c r="IO235" s="335"/>
      <c r="IP235" s="335"/>
      <c r="IQ235" s="335"/>
      <c r="IR235" s="335"/>
      <c r="IS235" s="335"/>
      <c r="IT235" s="335"/>
      <c r="IU235" s="335"/>
      <c r="IV235" s="335"/>
      <c r="IW235" s="335"/>
      <c r="IX235" s="333"/>
      <c r="IY235" s="333"/>
      <c r="IZ235" s="333"/>
      <c r="JA235" s="333"/>
      <c r="JB235" s="333"/>
      <c r="JC235" s="333"/>
      <c r="JD235" s="335"/>
      <c r="JE235" s="335"/>
      <c r="JF235" s="335"/>
      <c r="JG235" s="335"/>
      <c r="JH235" s="335"/>
      <c r="JI235" s="335"/>
      <c r="JJ235" s="335"/>
      <c r="JK235" s="335"/>
      <c r="JL235" s="335"/>
      <c r="JM235" s="335"/>
      <c r="JN235" s="335"/>
      <c r="JO235" s="335"/>
      <c r="JP235" s="335"/>
      <c r="JQ235" s="335"/>
      <c r="JR235" s="335"/>
      <c r="JS235" s="333"/>
      <c r="JT235" s="333"/>
      <c r="JU235" s="333"/>
      <c r="JV235" s="335"/>
      <c r="JW235" s="335"/>
      <c r="JX235" s="335"/>
      <c r="JY235" s="335"/>
      <c r="JZ235" s="335"/>
      <c r="KA235" s="335"/>
      <c r="KB235" s="335"/>
      <c r="KC235" s="335"/>
      <c r="KD235" s="335"/>
      <c r="KE235" s="335"/>
      <c r="KF235" s="335"/>
      <c r="KG235" s="335"/>
      <c r="KH235" s="335"/>
      <c r="KI235" s="335"/>
      <c r="KJ235" s="335"/>
      <c r="KK235" s="335"/>
      <c r="KL235" s="335"/>
      <c r="KM235" s="335"/>
      <c r="KN235" s="335"/>
      <c r="KO235" s="335"/>
      <c r="KP235" s="335"/>
      <c r="KQ235" s="335"/>
      <c r="KR235" s="335"/>
      <c r="KS235" s="335"/>
    </row>
    <row r="236" spans="1:366">
      <c r="A236" s="295"/>
      <c r="B236" s="335"/>
      <c r="C236" s="335"/>
      <c r="D236" s="335"/>
      <c r="E236" s="335"/>
      <c r="F236" s="335"/>
      <c r="G236" s="335"/>
      <c r="H236" s="335"/>
      <c r="I236" s="335"/>
      <c r="J236" s="335"/>
      <c r="K236" s="335"/>
      <c r="L236" s="335"/>
      <c r="M236" s="335"/>
      <c r="N236" s="335"/>
      <c r="O236" s="335"/>
      <c r="P236" s="335"/>
      <c r="Q236" s="335"/>
      <c r="R236" s="335"/>
      <c r="S236" s="335"/>
      <c r="T236" s="335"/>
      <c r="U236" s="335"/>
      <c r="V236" s="335"/>
      <c r="W236" s="335"/>
      <c r="X236" s="335"/>
      <c r="Y236" s="335"/>
      <c r="Z236" s="335"/>
      <c r="AA236" s="335"/>
      <c r="AB236" s="335"/>
      <c r="AC236" s="335"/>
      <c r="AD236" s="335"/>
      <c r="AE236" s="335"/>
      <c r="AF236" s="335"/>
      <c r="AG236" s="335"/>
      <c r="AH236" s="335"/>
      <c r="AI236" s="335"/>
      <c r="AJ236" s="335"/>
      <c r="AK236" s="335"/>
      <c r="AL236" s="335"/>
      <c r="AM236" s="335"/>
      <c r="AN236" s="335"/>
      <c r="AO236" s="335"/>
      <c r="AP236" s="335"/>
      <c r="AQ236" s="335"/>
      <c r="AR236" s="335"/>
      <c r="AS236" s="335"/>
      <c r="AT236" s="335"/>
      <c r="AU236" s="335"/>
      <c r="AV236" s="335"/>
      <c r="AW236" s="335"/>
      <c r="AX236" s="335"/>
      <c r="AY236" s="359"/>
      <c r="AZ236" s="359"/>
      <c r="BA236" s="359"/>
      <c r="BB236" s="359"/>
      <c r="BC236" s="359"/>
      <c r="BD236" s="359"/>
      <c r="BE236" s="359"/>
      <c r="BF236" s="359"/>
      <c r="BG236" s="359"/>
      <c r="BH236" s="359"/>
      <c r="BI236" s="359"/>
      <c r="BJ236" s="359"/>
      <c r="BK236" s="353"/>
      <c r="BL236" s="353"/>
      <c r="BM236" s="353"/>
      <c r="BN236" s="353"/>
      <c r="BO236" s="353"/>
      <c r="BP236" s="353"/>
      <c r="BQ236" s="353"/>
      <c r="BR236" s="353"/>
      <c r="BS236" s="353"/>
      <c r="BT236" s="353"/>
      <c r="BU236" s="353"/>
      <c r="BV236" s="353"/>
      <c r="BW236" s="353"/>
      <c r="BX236" s="353"/>
      <c r="BY236" s="353"/>
      <c r="BZ236" s="335"/>
      <c r="CA236" s="335"/>
      <c r="CB236" s="335"/>
      <c r="CC236" s="335"/>
      <c r="CD236" s="335"/>
      <c r="CE236" s="335"/>
      <c r="CF236" s="335"/>
      <c r="CG236" s="335"/>
      <c r="CH236" s="335"/>
      <c r="DA236" s="335"/>
      <c r="DB236" s="335"/>
      <c r="DC236" s="335"/>
      <c r="DD236" s="335"/>
      <c r="DE236" s="335"/>
      <c r="DF236" s="335"/>
      <c r="DG236" s="335"/>
      <c r="DH236" s="335"/>
      <c r="DI236" s="335"/>
      <c r="DJ236" s="335"/>
      <c r="DK236" s="335"/>
      <c r="DL236" s="335"/>
      <c r="DM236" s="335"/>
      <c r="DN236" s="335"/>
      <c r="DO236" s="335"/>
      <c r="DP236" s="335"/>
      <c r="DQ236" s="335"/>
      <c r="DR236" s="335"/>
      <c r="DS236" s="335"/>
      <c r="DT236" s="335"/>
      <c r="DU236" s="335"/>
      <c r="DV236" s="335"/>
      <c r="DW236" s="335"/>
      <c r="DX236" s="335"/>
      <c r="DY236" s="335"/>
      <c r="DZ236" s="335"/>
      <c r="EA236" s="335"/>
      <c r="EB236" s="335"/>
      <c r="EC236" s="335"/>
      <c r="ED236" s="335"/>
      <c r="EE236" s="335"/>
      <c r="EF236" s="335"/>
      <c r="EG236" s="335"/>
      <c r="EH236" s="335"/>
      <c r="EI236" s="335"/>
      <c r="EJ236" s="335"/>
      <c r="EK236" s="335"/>
      <c r="EL236" s="335"/>
      <c r="EM236" s="335"/>
      <c r="EN236" s="335"/>
      <c r="EO236" s="335"/>
      <c r="EP236" s="335"/>
      <c r="EQ236" s="335"/>
      <c r="ER236" s="335"/>
      <c r="ES236" s="335"/>
      <c r="ET236" s="335"/>
      <c r="EU236" s="335"/>
      <c r="EV236" s="335"/>
      <c r="EW236" s="335"/>
      <c r="EX236" s="335"/>
      <c r="EY236" s="335"/>
      <c r="EZ236" s="335"/>
      <c r="FA236" s="335"/>
      <c r="FB236" s="335"/>
      <c r="FC236" s="335"/>
      <c r="FD236" s="335"/>
      <c r="FE236" s="335"/>
      <c r="FF236" s="335"/>
      <c r="FG236" s="335"/>
      <c r="FH236" s="335"/>
      <c r="FI236" s="335"/>
      <c r="FJ236" s="335"/>
      <c r="FK236" s="335"/>
      <c r="FL236" s="335"/>
      <c r="FM236" s="335"/>
      <c r="FN236" s="335"/>
      <c r="FO236" s="335"/>
      <c r="FP236" s="335"/>
      <c r="FQ236" s="335"/>
      <c r="FR236" s="335"/>
      <c r="FS236" s="335"/>
      <c r="FT236" s="335"/>
      <c r="FU236" s="335"/>
      <c r="FV236" s="335"/>
      <c r="FW236" s="335"/>
      <c r="FX236" s="333"/>
      <c r="FY236" s="333"/>
      <c r="FZ236" s="333"/>
      <c r="GA236" s="333"/>
      <c r="GB236" s="333"/>
      <c r="GC236" s="333"/>
      <c r="GD236" s="333"/>
      <c r="GE236" s="333"/>
      <c r="GF236" s="333"/>
      <c r="GG236" s="335"/>
      <c r="GH236" s="335"/>
      <c r="GI236" s="335"/>
      <c r="GJ236" s="335"/>
      <c r="GK236" s="335"/>
      <c r="GL236" s="335"/>
      <c r="GM236" s="335"/>
      <c r="GN236" s="335"/>
      <c r="GO236" s="335"/>
      <c r="GP236" s="335"/>
      <c r="GQ236" s="335"/>
      <c r="GR236" s="335"/>
      <c r="GS236" s="335"/>
      <c r="GT236" s="335"/>
      <c r="GU236" s="335"/>
      <c r="GV236" s="335"/>
      <c r="GW236" s="335"/>
      <c r="GX236" s="335"/>
      <c r="GY236" s="333"/>
      <c r="GZ236" s="333"/>
      <c r="HA236" s="333"/>
      <c r="HB236" s="335"/>
      <c r="HC236" s="335"/>
      <c r="HD236" s="335"/>
      <c r="HE236" s="335"/>
      <c r="HF236" s="335"/>
      <c r="HG236" s="335"/>
      <c r="HH236" s="335"/>
      <c r="HI236" s="335"/>
      <c r="HJ236" s="335"/>
      <c r="HK236" s="335"/>
      <c r="HL236" s="335"/>
      <c r="HM236" s="335"/>
      <c r="HN236" s="335"/>
      <c r="HO236" s="335"/>
      <c r="HP236" s="335"/>
      <c r="HQ236" s="335"/>
      <c r="HR236" s="335"/>
      <c r="HS236" s="335"/>
      <c r="HT236" s="335"/>
      <c r="HU236" s="335"/>
      <c r="HV236" s="335"/>
      <c r="II236" s="335"/>
      <c r="IJ236" s="335"/>
      <c r="IK236" s="335"/>
      <c r="IL236" s="333"/>
      <c r="IM236" s="333"/>
      <c r="IN236" s="333"/>
      <c r="IO236" s="335"/>
      <c r="IP236" s="335"/>
      <c r="IQ236" s="335"/>
      <c r="IR236" s="335"/>
      <c r="IS236" s="335"/>
      <c r="IT236" s="335"/>
      <c r="IU236" s="335"/>
      <c r="IV236" s="335"/>
      <c r="IW236" s="335"/>
      <c r="IX236" s="333"/>
      <c r="IY236" s="333"/>
      <c r="IZ236" s="333"/>
      <c r="JA236" s="333"/>
      <c r="JB236" s="333"/>
      <c r="JC236" s="333"/>
      <c r="JD236" s="335"/>
      <c r="JE236" s="335"/>
      <c r="JF236" s="335"/>
      <c r="JG236" s="335"/>
      <c r="JH236" s="335"/>
      <c r="JI236" s="335"/>
      <c r="JJ236" s="335"/>
      <c r="JK236" s="335"/>
      <c r="JL236" s="335"/>
      <c r="JM236" s="335"/>
      <c r="JN236" s="335"/>
      <c r="JO236" s="335"/>
      <c r="JP236" s="335"/>
      <c r="JQ236" s="335"/>
      <c r="JR236" s="335"/>
      <c r="JS236" s="333"/>
      <c r="JT236" s="333"/>
      <c r="JU236" s="333"/>
      <c r="JV236" s="335"/>
      <c r="JW236" s="335"/>
      <c r="JX236" s="335"/>
      <c r="JY236" s="335"/>
      <c r="JZ236" s="335"/>
      <c r="KA236" s="335"/>
      <c r="KB236" s="335"/>
      <c r="KC236" s="335"/>
      <c r="KD236" s="335"/>
      <c r="KE236" s="335"/>
      <c r="KF236" s="335"/>
      <c r="KG236" s="335"/>
      <c r="KH236" s="335"/>
      <c r="KI236" s="335"/>
      <c r="KJ236" s="335"/>
      <c r="KK236" s="335"/>
      <c r="KL236" s="335"/>
      <c r="KM236" s="335"/>
      <c r="KN236" s="335"/>
      <c r="KO236" s="335"/>
      <c r="KP236" s="335"/>
      <c r="KQ236" s="335"/>
      <c r="KR236" s="335"/>
      <c r="KS236" s="335"/>
    </row>
    <row r="237" spans="1:366">
      <c r="A237" s="295"/>
      <c r="B237" s="335"/>
      <c r="C237" s="335"/>
      <c r="D237" s="335"/>
      <c r="E237" s="335"/>
      <c r="F237" s="335"/>
      <c r="G237" s="335"/>
      <c r="H237" s="335"/>
      <c r="I237" s="335"/>
      <c r="J237" s="335"/>
      <c r="K237" s="335"/>
      <c r="L237" s="335"/>
      <c r="M237" s="335"/>
      <c r="N237" s="335"/>
      <c r="O237" s="335"/>
      <c r="P237" s="335"/>
      <c r="Q237" s="335"/>
      <c r="R237" s="335"/>
      <c r="S237" s="335"/>
      <c r="T237" s="335"/>
      <c r="U237" s="335"/>
      <c r="V237" s="335"/>
      <c r="W237" s="335"/>
      <c r="X237" s="335"/>
      <c r="Y237" s="335"/>
      <c r="Z237" s="335"/>
      <c r="AA237" s="335"/>
      <c r="AB237" s="335"/>
      <c r="AC237" s="335"/>
      <c r="AD237" s="335"/>
      <c r="AE237" s="335"/>
      <c r="AF237" s="335"/>
      <c r="AG237" s="335"/>
      <c r="AH237" s="335"/>
      <c r="AI237" s="335"/>
      <c r="AJ237" s="335"/>
      <c r="AK237" s="335"/>
      <c r="AL237" s="335"/>
      <c r="AM237" s="335"/>
      <c r="AN237" s="335"/>
      <c r="AO237" s="335"/>
      <c r="AP237" s="335"/>
      <c r="AQ237" s="335"/>
      <c r="AR237" s="335"/>
      <c r="AS237" s="335"/>
      <c r="AT237" s="335"/>
      <c r="AU237" s="335"/>
      <c r="AV237" s="335"/>
      <c r="AW237" s="335"/>
      <c r="AX237" s="335"/>
      <c r="AY237" s="359"/>
      <c r="AZ237" s="359"/>
      <c r="BA237" s="359"/>
      <c r="BB237" s="359"/>
      <c r="BC237" s="359"/>
      <c r="BD237" s="359"/>
      <c r="BE237" s="359"/>
      <c r="BF237" s="359"/>
      <c r="BG237" s="359"/>
      <c r="BH237" s="359"/>
      <c r="BI237" s="359"/>
      <c r="BJ237" s="359"/>
      <c r="BK237" s="353"/>
      <c r="BL237" s="353"/>
      <c r="BM237" s="353"/>
      <c r="BN237" s="353"/>
      <c r="BO237" s="353"/>
      <c r="BP237" s="353"/>
      <c r="BQ237" s="353"/>
      <c r="BR237" s="353"/>
      <c r="BS237" s="353"/>
      <c r="BT237" s="353"/>
      <c r="BU237" s="353"/>
      <c r="BV237" s="353"/>
      <c r="BW237" s="353"/>
      <c r="BX237" s="353"/>
      <c r="BY237" s="353"/>
      <c r="BZ237" s="335"/>
      <c r="CA237" s="335"/>
      <c r="CB237" s="335"/>
      <c r="CC237" s="335"/>
      <c r="CD237" s="335"/>
      <c r="CE237" s="335"/>
      <c r="CF237" s="335"/>
      <c r="CG237" s="335"/>
      <c r="CH237" s="335"/>
      <c r="DA237" s="335"/>
      <c r="DB237" s="335"/>
      <c r="DC237" s="335"/>
      <c r="DD237" s="335"/>
      <c r="DE237" s="335"/>
      <c r="DF237" s="335"/>
      <c r="DG237" s="335"/>
      <c r="DH237" s="335"/>
      <c r="DI237" s="335"/>
      <c r="DJ237" s="335"/>
      <c r="DK237" s="335"/>
      <c r="DL237" s="335"/>
      <c r="DM237" s="335"/>
      <c r="DN237" s="335"/>
      <c r="DO237" s="335"/>
      <c r="DP237" s="335"/>
      <c r="DQ237" s="335"/>
      <c r="DR237" s="335"/>
      <c r="DS237" s="335"/>
      <c r="DT237" s="335"/>
      <c r="DU237" s="335"/>
      <c r="DV237" s="335"/>
      <c r="DW237" s="335"/>
      <c r="DX237" s="335"/>
      <c r="DY237" s="335"/>
      <c r="DZ237" s="335"/>
      <c r="EA237" s="335"/>
      <c r="EB237" s="335"/>
      <c r="EC237" s="335"/>
      <c r="ED237" s="335"/>
      <c r="EE237" s="335"/>
      <c r="EF237" s="335"/>
      <c r="EG237" s="335"/>
      <c r="EH237" s="335"/>
      <c r="EI237" s="335"/>
      <c r="EJ237" s="335"/>
      <c r="EK237" s="335"/>
      <c r="EL237" s="335"/>
      <c r="EM237" s="335"/>
      <c r="EN237" s="335"/>
      <c r="EO237" s="335"/>
      <c r="EP237" s="335"/>
      <c r="EQ237" s="335"/>
      <c r="ER237" s="335"/>
      <c r="ES237" s="335"/>
      <c r="ET237" s="335"/>
      <c r="EU237" s="335"/>
      <c r="EV237" s="335"/>
      <c r="EW237" s="335"/>
      <c r="EX237" s="335"/>
      <c r="EY237" s="335"/>
      <c r="EZ237" s="335"/>
      <c r="FA237" s="335"/>
      <c r="FB237" s="335"/>
      <c r="FC237" s="335"/>
      <c r="FD237" s="335"/>
      <c r="FE237" s="335"/>
      <c r="FF237" s="335"/>
      <c r="FG237" s="335"/>
      <c r="FH237" s="335"/>
      <c r="FI237" s="335"/>
      <c r="FJ237" s="335"/>
      <c r="FK237" s="335"/>
      <c r="FL237" s="335"/>
      <c r="FM237" s="335"/>
      <c r="FN237" s="335"/>
      <c r="FO237" s="335"/>
      <c r="FP237" s="335"/>
      <c r="FQ237" s="335"/>
      <c r="FR237" s="335"/>
      <c r="FS237" s="335"/>
      <c r="FT237" s="335"/>
      <c r="FU237" s="335"/>
      <c r="FV237" s="335"/>
      <c r="FW237" s="335"/>
      <c r="FX237" s="333"/>
      <c r="FY237" s="333"/>
      <c r="FZ237" s="333"/>
      <c r="GA237" s="333"/>
      <c r="GB237" s="333"/>
      <c r="GC237" s="333"/>
      <c r="GD237" s="333"/>
      <c r="GE237" s="333"/>
      <c r="GF237" s="333"/>
      <c r="GG237" s="335"/>
      <c r="GH237" s="335"/>
      <c r="GI237" s="335"/>
      <c r="GJ237" s="335"/>
      <c r="GK237" s="335"/>
      <c r="GL237" s="335"/>
      <c r="GM237" s="335"/>
      <c r="GN237" s="335"/>
      <c r="GO237" s="335"/>
      <c r="GP237" s="335"/>
      <c r="GQ237" s="335"/>
      <c r="GR237" s="335"/>
      <c r="GS237" s="335"/>
      <c r="GT237" s="335"/>
      <c r="GU237" s="335"/>
      <c r="GV237" s="335"/>
      <c r="GW237" s="335"/>
      <c r="GX237" s="335"/>
      <c r="GY237" s="333"/>
      <c r="GZ237" s="333"/>
      <c r="HA237" s="333"/>
      <c r="HB237" s="335"/>
      <c r="HC237" s="335"/>
      <c r="HD237" s="335"/>
      <c r="HE237" s="335"/>
      <c r="HF237" s="335"/>
      <c r="HG237" s="335"/>
      <c r="HH237" s="335"/>
      <c r="HI237" s="335"/>
      <c r="HJ237" s="335"/>
      <c r="HK237" s="335"/>
      <c r="HL237" s="335"/>
      <c r="HM237" s="335"/>
      <c r="HN237" s="335"/>
      <c r="HO237" s="335"/>
      <c r="HP237" s="335"/>
      <c r="HQ237" s="335"/>
      <c r="HR237" s="335"/>
      <c r="HS237" s="335"/>
      <c r="HT237" s="335"/>
      <c r="HU237" s="335"/>
      <c r="HV237" s="335"/>
      <c r="II237" s="335"/>
      <c r="IJ237" s="335"/>
      <c r="IK237" s="335"/>
      <c r="IL237" s="333"/>
      <c r="IM237" s="333"/>
      <c r="IN237" s="333"/>
      <c r="IO237" s="335"/>
      <c r="IP237" s="335"/>
      <c r="IQ237" s="335"/>
      <c r="IR237" s="335"/>
      <c r="IS237" s="335"/>
      <c r="IT237" s="335"/>
      <c r="IU237" s="335"/>
      <c r="IV237" s="335"/>
      <c r="IW237" s="335"/>
      <c r="IX237" s="333"/>
      <c r="IY237" s="333"/>
      <c r="IZ237" s="333"/>
      <c r="JA237" s="333"/>
      <c r="JB237" s="333"/>
      <c r="JC237" s="333"/>
      <c r="JD237" s="335"/>
      <c r="JE237" s="335"/>
      <c r="JF237" s="335"/>
      <c r="JG237" s="335"/>
      <c r="JH237" s="335"/>
      <c r="JI237" s="335"/>
      <c r="JJ237" s="335"/>
      <c r="JK237" s="335"/>
      <c r="JL237" s="335"/>
      <c r="JM237" s="335"/>
      <c r="JN237" s="335"/>
      <c r="JO237" s="335"/>
      <c r="JP237" s="335"/>
      <c r="JQ237" s="335"/>
      <c r="JR237" s="335"/>
      <c r="JS237" s="333"/>
      <c r="JT237" s="333"/>
      <c r="JU237" s="333"/>
      <c r="JV237" s="335"/>
      <c r="JW237" s="335"/>
      <c r="JX237" s="335"/>
      <c r="JY237" s="335"/>
      <c r="JZ237" s="335"/>
      <c r="KA237" s="335"/>
      <c r="KB237" s="335"/>
      <c r="KC237" s="335"/>
      <c r="KD237" s="335"/>
      <c r="KE237" s="335"/>
      <c r="KF237" s="335"/>
      <c r="KG237" s="335"/>
      <c r="KH237" s="335"/>
      <c r="KI237" s="335"/>
      <c r="KJ237" s="335"/>
      <c r="KK237" s="335"/>
      <c r="KL237" s="335"/>
      <c r="KM237" s="335"/>
      <c r="KN237" s="335"/>
      <c r="KO237" s="335"/>
      <c r="KP237" s="335"/>
      <c r="KQ237" s="335"/>
      <c r="KR237" s="335"/>
      <c r="KS237" s="335"/>
    </row>
    <row r="238" spans="1:366">
      <c r="A238" s="295"/>
      <c r="B238" s="335"/>
      <c r="C238" s="335"/>
      <c r="D238" s="335"/>
      <c r="E238" s="335"/>
      <c r="F238" s="335"/>
      <c r="G238" s="335"/>
      <c r="H238" s="335"/>
      <c r="I238" s="335"/>
      <c r="J238" s="335"/>
      <c r="K238" s="335"/>
      <c r="L238" s="335"/>
      <c r="M238" s="335"/>
      <c r="N238" s="335"/>
      <c r="O238" s="335"/>
      <c r="P238" s="335"/>
      <c r="Q238" s="335"/>
      <c r="R238" s="335"/>
      <c r="S238" s="335"/>
      <c r="T238" s="335"/>
      <c r="U238" s="335"/>
      <c r="V238" s="335"/>
      <c r="W238" s="335"/>
      <c r="X238" s="335"/>
      <c r="Y238" s="335"/>
      <c r="Z238" s="335"/>
      <c r="AA238" s="335"/>
      <c r="AB238" s="335"/>
      <c r="AC238" s="335"/>
      <c r="AD238" s="335"/>
      <c r="AE238" s="335"/>
      <c r="AF238" s="335"/>
      <c r="AG238" s="335"/>
      <c r="AH238" s="335"/>
      <c r="AI238" s="335"/>
      <c r="AJ238" s="335"/>
      <c r="AK238" s="335"/>
      <c r="AL238" s="335"/>
      <c r="AM238" s="335"/>
      <c r="AN238" s="335"/>
      <c r="AO238" s="335"/>
      <c r="AP238" s="335"/>
      <c r="AQ238" s="335"/>
      <c r="AR238" s="335"/>
      <c r="AS238" s="335"/>
      <c r="AT238" s="335"/>
      <c r="AU238" s="335"/>
      <c r="AV238" s="335"/>
      <c r="AW238" s="335"/>
      <c r="AX238" s="335"/>
      <c r="AY238" s="359"/>
      <c r="AZ238" s="359"/>
      <c r="BA238" s="359"/>
      <c r="BB238" s="359"/>
      <c r="BC238" s="359"/>
      <c r="BD238" s="359"/>
      <c r="BE238" s="359"/>
      <c r="BF238" s="359"/>
      <c r="BG238" s="359"/>
      <c r="BH238" s="359"/>
      <c r="BI238" s="359"/>
      <c r="BJ238" s="359"/>
      <c r="BK238" s="353"/>
      <c r="BL238" s="353"/>
      <c r="BM238" s="353"/>
      <c r="BN238" s="353"/>
      <c r="BO238" s="353"/>
      <c r="BP238" s="353"/>
      <c r="BQ238" s="353"/>
      <c r="BR238" s="353"/>
      <c r="BS238" s="353"/>
      <c r="BT238" s="353"/>
      <c r="BU238" s="353"/>
      <c r="BV238" s="353"/>
      <c r="BW238" s="353"/>
      <c r="BX238" s="353"/>
      <c r="BY238" s="353"/>
      <c r="BZ238" s="335"/>
      <c r="CA238" s="335"/>
      <c r="CB238" s="335"/>
      <c r="CC238" s="335"/>
      <c r="CD238" s="335"/>
      <c r="CE238" s="335"/>
      <c r="CF238" s="335"/>
      <c r="CG238" s="335"/>
      <c r="CH238" s="335"/>
      <c r="DA238" s="335"/>
      <c r="DB238" s="335"/>
      <c r="DC238" s="335"/>
      <c r="DD238" s="335"/>
      <c r="DE238" s="335"/>
      <c r="DF238" s="335"/>
      <c r="DG238" s="335"/>
      <c r="DH238" s="335"/>
      <c r="DI238" s="335"/>
      <c r="DJ238" s="335"/>
      <c r="DK238" s="335"/>
      <c r="DL238" s="335"/>
      <c r="DM238" s="335"/>
      <c r="DN238" s="335"/>
      <c r="DO238" s="335"/>
      <c r="DP238" s="335"/>
      <c r="DQ238" s="335"/>
      <c r="DR238" s="335"/>
      <c r="DS238" s="335"/>
      <c r="DT238" s="335"/>
      <c r="DU238" s="335"/>
      <c r="DV238" s="335"/>
      <c r="DW238" s="335"/>
      <c r="DX238" s="335"/>
      <c r="DY238" s="335"/>
      <c r="DZ238" s="335"/>
      <c r="EA238" s="335"/>
      <c r="EB238" s="335"/>
      <c r="EC238" s="335"/>
      <c r="ED238" s="335"/>
      <c r="EE238" s="335"/>
      <c r="EF238" s="335"/>
      <c r="EG238" s="335"/>
      <c r="EH238" s="335"/>
      <c r="EI238" s="335"/>
      <c r="EJ238" s="335"/>
      <c r="EK238" s="335"/>
      <c r="EL238" s="335"/>
      <c r="EM238" s="335"/>
      <c r="EN238" s="335"/>
      <c r="EO238" s="335"/>
      <c r="EP238" s="335"/>
      <c r="EQ238" s="335"/>
      <c r="ER238" s="335"/>
      <c r="ES238" s="335"/>
      <c r="ET238" s="335"/>
      <c r="EU238" s="335"/>
      <c r="EV238" s="335"/>
      <c r="EW238" s="335"/>
      <c r="EX238" s="335"/>
      <c r="EY238" s="335"/>
      <c r="EZ238" s="335"/>
      <c r="FA238" s="335"/>
      <c r="FB238" s="335"/>
      <c r="FC238" s="335"/>
      <c r="FD238" s="335"/>
      <c r="FE238" s="335"/>
      <c r="FF238" s="335"/>
      <c r="FG238" s="335"/>
      <c r="FH238" s="335"/>
      <c r="FI238" s="335"/>
      <c r="FJ238" s="335"/>
      <c r="FK238" s="335"/>
      <c r="FL238" s="335"/>
      <c r="FM238" s="335"/>
      <c r="FN238" s="335"/>
      <c r="FO238" s="335"/>
      <c r="FP238" s="335"/>
      <c r="FQ238" s="335"/>
      <c r="FR238" s="335"/>
      <c r="FS238" s="335"/>
      <c r="FT238" s="335"/>
      <c r="FU238" s="335"/>
      <c r="FV238" s="335"/>
      <c r="FW238" s="335"/>
      <c r="FX238" s="333"/>
      <c r="FY238" s="333"/>
      <c r="FZ238" s="333"/>
      <c r="GA238" s="333"/>
      <c r="GB238" s="333"/>
      <c r="GC238" s="333"/>
      <c r="GD238" s="333"/>
      <c r="GE238" s="333"/>
      <c r="GF238" s="333"/>
      <c r="GG238" s="335"/>
      <c r="GH238" s="335"/>
      <c r="GI238" s="335"/>
      <c r="GJ238" s="335"/>
      <c r="GK238" s="335"/>
      <c r="GL238" s="335"/>
      <c r="GM238" s="335"/>
      <c r="GN238" s="335"/>
      <c r="GO238" s="335"/>
      <c r="GP238" s="335"/>
      <c r="GQ238" s="335"/>
      <c r="GR238" s="335"/>
      <c r="GS238" s="335"/>
      <c r="GT238" s="335"/>
      <c r="GU238" s="335"/>
      <c r="GV238" s="335"/>
      <c r="GW238" s="335"/>
      <c r="GX238" s="335"/>
      <c r="GY238" s="333"/>
      <c r="GZ238" s="333"/>
      <c r="HA238" s="333"/>
      <c r="HB238" s="335"/>
      <c r="HC238" s="335"/>
      <c r="HD238" s="335"/>
      <c r="HE238" s="335"/>
      <c r="HF238" s="335"/>
      <c r="HG238" s="335"/>
      <c r="HH238" s="335"/>
      <c r="HI238" s="335"/>
      <c r="HJ238" s="335"/>
      <c r="HK238" s="335"/>
      <c r="HL238" s="335"/>
      <c r="HM238" s="335"/>
      <c r="HN238" s="335"/>
      <c r="HO238" s="335"/>
      <c r="HP238" s="335"/>
      <c r="HQ238" s="335"/>
      <c r="HR238" s="335"/>
      <c r="HS238" s="335"/>
      <c r="HT238" s="335"/>
      <c r="HU238" s="335"/>
      <c r="HV238" s="335"/>
      <c r="II238" s="335"/>
      <c r="IJ238" s="335"/>
      <c r="IK238" s="335"/>
      <c r="IL238" s="333"/>
      <c r="IM238" s="333"/>
      <c r="IN238" s="333"/>
      <c r="IO238" s="335"/>
      <c r="IP238" s="335"/>
      <c r="IQ238" s="335"/>
      <c r="IR238" s="335"/>
      <c r="IS238" s="335"/>
      <c r="IT238" s="335"/>
      <c r="IU238" s="335"/>
      <c r="IV238" s="335"/>
      <c r="IW238" s="335"/>
      <c r="IX238" s="333"/>
      <c r="IY238" s="333"/>
      <c r="IZ238" s="333"/>
      <c r="JA238" s="333"/>
      <c r="JB238" s="333"/>
      <c r="JC238" s="333"/>
      <c r="JD238" s="335"/>
      <c r="JE238" s="335"/>
      <c r="JF238" s="335"/>
      <c r="JG238" s="335"/>
      <c r="JH238" s="335"/>
      <c r="JI238" s="335"/>
      <c r="JJ238" s="335"/>
      <c r="JK238" s="335"/>
      <c r="JL238" s="335"/>
      <c r="JM238" s="335"/>
      <c r="JN238" s="335"/>
      <c r="JO238" s="335"/>
      <c r="JP238" s="335"/>
      <c r="JQ238" s="335"/>
      <c r="JR238" s="335"/>
      <c r="JS238" s="333"/>
      <c r="JT238" s="333"/>
      <c r="JU238" s="333"/>
      <c r="JV238" s="335"/>
      <c r="JW238" s="335"/>
      <c r="JX238" s="335"/>
      <c r="JY238" s="335"/>
      <c r="JZ238" s="335"/>
      <c r="KA238" s="335"/>
      <c r="KB238" s="335"/>
      <c r="KC238" s="335"/>
      <c r="KD238" s="335"/>
      <c r="KE238" s="335"/>
      <c r="KF238" s="335"/>
      <c r="KG238" s="335"/>
      <c r="KH238" s="335"/>
      <c r="KI238" s="335"/>
      <c r="KJ238" s="335"/>
      <c r="KK238" s="335"/>
      <c r="KL238" s="335"/>
      <c r="KM238" s="335"/>
      <c r="KN238" s="335"/>
      <c r="KO238" s="335"/>
      <c r="KP238" s="335"/>
      <c r="KQ238" s="335"/>
      <c r="KR238" s="335"/>
      <c r="KS238" s="335"/>
    </row>
    <row r="239" spans="1:366">
      <c r="A239" s="295"/>
      <c r="B239" s="335"/>
      <c r="C239" s="335"/>
      <c r="D239" s="335"/>
      <c r="E239" s="335"/>
      <c r="F239" s="335"/>
      <c r="G239" s="335"/>
      <c r="H239" s="335"/>
      <c r="I239" s="335"/>
      <c r="J239" s="335"/>
      <c r="K239" s="335"/>
      <c r="L239" s="335"/>
      <c r="M239" s="335"/>
      <c r="N239" s="335"/>
      <c r="O239" s="335"/>
      <c r="P239" s="335"/>
      <c r="Q239" s="335"/>
      <c r="R239" s="335"/>
      <c r="S239" s="335"/>
      <c r="T239" s="335"/>
      <c r="U239" s="335"/>
      <c r="V239" s="335"/>
      <c r="W239" s="335"/>
      <c r="X239" s="335"/>
      <c r="Y239" s="335"/>
      <c r="Z239" s="335"/>
      <c r="AA239" s="335"/>
      <c r="AB239" s="335"/>
      <c r="AC239" s="335"/>
      <c r="AD239" s="335"/>
      <c r="AE239" s="335"/>
      <c r="AF239" s="335"/>
      <c r="AG239" s="335"/>
      <c r="AH239" s="335"/>
      <c r="AI239" s="335"/>
      <c r="AJ239" s="335"/>
      <c r="AK239" s="335"/>
      <c r="AL239" s="335"/>
      <c r="AM239" s="335"/>
      <c r="AN239" s="335"/>
      <c r="AO239" s="335"/>
      <c r="AP239" s="335"/>
      <c r="AQ239" s="335"/>
      <c r="AR239" s="335"/>
      <c r="AS239" s="335"/>
      <c r="AT239" s="335"/>
      <c r="AU239" s="335"/>
      <c r="AV239" s="335"/>
      <c r="AW239" s="335"/>
      <c r="AX239" s="335"/>
      <c r="AY239" s="359"/>
      <c r="AZ239" s="359"/>
      <c r="BA239" s="359"/>
      <c r="BB239" s="359"/>
      <c r="BC239" s="359"/>
      <c r="BD239" s="359"/>
      <c r="BE239" s="359"/>
      <c r="BF239" s="359"/>
      <c r="BG239" s="359"/>
      <c r="BH239" s="359"/>
      <c r="BI239" s="359"/>
      <c r="BJ239" s="359"/>
      <c r="BK239" s="353"/>
      <c r="BL239" s="353"/>
      <c r="BM239" s="353"/>
      <c r="BN239" s="353"/>
      <c r="BO239" s="353"/>
      <c r="BP239" s="353"/>
      <c r="BQ239" s="353"/>
      <c r="BR239" s="353"/>
      <c r="BS239" s="353"/>
      <c r="BT239" s="353"/>
      <c r="BU239" s="353"/>
      <c r="BV239" s="353"/>
      <c r="BW239" s="353"/>
      <c r="BX239" s="353"/>
      <c r="BY239" s="353"/>
      <c r="BZ239" s="335"/>
      <c r="CA239" s="335"/>
      <c r="CB239" s="335"/>
      <c r="CC239" s="335"/>
      <c r="CD239" s="335"/>
      <c r="CE239" s="335"/>
      <c r="CF239" s="335"/>
      <c r="CG239" s="335"/>
      <c r="CH239" s="335"/>
      <c r="DA239" s="335"/>
      <c r="DB239" s="335"/>
      <c r="DC239" s="335"/>
      <c r="DD239" s="335"/>
      <c r="DE239" s="335"/>
      <c r="DF239" s="335"/>
      <c r="DG239" s="335"/>
      <c r="DH239" s="335"/>
      <c r="DI239" s="335"/>
      <c r="DJ239" s="335"/>
      <c r="DK239" s="335"/>
      <c r="DL239" s="335"/>
      <c r="DM239" s="335"/>
      <c r="DN239" s="335"/>
      <c r="DO239" s="335"/>
      <c r="DP239" s="335"/>
      <c r="DQ239" s="335"/>
      <c r="DR239" s="335"/>
      <c r="DS239" s="335"/>
      <c r="DT239" s="335"/>
      <c r="DU239" s="335"/>
      <c r="DV239" s="335"/>
      <c r="DW239" s="335"/>
      <c r="DX239" s="335"/>
      <c r="DY239" s="335"/>
      <c r="DZ239" s="335"/>
      <c r="EA239" s="335"/>
      <c r="EB239" s="335"/>
      <c r="EC239" s="335"/>
      <c r="ED239" s="335"/>
      <c r="EE239" s="335"/>
      <c r="EF239" s="335"/>
      <c r="EG239" s="335"/>
      <c r="EH239" s="335"/>
      <c r="EI239" s="335"/>
      <c r="EJ239" s="335"/>
      <c r="EK239" s="335"/>
      <c r="EL239" s="335"/>
      <c r="EM239" s="335"/>
      <c r="EN239" s="335"/>
      <c r="EO239" s="335"/>
      <c r="EP239" s="335"/>
      <c r="EQ239" s="335"/>
      <c r="ER239" s="335"/>
      <c r="ES239" s="335"/>
      <c r="ET239" s="335"/>
      <c r="EU239" s="335"/>
      <c r="EV239" s="335"/>
      <c r="EW239" s="335"/>
      <c r="EX239" s="335"/>
      <c r="EY239" s="335"/>
      <c r="EZ239" s="335"/>
      <c r="FA239" s="335"/>
      <c r="FB239" s="335"/>
      <c r="FC239" s="335"/>
      <c r="FD239" s="335"/>
      <c r="FE239" s="335"/>
      <c r="FF239" s="335"/>
      <c r="FG239" s="335"/>
      <c r="FH239" s="335"/>
      <c r="FI239" s="335"/>
      <c r="FJ239" s="335"/>
      <c r="FK239" s="335"/>
      <c r="FL239" s="335"/>
      <c r="FM239" s="335"/>
      <c r="FN239" s="335"/>
      <c r="FO239" s="335"/>
      <c r="FP239" s="335"/>
      <c r="FQ239" s="335"/>
      <c r="FR239" s="335"/>
      <c r="FS239" s="335"/>
      <c r="FT239" s="335"/>
      <c r="FU239" s="335"/>
      <c r="FV239" s="335"/>
      <c r="FW239" s="335"/>
      <c r="FX239" s="333"/>
      <c r="FY239" s="333"/>
      <c r="FZ239" s="333"/>
      <c r="GA239" s="333"/>
      <c r="GB239" s="333"/>
      <c r="GC239" s="333"/>
      <c r="GD239" s="333"/>
      <c r="GE239" s="333"/>
      <c r="GF239" s="333"/>
      <c r="GG239" s="335"/>
      <c r="GH239" s="335"/>
      <c r="GI239" s="335"/>
      <c r="GJ239" s="335"/>
      <c r="GK239" s="335"/>
      <c r="GL239" s="335"/>
      <c r="GM239" s="335"/>
      <c r="GN239" s="335"/>
      <c r="GO239" s="335"/>
      <c r="GP239" s="335"/>
      <c r="GQ239" s="335"/>
      <c r="GR239" s="335"/>
      <c r="GS239" s="335"/>
      <c r="GT239" s="335"/>
      <c r="GU239" s="335"/>
      <c r="GV239" s="335"/>
      <c r="GW239" s="335"/>
      <c r="GX239" s="335"/>
      <c r="GY239" s="333"/>
      <c r="GZ239" s="333"/>
      <c r="HA239" s="333"/>
      <c r="HB239" s="335"/>
      <c r="HC239" s="335"/>
      <c r="HD239" s="335"/>
      <c r="HE239" s="335"/>
      <c r="HF239" s="335"/>
      <c r="HG239" s="335"/>
      <c r="HH239" s="335"/>
      <c r="HI239" s="335"/>
      <c r="HJ239" s="335"/>
      <c r="HK239" s="335"/>
      <c r="HL239" s="335"/>
      <c r="HM239" s="335"/>
      <c r="HN239" s="335"/>
      <c r="HO239" s="335"/>
      <c r="HP239" s="335"/>
      <c r="HQ239" s="335"/>
      <c r="HR239" s="335"/>
      <c r="HS239" s="335"/>
      <c r="HT239" s="335"/>
      <c r="HU239" s="335"/>
      <c r="HV239" s="335"/>
      <c r="II239" s="335"/>
      <c r="IJ239" s="335"/>
      <c r="IK239" s="335"/>
      <c r="IL239" s="333"/>
      <c r="IM239" s="333"/>
      <c r="IN239" s="333"/>
      <c r="IO239" s="335"/>
      <c r="IP239" s="335"/>
      <c r="IQ239" s="335"/>
      <c r="IR239" s="335"/>
      <c r="IS239" s="335"/>
      <c r="IT239" s="335"/>
      <c r="IU239" s="335"/>
      <c r="IV239" s="335"/>
      <c r="IW239" s="335"/>
      <c r="IX239" s="333"/>
      <c r="IY239" s="333"/>
      <c r="IZ239" s="333"/>
      <c r="JA239" s="333"/>
      <c r="JB239" s="333"/>
      <c r="JC239" s="333"/>
      <c r="JD239" s="335"/>
      <c r="JE239" s="335"/>
      <c r="JF239" s="335"/>
      <c r="JG239" s="335"/>
      <c r="JH239" s="335"/>
      <c r="JI239" s="335"/>
      <c r="JJ239" s="335"/>
      <c r="JK239" s="335"/>
      <c r="JL239" s="335"/>
      <c r="JM239" s="335"/>
      <c r="JN239" s="335"/>
      <c r="JO239" s="335"/>
      <c r="JP239" s="335"/>
      <c r="JQ239" s="335"/>
      <c r="JR239" s="335"/>
      <c r="JS239" s="333"/>
      <c r="JT239" s="333"/>
      <c r="JU239" s="333"/>
      <c r="JV239" s="335"/>
      <c r="JW239" s="335"/>
      <c r="JX239" s="335"/>
      <c r="JY239" s="335"/>
      <c r="JZ239" s="335"/>
      <c r="KA239" s="335"/>
      <c r="KB239" s="335"/>
      <c r="KC239" s="335"/>
      <c r="KD239" s="335"/>
      <c r="KE239" s="335"/>
      <c r="KF239" s="335"/>
      <c r="KG239" s="335"/>
      <c r="KH239" s="335"/>
      <c r="KI239" s="335"/>
      <c r="KJ239" s="335"/>
      <c r="KK239" s="335"/>
      <c r="KL239" s="335"/>
      <c r="KM239" s="335"/>
      <c r="KN239" s="335"/>
      <c r="KO239" s="335"/>
      <c r="KP239" s="335"/>
      <c r="KQ239" s="335"/>
      <c r="KR239" s="335"/>
      <c r="KS239" s="335"/>
    </row>
    <row r="240" spans="1:366">
      <c r="A240" s="295"/>
      <c r="B240" s="335"/>
      <c r="C240" s="335"/>
      <c r="D240" s="335"/>
      <c r="E240" s="335"/>
      <c r="F240" s="335"/>
      <c r="G240" s="335"/>
      <c r="H240" s="335"/>
      <c r="I240" s="335"/>
      <c r="J240" s="335"/>
      <c r="K240" s="335"/>
      <c r="L240" s="335"/>
      <c r="M240" s="335"/>
      <c r="N240" s="335"/>
      <c r="O240" s="335"/>
      <c r="P240" s="335"/>
      <c r="Q240" s="335"/>
      <c r="R240" s="335"/>
      <c r="S240" s="335"/>
      <c r="T240" s="335"/>
      <c r="U240" s="335"/>
      <c r="V240" s="335"/>
      <c r="W240" s="335"/>
      <c r="X240" s="335"/>
      <c r="Y240" s="335"/>
      <c r="Z240" s="335"/>
      <c r="AA240" s="335"/>
      <c r="AB240" s="335"/>
      <c r="AC240" s="335"/>
      <c r="AD240" s="335"/>
      <c r="AE240" s="335"/>
      <c r="AF240" s="335"/>
      <c r="AG240" s="335"/>
      <c r="AH240" s="335"/>
      <c r="AI240" s="335"/>
      <c r="AJ240" s="335"/>
      <c r="AK240" s="335"/>
      <c r="AL240" s="335"/>
      <c r="AM240" s="335"/>
      <c r="AN240" s="335"/>
      <c r="AO240" s="335"/>
      <c r="AP240" s="335"/>
      <c r="AQ240" s="335"/>
      <c r="AR240" s="335"/>
      <c r="AS240" s="335"/>
      <c r="AT240" s="335"/>
      <c r="AU240" s="335"/>
      <c r="AV240" s="335"/>
      <c r="AW240" s="335"/>
      <c r="AX240" s="335"/>
      <c r="AY240" s="359"/>
      <c r="AZ240" s="359"/>
      <c r="BA240" s="359"/>
      <c r="BB240" s="359"/>
      <c r="BC240" s="359"/>
      <c r="BD240" s="359"/>
      <c r="BE240" s="359"/>
      <c r="BF240" s="359"/>
      <c r="BG240" s="359"/>
      <c r="BH240" s="359"/>
      <c r="BI240" s="359"/>
      <c r="BJ240" s="359"/>
      <c r="BK240" s="353"/>
      <c r="BL240" s="353"/>
      <c r="BM240" s="353"/>
      <c r="BN240" s="353"/>
      <c r="BO240" s="353"/>
      <c r="BP240" s="353"/>
      <c r="BQ240" s="353"/>
      <c r="BR240" s="353"/>
      <c r="BS240" s="353"/>
      <c r="BT240" s="353"/>
      <c r="BU240" s="353"/>
      <c r="BV240" s="353"/>
      <c r="BW240" s="353"/>
      <c r="BX240" s="353"/>
      <c r="BY240" s="353"/>
      <c r="BZ240" s="335"/>
      <c r="CA240" s="335"/>
      <c r="CB240" s="335"/>
      <c r="CC240" s="335"/>
      <c r="CD240" s="335"/>
      <c r="CE240" s="335"/>
      <c r="CF240" s="335"/>
      <c r="CG240" s="335"/>
      <c r="CH240" s="335"/>
      <c r="DA240" s="335"/>
      <c r="DB240" s="335"/>
      <c r="DC240" s="335"/>
      <c r="DD240" s="335"/>
      <c r="DE240" s="335"/>
      <c r="DF240" s="335"/>
      <c r="DG240" s="335"/>
      <c r="DH240" s="335"/>
      <c r="DI240" s="335"/>
      <c r="DJ240" s="335"/>
      <c r="DK240" s="335"/>
      <c r="DL240" s="335"/>
      <c r="DM240" s="335"/>
      <c r="DN240" s="335"/>
      <c r="DO240" s="335"/>
      <c r="DP240" s="335"/>
      <c r="DQ240" s="335"/>
      <c r="DR240" s="335"/>
      <c r="DS240" s="335"/>
      <c r="DT240" s="335"/>
      <c r="DU240" s="335"/>
      <c r="DV240" s="335"/>
      <c r="DW240" s="335"/>
      <c r="DX240" s="335"/>
      <c r="DY240" s="335"/>
      <c r="DZ240" s="335"/>
      <c r="EA240" s="335"/>
      <c r="EB240" s="335"/>
      <c r="EC240" s="335"/>
      <c r="ED240" s="335"/>
      <c r="EE240" s="335"/>
      <c r="EF240" s="335"/>
      <c r="EG240" s="335"/>
      <c r="EH240" s="335"/>
      <c r="EI240" s="335"/>
      <c r="EJ240" s="335"/>
      <c r="EK240" s="335"/>
      <c r="EL240" s="335"/>
      <c r="EM240" s="335"/>
      <c r="EN240" s="335"/>
      <c r="EO240" s="335"/>
      <c r="EP240" s="335"/>
      <c r="EQ240" s="335"/>
      <c r="ER240" s="335"/>
      <c r="ES240" s="335"/>
      <c r="ET240" s="335"/>
      <c r="EU240" s="335"/>
      <c r="EV240" s="335"/>
      <c r="EW240" s="335"/>
      <c r="EX240" s="335"/>
      <c r="EY240" s="335"/>
      <c r="EZ240" s="335"/>
      <c r="FA240" s="335"/>
      <c r="FB240" s="335"/>
      <c r="FC240" s="335"/>
      <c r="FD240" s="335"/>
      <c r="FE240" s="335"/>
      <c r="FF240" s="335"/>
      <c r="FG240" s="335"/>
      <c r="FH240" s="335"/>
      <c r="FI240" s="335"/>
      <c r="FJ240" s="335"/>
      <c r="FK240" s="335"/>
      <c r="FL240" s="335"/>
      <c r="FM240" s="335"/>
      <c r="FN240" s="335"/>
      <c r="FO240" s="335"/>
      <c r="FP240" s="335"/>
      <c r="FQ240" s="335"/>
      <c r="FR240" s="335"/>
      <c r="FS240" s="335"/>
      <c r="FT240" s="335"/>
      <c r="FU240" s="335"/>
      <c r="FV240" s="335"/>
      <c r="FW240" s="335"/>
      <c r="FX240" s="333"/>
      <c r="FY240" s="333"/>
      <c r="FZ240" s="333"/>
      <c r="GA240" s="333"/>
      <c r="GB240" s="333"/>
      <c r="GC240" s="333"/>
      <c r="GD240" s="333"/>
      <c r="GE240" s="333"/>
      <c r="GF240" s="333"/>
      <c r="GG240" s="335"/>
      <c r="GH240" s="335"/>
      <c r="GI240" s="335"/>
      <c r="GJ240" s="335"/>
      <c r="GK240" s="335"/>
      <c r="GL240" s="335"/>
      <c r="GM240" s="335"/>
      <c r="GN240" s="335"/>
      <c r="GO240" s="335"/>
      <c r="GP240" s="335"/>
      <c r="GQ240" s="335"/>
      <c r="GR240" s="335"/>
      <c r="GS240" s="335"/>
      <c r="GT240" s="335"/>
      <c r="GU240" s="335"/>
      <c r="GV240" s="335"/>
      <c r="GW240" s="335"/>
      <c r="GX240" s="335"/>
      <c r="GY240" s="333"/>
      <c r="GZ240" s="333"/>
      <c r="HA240" s="333"/>
      <c r="HB240" s="335"/>
      <c r="HC240" s="335"/>
      <c r="HD240" s="335"/>
      <c r="HE240" s="335"/>
      <c r="HF240" s="335"/>
      <c r="HG240" s="335"/>
      <c r="HH240" s="335"/>
      <c r="HI240" s="335"/>
      <c r="HJ240" s="335"/>
      <c r="HK240" s="335"/>
      <c r="HL240" s="335"/>
      <c r="HM240" s="335"/>
      <c r="HN240" s="335"/>
      <c r="HO240" s="335"/>
      <c r="HP240" s="335"/>
      <c r="HQ240" s="335"/>
      <c r="HR240" s="335"/>
      <c r="HS240" s="335"/>
      <c r="HT240" s="335"/>
      <c r="HU240" s="335"/>
      <c r="HV240" s="335"/>
      <c r="II240" s="335"/>
      <c r="IJ240" s="335"/>
      <c r="IK240" s="335"/>
      <c r="IL240" s="333"/>
      <c r="IM240" s="333"/>
      <c r="IN240" s="333"/>
      <c r="IO240" s="335"/>
      <c r="IP240" s="335"/>
      <c r="IQ240" s="335"/>
      <c r="IR240" s="335"/>
      <c r="IS240" s="335"/>
      <c r="IT240" s="335"/>
      <c r="IU240" s="335"/>
      <c r="IV240" s="335"/>
      <c r="IW240" s="335"/>
      <c r="IX240" s="333"/>
      <c r="IY240" s="333"/>
      <c r="IZ240" s="333"/>
      <c r="JA240" s="333"/>
      <c r="JB240" s="333"/>
      <c r="JC240" s="333"/>
      <c r="JD240" s="335"/>
      <c r="JE240" s="335"/>
      <c r="JF240" s="335"/>
      <c r="JG240" s="335"/>
      <c r="JH240" s="335"/>
      <c r="JI240" s="335"/>
      <c r="JJ240" s="335"/>
      <c r="JK240" s="335"/>
      <c r="JL240" s="335"/>
      <c r="JM240" s="335"/>
      <c r="JN240" s="335"/>
      <c r="JO240" s="335"/>
      <c r="JP240" s="335"/>
      <c r="JQ240" s="335"/>
      <c r="JR240" s="335"/>
      <c r="JS240" s="333"/>
      <c r="JT240" s="333"/>
      <c r="JU240" s="333"/>
      <c r="JV240" s="335"/>
      <c r="JW240" s="335"/>
      <c r="JX240" s="335"/>
      <c r="JY240" s="335"/>
      <c r="JZ240" s="335"/>
      <c r="KA240" s="335"/>
      <c r="KB240" s="335"/>
      <c r="KC240" s="335"/>
      <c r="KD240" s="335"/>
      <c r="KE240" s="335"/>
      <c r="KF240" s="335"/>
      <c r="KG240" s="335"/>
      <c r="KH240" s="335"/>
      <c r="KI240" s="335"/>
      <c r="KJ240" s="335"/>
      <c r="KK240" s="335"/>
      <c r="KL240" s="335"/>
      <c r="KM240" s="335"/>
      <c r="KN240" s="335"/>
      <c r="KO240" s="335"/>
      <c r="KP240" s="335"/>
      <c r="KQ240" s="335"/>
      <c r="KR240" s="335"/>
      <c r="KS240" s="335"/>
    </row>
    <row r="241" spans="1:366">
      <c r="A241" s="295"/>
      <c r="B241" s="332">
        <v>102</v>
      </c>
      <c r="AY241" s="359"/>
      <c r="AZ241" s="359"/>
      <c r="BA241" s="359"/>
      <c r="BB241" s="359"/>
      <c r="BC241" s="359"/>
      <c r="BD241" s="359"/>
      <c r="BE241" s="359"/>
      <c r="BF241" s="359"/>
      <c r="BG241" s="359"/>
      <c r="BH241" s="359"/>
      <c r="BI241" s="359"/>
      <c r="BJ241" s="359"/>
      <c r="BK241" s="353"/>
      <c r="BL241" s="353"/>
      <c r="BM241" s="353"/>
      <c r="BN241" s="353"/>
      <c r="BO241" s="353"/>
      <c r="BP241" s="353"/>
      <c r="BQ241" s="353"/>
      <c r="BR241" s="353"/>
      <c r="BS241" s="353"/>
      <c r="BT241" s="353"/>
      <c r="BU241" s="353"/>
      <c r="BV241" s="353"/>
      <c r="BW241" s="353"/>
      <c r="BX241" s="353"/>
      <c r="BY241" s="353"/>
      <c r="BZ241" s="335"/>
      <c r="CA241" s="335"/>
      <c r="CB241" s="335"/>
      <c r="CC241" s="335"/>
      <c r="CD241" s="335"/>
      <c r="CE241" s="335"/>
      <c r="CF241" s="335"/>
      <c r="CG241" s="335"/>
      <c r="CH241" s="335"/>
      <c r="FX241" s="333"/>
      <c r="FY241" s="333"/>
      <c r="FZ241" s="333"/>
      <c r="GA241" s="333"/>
      <c r="GB241" s="333"/>
      <c r="GC241" s="333"/>
      <c r="GD241" s="333"/>
      <c r="GE241" s="333"/>
      <c r="GF241" s="333"/>
      <c r="GY241" s="333"/>
      <c r="GZ241" s="333"/>
      <c r="HA241" s="333"/>
      <c r="IL241" s="333"/>
      <c r="IM241" s="333"/>
      <c r="IN241" s="333"/>
      <c r="IU241" s="335"/>
      <c r="IV241" s="335"/>
      <c r="IW241" s="335"/>
      <c r="IX241" s="333"/>
      <c r="IY241" s="333"/>
      <c r="IZ241" s="333"/>
      <c r="JA241" s="333"/>
      <c r="JB241" s="333"/>
      <c r="JC241" s="333"/>
      <c r="JS241" s="333"/>
      <c r="JT241" s="333"/>
      <c r="JU241" s="333"/>
      <c r="MD241" s="332">
        <v>0</v>
      </c>
      <c r="ME241" s="332" t="s">
        <v>452</v>
      </c>
      <c r="MF241" s="332">
        <v>0</v>
      </c>
      <c r="MG241" s="332" t="s">
        <v>453</v>
      </c>
      <c r="MH241" s="332">
        <v>0</v>
      </c>
      <c r="MI241" s="332" t="s">
        <v>454</v>
      </c>
      <c r="MY241" s="332">
        <v>1.75</v>
      </c>
      <c r="MZ241" s="332">
        <v>-0.5</v>
      </c>
      <c r="NA241" s="332">
        <v>-5.25</v>
      </c>
      <c r="NB241" s="332">
        <v>-6.5</v>
      </c>
    </row>
    <row r="242" spans="1:366">
      <c r="A242" s="295"/>
      <c r="B242" s="332">
        <v>0</v>
      </c>
      <c r="FX242" s="333"/>
      <c r="FY242" s="333"/>
      <c r="FZ242" s="333"/>
      <c r="GA242" s="333"/>
      <c r="GB242" s="333"/>
      <c r="GC242" s="333"/>
      <c r="GD242" s="333"/>
      <c r="GE242" s="333"/>
      <c r="GF242" s="333"/>
      <c r="GY242" s="333"/>
      <c r="GZ242" s="333"/>
      <c r="HA242" s="333"/>
      <c r="IL242" s="333"/>
      <c r="IM242" s="333"/>
      <c r="IN242" s="333"/>
      <c r="IU242" s="335"/>
      <c r="IV242" s="335"/>
      <c r="IW242" s="335"/>
      <c r="IX242" s="333"/>
      <c r="IY242" s="333"/>
      <c r="IZ242" s="333"/>
      <c r="JA242" s="333"/>
      <c r="JB242" s="333"/>
      <c r="JC242" s="333"/>
      <c r="JS242" s="333"/>
      <c r="JT242" s="333"/>
      <c r="JU242" s="333"/>
      <c r="MD242" s="332">
        <v>0</v>
      </c>
      <c r="ME242" s="332" t="s">
        <v>455</v>
      </c>
      <c r="MF242" s="332">
        <v>0</v>
      </c>
      <c r="MG242" s="332" t="s">
        <v>456</v>
      </c>
      <c r="MH242" s="332">
        <v>0</v>
      </c>
      <c r="MI242" s="332" t="s">
        <v>457</v>
      </c>
      <c r="MY242" s="332">
        <v>0</v>
      </c>
      <c r="MZ242" s="332">
        <v>-0.63</v>
      </c>
      <c r="NA242" s="332">
        <v>-2.25</v>
      </c>
      <c r="NB242" s="332">
        <v>-4.75</v>
      </c>
    </row>
    <row r="243" spans="1:366">
      <c r="A243" s="295"/>
      <c r="B243" s="332" t="s">
        <v>458</v>
      </c>
      <c r="FX243" s="333"/>
      <c r="FY243" s="333"/>
      <c r="FZ243" s="333"/>
      <c r="GA243" s="333"/>
      <c r="GB243" s="333"/>
      <c r="GC243" s="333"/>
      <c r="GD243" s="333"/>
      <c r="GE243" s="333"/>
      <c r="GF243" s="333"/>
      <c r="GY243" s="333"/>
      <c r="GZ243" s="333"/>
      <c r="HA243" s="333"/>
      <c r="IL243" s="333"/>
      <c r="IM243" s="333"/>
      <c r="IN243" s="333"/>
      <c r="IU243" s="335"/>
      <c r="IV243" s="335"/>
      <c r="IW243" s="335"/>
      <c r="IX243" s="333"/>
      <c r="IY243" s="333"/>
      <c r="IZ243" s="333"/>
      <c r="JA243" s="333"/>
      <c r="JB243" s="333"/>
      <c r="JC243" s="333"/>
      <c r="JS243" s="333"/>
      <c r="JT243" s="333"/>
      <c r="JU243" s="333"/>
      <c r="MD243" s="332">
        <v>-0.39236394557823101</v>
      </c>
      <c r="ME243" s="332">
        <v>-1</v>
      </c>
      <c r="MF243" s="332">
        <v>2.4914965986394498E-3</v>
      </c>
      <c r="MG243" s="332">
        <v>-6.3499631572103499E-3</v>
      </c>
      <c r="MH243" s="332">
        <v>-1.44557823129251E-4</v>
      </c>
      <c r="MI243" s="332">
        <v>-3.7064492216456601E-4</v>
      </c>
      <c r="MY243" s="332">
        <v>-0.5</v>
      </c>
      <c r="MZ243" s="332">
        <v>0.69</v>
      </c>
      <c r="NA243" s="332">
        <v>-0.06</v>
      </c>
      <c r="NB243" s="332">
        <v>-1.81</v>
      </c>
    </row>
    <row r="244" spans="1:366">
      <c r="A244" s="295"/>
      <c r="B244" s="332">
        <v>0</v>
      </c>
      <c r="FX244" s="333"/>
      <c r="FY244" s="333"/>
      <c r="FZ244" s="333"/>
      <c r="GA244" s="333"/>
      <c r="GB244" s="333"/>
      <c r="GC244" s="333"/>
      <c r="GD244" s="333"/>
      <c r="GE244" s="333"/>
      <c r="GF244" s="333"/>
      <c r="GY244" s="333"/>
      <c r="GZ244" s="333"/>
      <c r="HA244" s="333"/>
      <c r="IL244" s="333"/>
      <c r="IM244" s="333"/>
      <c r="IN244" s="333"/>
      <c r="IU244" s="335"/>
      <c r="IV244" s="335"/>
      <c r="IW244" s="335"/>
      <c r="IX244" s="333"/>
      <c r="IY244" s="333"/>
      <c r="IZ244" s="333"/>
      <c r="JA244" s="333"/>
      <c r="JB244" s="333"/>
      <c r="JC244" s="333"/>
      <c r="JS244" s="333"/>
      <c r="JT244" s="333"/>
      <c r="JU244" s="333"/>
      <c r="MD244" s="332">
        <v>0</v>
      </c>
      <c r="ME244" s="332" t="s">
        <v>459</v>
      </c>
      <c r="MF244" s="332">
        <v>0</v>
      </c>
      <c r="MG244" s="332" t="s">
        <v>460</v>
      </c>
      <c r="MH244" s="332">
        <v>0</v>
      </c>
      <c r="MI244" s="332" t="s">
        <v>461</v>
      </c>
      <c r="MY244" s="332">
        <v>-0.88</v>
      </c>
      <c r="MZ244" s="332">
        <v>-1.5</v>
      </c>
      <c r="NA244" s="332">
        <v>-4</v>
      </c>
      <c r="NB244" s="332">
        <v>-9</v>
      </c>
    </row>
    <row r="245" spans="1:366">
      <c r="A245" s="295"/>
      <c r="B245" s="332">
        <v>0</v>
      </c>
      <c r="FX245" s="333"/>
      <c r="FY245" s="333"/>
      <c r="FZ245" s="333"/>
      <c r="GA245" s="333"/>
      <c r="GB245" s="333"/>
      <c r="GC245" s="333"/>
      <c r="GD245" s="333"/>
      <c r="GE245" s="333"/>
      <c r="GF245" s="333"/>
      <c r="GY245" s="333"/>
      <c r="GZ245" s="333"/>
      <c r="HA245" s="333"/>
      <c r="IL245" s="333"/>
      <c r="IM245" s="333"/>
      <c r="IN245" s="333"/>
      <c r="IU245" s="335"/>
      <c r="IV245" s="335"/>
      <c r="IW245" s="335"/>
      <c r="IX245" s="333"/>
      <c r="IY245" s="333"/>
      <c r="IZ245" s="333"/>
      <c r="JA245" s="333"/>
      <c r="JB245" s="333"/>
      <c r="JC245" s="333"/>
      <c r="JS245" s="333"/>
      <c r="JT245" s="333"/>
      <c r="JU245" s="333"/>
      <c r="MD245" s="332">
        <v>0</v>
      </c>
      <c r="ME245" s="332" t="s">
        <v>462</v>
      </c>
      <c r="MF245" s="332">
        <v>0</v>
      </c>
      <c r="MG245" s="332" t="s">
        <v>463</v>
      </c>
      <c r="MH245" s="332">
        <v>0</v>
      </c>
      <c r="MI245" s="332" t="s">
        <v>464</v>
      </c>
      <c r="MY245" s="332">
        <v>-0.5</v>
      </c>
      <c r="MZ245" s="332">
        <v>-0.17</v>
      </c>
      <c r="NA245" s="332">
        <v>0.67</v>
      </c>
      <c r="NB245" s="332">
        <v>-0.83</v>
      </c>
    </row>
    <row r="246" spans="1:366">
      <c r="A246" s="295"/>
      <c r="B246" s="332">
        <v>0</v>
      </c>
      <c r="FX246" s="333"/>
      <c r="FY246" s="333"/>
      <c r="FZ246" s="333"/>
      <c r="GA246" s="333"/>
      <c r="GB246" s="333"/>
      <c r="GC246" s="333"/>
      <c r="GD246" s="333"/>
      <c r="GE246" s="333"/>
      <c r="GF246" s="333"/>
      <c r="GY246" s="333"/>
      <c r="GZ246" s="333"/>
      <c r="HA246" s="333"/>
      <c r="IL246" s="333"/>
      <c r="IM246" s="333"/>
      <c r="IN246" s="333"/>
      <c r="IU246" s="335"/>
      <c r="IV246" s="335"/>
      <c r="IW246" s="335"/>
      <c r="IX246" s="333"/>
      <c r="IY246" s="333"/>
      <c r="IZ246" s="333"/>
      <c r="JA246" s="333"/>
      <c r="JB246" s="333"/>
      <c r="JC246" s="333"/>
      <c r="JS246" s="333"/>
      <c r="JT246" s="333"/>
      <c r="JU246" s="333"/>
      <c r="MD246" s="332">
        <v>0</v>
      </c>
      <c r="ME246" s="332" t="s">
        <v>465</v>
      </c>
      <c r="MF246" s="332">
        <v>0</v>
      </c>
      <c r="MG246" s="332" t="s">
        <v>466</v>
      </c>
      <c r="MH246" s="332">
        <v>0</v>
      </c>
      <c r="MI246" s="332" t="s">
        <v>467</v>
      </c>
      <c r="MY246" s="332">
        <v>-0.38</v>
      </c>
      <c r="MZ246" s="332">
        <v>-0.38</v>
      </c>
      <c r="NA246" s="332">
        <v>-1.5</v>
      </c>
      <c r="NB246" s="332">
        <v>-4.25</v>
      </c>
    </row>
    <row r="247" spans="1:366">
      <c r="A247" s="295"/>
      <c r="B247" s="332">
        <v>0</v>
      </c>
      <c r="FX247" s="333"/>
      <c r="FY247" s="333"/>
      <c r="FZ247" s="333"/>
      <c r="GA247" s="333"/>
      <c r="GB247" s="333"/>
      <c r="GC247" s="333"/>
      <c r="GD247" s="333"/>
      <c r="GE247" s="333"/>
      <c r="GF247" s="333"/>
      <c r="GY247" s="333"/>
      <c r="GZ247" s="333"/>
      <c r="HA247" s="333"/>
      <c r="IL247" s="333"/>
      <c r="IM247" s="333"/>
      <c r="IN247" s="333"/>
      <c r="IU247" s="335"/>
      <c r="IV247" s="335"/>
      <c r="IW247" s="335"/>
      <c r="IX247" s="333"/>
      <c r="IY247" s="333"/>
      <c r="IZ247" s="333"/>
      <c r="JA247" s="333"/>
      <c r="JB247" s="333"/>
      <c r="JC247" s="333"/>
      <c r="JS247" s="333"/>
      <c r="JT247" s="333"/>
      <c r="JU247" s="333"/>
      <c r="MD247" s="332">
        <v>0</v>
      </c>
      <c r="ME247" s="332" t="s">
        <v>468</v>
      </c>
      <c r="MF247" s="332">
        <v>0</v>
      </c>
      <c r="MG247" s="332" t="s">
        <v>469</v>
      </c>
      <c r="MH247" s="332">
        <v>0</v>
      </c>
      <c r="MI247" s="332" t="s">
        <v>470</v>
      </c>
      <c r="MY247" s="332">
        <v>-0.88</v>
      </c>
      <c r="MZ247" s="332">
        <v>0.25</v>
      </c>
      <c r="NA247" s="332">
        <v>-3.63</v>
      </c>
      <c r="NB247" s="332">
        <v>-7.5</v>
      </c>
    </row>
    <row r="248" spans="1:366">
      <c r="A248" s="295"/>
      <c r="B248" s="332">
        <v>0</v>
      </c>
      <c r="FX248" s="333"/>
      <c r="FY248" s="333"/>
      <c r="FZ248" s="333"/>
      <c r="GA248" s="333"/>
      <c r="GB248" s="333"/>
      <c r="GC248" s="333"/>
      <c r="GD248" s="333"/>
      <c r="GE248" s="333"/>
      <c r="GF248" s="333"/>
      <c r="GY248" s="333"/>
      <c r="GZ248" s="333"/>
      <c r="HA248" s="333"/>
      <c r="IL248" s="333"/>
      <c r="IM248" s="333"/>
      <c r="IN248" s="333"/>
      <c r="IU248" s="335"/>
      <c r="IV248" s="335"/>
      <c r="IW248" s="335"/>
      <c r="IX248" s="333"/>
      <c r="IY248" s="333"/>
      <c r="IZ248" s="333"/>
      <c r="JA248" s="333"/>
      <c r="JB248" s="333"/>
      <c r="JC248" s="333"/>
      <c r="JS248" s="333"/>
      <c r="JT248" s="333"/>
      <c r="JU248" s="333"/>
      <c r="MD248" s="332">
        <v>0</v>
      </c>
      <c r="ME248" s="332" t="s">
        <v>471</v>
      </c>
      <c r="MF248" s="332">
        <v>0</v>
      </c>
      <c r="MG248" s="332" t="s">
        <v>472</v>
      </c>
      <c r="MH248" s="332">
        <v>0</v>
      </c>
      <c r="MI248" s="332" t="s">
        <v>473</v>
      </c>
      <c r="MY248" s="332">
        <v>-0.25</v>
      </c>
      <c r="MZ248" s="332">
        <v>0.88</v>
      </c>
      <c r="NA248" s="332">
        <v>-2.25</v>
      </c>
      <c r="NB248" s="332">
        <v>-2.75</v>
      </c>
    </row>
    <row r="249" spans="1:366">
      <c r="A249" s="295"/>
      <c r="B249" s="332" t="s">
        <v>474</v>
      </c>
      <c r="FX249" s="333"/>
      <c r="FY249" s="333"/>
      <c r="FZ249" s="333"/>
      <c r="GA249" s="333"/>
      <c r="GB249" s="333"/>
      <c r="GC249" s="333"/>
      <c r="GD249" s="333"/>
      <c r="GE249" s="333"/>
      <c r="GF249" s="333"/>
      <c r="GY249" s="333"/>
      <c r="GZ249" s="333"/>
      <c r="HA249" s="333"/>
      <c r="IL249" s="333"/>
      <c r="IM249" s="333"/>
      <c r="IN249" s="333"/>
      <c r="IU249" s="335"/>
      <c r="IV249" s="335"/>
      <c r="IW249" s="335"/>
      <c r="IX249" s="333"/>
      <c r="IY249" s="333"/>
      <c r="IZ249" s="333"/>
      <c r="JA249" s="333"/>
      <c r="JB249" s="333"/>
      <c r="JC249" s="333"/>
      <c r="JS249" s="333"/>
      <c r="JT249" s="333"/>
      <c r="JU249" s="333"/>
      <c r="MD249" s="332">
        <v>0</v>
      </c>
      <c r="ME249" s="332" t="s">
        <v>475</v>
      </c>
      <c r="MF249" s="332">
        <v>0</v>
      </c>
      <c r="MG249" s="332" t="s">
        <v>476</v>
      </c>
      <c r="MH249" s="332">
        <v>0</v>
      </c>
      <c r="MI249" s="332" t="s">
        <v>477</v>
      </c>
      <c r="MY249" s="332">
        <v>1.19</v>
      </c>
      <c r="MZ249" s="332">
        <v>-1.06</v>
      </c>
      <c r="NA249" s="332">
        <v>-0.38</v>
      </c>
      <c r="NB249" s="332">
        <v>-1.56</v>
      </c>
    </row>
    <row r="250" spans="1:366">
      <c r="A250" s="295"/>
      <c r="B250" s="332" t="s">
        <v>478</v>
      </c>
      <c r="FX250" s="333"/>
      <c r="FY250" s="333"/>
      <c r="FZ250" s="333"/>
      <c r="GA250" s="333"/>
      <c r="GB250" s="333"/>
      <c r="GC250" s="333"/>
      <c r="GD250" s="333"/>
      <c r="GE250" s="333"/>
      <c r="GF250" s="333"/>
      <c r="GY250" s="333"/>
      <c r="GZ250" s="333"/>
      <c r="HA250" s="333"/>
      <c r="IL250" s="333"/>
      <c r="IM250" s="333"/>
      <c r="IN250" s="333"/>
      <c r="IU250" s="335"/>
      <c r="IV250" s="335"/>
      <c r="IW250" s="335"/>
      <c r="IX250" s="333"/>
      <c r="IY250" s="333"/>
      <c r="IZ250" s="333"/>
      <c r="JA250" s="333"/>
      <c r="JB250" s="333"/>
      <c r="JC250" s="333"/>
      <c r="JS250" s="333"/>
      <c r="JT250" s="333"/>
      <c r="JU250" s="333"/>
      <c r="MD250" s="332">
        <v>0</v>
      </c>
      <c r="ME250" s="332" t="s">
        <v>479</v>
      </c>
      <c r="MF250" s="332">
        <v>0</v>
      </c>
      <c r="MG250" s="332" t="s">
        <v>480</v>
      </c>
      <c r="MH250" s="332">
        <v>0</v>
      </c>
      <c r="MI250" s="332" t="s">
        <v>481</v>
      </c>
      <c r="MY250" s="332">
        <v>0.38</v>
      </c>
      <c r="MZ250" s="332">
        <v>-5.13</v>
      </c>
      <c r="NA250" s="332">
        <v>-3</v>
      </c>
      <c r="NB250" s="332">
        <v>-11.75</v>
      </c>
    </row>
    <row r="251" spans="1:366">
      <c r="A251" s="295"/>
      <c r="B251" s="332" t="s">
        <v>226</v>
      </c>
      <c r="FX251" s="333"/>
      <c r="FY251" s="333"/>
      <c r="FZ251" s="333"/>
      <c r="GA251" s="333"/>
      <c r="GB251" s="333"/>
      <c r="GC251" s="333"/>
      <c r="GD251" s="333"/>
      <c r="GE251" s="333"/>
      <c r="GF251" s="333"/>
      <c r="GY251" s="333"/>
      <c r="GZ251" s="333"/>
      <c r="HA251" s="333"/>
      <c r="IL251" s="333"/>
      <c r="IM251" s="333"/>
      <c r="IN251" s="333"/>
      <c r="IU251" s="335"/>
      <c r="IV251" s="335"/>
      <c r="IW251" s="335"/>
      <c r="IX251" s="333"/>
      <c r="IY251" s="333"/>
      <c r="IZ251" s="333"/>
      <c r="JA251" s="333"/>
      <c r="JB251" s="333"/>
      <c r="JC251" s="333"/>
      <c r="JS251" s="333"/>
      <c r="JT251" s="333"/>
      <c r="JU251" s="333"/>
      <c r="MD251" s="332">
        <v>0</v>
      </c>
      <c r="ME251" s="332" t="s">
        <v>482</v>
      </c>
      <c r="MF251" s="332">
        <v>0</v>
      </c>
      <c r="MG251" s="332" t="s">
        <v>483</v>
      </c>
      <c r="MH251" s="332">
        <v>0</v>
      </c>
      <c r="MI251" s="332" t="s">
        <v>484</v>
      </c>
      <c r="MY251" s="332">
        <v>0.88</v>
      </c>
      <c r="MZ251" s="332">
        <v>-1.75</v>
      </c>
      <c r="NA251" s="332">
        <v>-2.75</v>
      </c>
      <c r="NB251" s="332">
        <v>-6</v>
      </c>
    </row>
    <row r="252" spans="1:366">
      <c r="A252" s="295"/>
      <c r="B252" s="332" t="s">
        <v>227</v>
      </c>
      <c r="FX252" s="333"/>
      <c r="FY252" s="333"/>
      <c r="FZ252" s="333"/>
      <c r="GA252" s="333"/>
      <c r="GB252" s="333"/>
      <c r="GC252" s="333"/>
      <c r="GD252" s="333"/>
      <c r="GE252" s="333"/>
      <c r="GF252" s="333"/>
      <c r="GY252" s="333"/>
      <c r="GZ252" s="333"/>
      <c r="HA252" s="333"/>
      <c r="IL252" s="333"/>
      <c r="IM252" s="333"/>
      <c r="IN252" s="333"/>
      <c r="IU252" s="335"/>
      <c r="IV252" s="335"/>
      <c r="IW252" s="335"/>
      <c r="IX252" s="333"/>
      <c r="IY252" s="333"/>
      <c r="IZ252" s="333"/>
      <c r="JA252" s="333"/>
      <c r="JB252" s="333"/>
      <c r="JC252" s="333"/>
      <c r="JS252" s="333"/>
      <c r="JT252" s="333"/>
      <c r="JU252" s="333"/>
      <c r="MD252" s="332">
        <v>0</v>
      </c>
      <c r="ME252" s="332" t="s">
        <v>485</v>
      </c>
      <c r="MF252" s="332">
        <v>0</v>
      </c>
      <c r="MG252" s="332" t="s">
        <v>486</v>
      </c>
      <c r="MH252" s="332">
        <v>0</v>
      </c>
      <c r="MI252" s="332" t="s">
        <v>487</v>
      </c>
      <c r="MY252" s="332">
        <v>0.88</v>
      </c>
      <c r="MZ252" s="332">
        <v>0.63</v>
      </c>
      <c r="NA252" s="332">
        <v>0.06</v>
      </c>
      <c r="NB252" s="332">
        <v>0.44</v>
      </c>
    </row>
    <row r="253" spans="1:366">
      <c r="A253" s="295"/>
      <c r="B253" s="332" t="s">
        <v>114</v>
      </c>
      <c r="FX253" s="333"/>
      <c r="FY253" s="333"/>
      <c r="FZ253" s="333"/>
      <c r="GA253" s="333"/>
      <c r="GB253" s="333"/>
      <c r="GC253" s="333"/>
      <c r="GD253" s="333"/>
      <c r="GE253" s="333"/>
      <c r="GF253" s="333"/>
      <c r="GY253" s="333"/>
      <c r="GZ253" s="333"/>
      <c r="HA253" s="333"/>
      <c r="IL253" s="333"/>
      <c r="IM253" s="333"/>
      <c r="IN253" s="333"/>
      <c r="IU253" s="335"/>
      <c r="IV253" s="335"/>
      <c r="IW253" s="335"/>
      <c r="IX253" s="333"/>
      <c r="IY253" s="333"/>
      <c r="IZ253" s="333"/>
      <c r="JA253" s="333"/>
      <c r="JB253" s="333"/>
      <c r="JC253" s="333"/>
      <c r="JS253" s="333"/>
      <c r="JT253" s="333"/>
      <c r="JU253" s="333"/>
      <c r="MD253" s="332">
        <v>6.6666666666666602E-3</v>
      </c>
      <c r="ME253" s="332" t="s">
        <v>488</v>
      </c>
      <c r="MF253" s="332">
        <v>0</v>
      </c>
      <c r="MG253" s="332" t="s">
        <v>489</v>
      </c>
      <c r="MH253" s="332">
        <v>0</v>
      </c>
      <c r="MI253" s="332" t="s">
        <v>490</v>
      </c>
      <c r="MY253" s="332">
        <v>-1.1299999999999999</v>
      </c>
      <c r="MZ253" s="332">
        <v>0.75</v>
      </c>
      <c r="NA253" s="332">
        <v>0.25</v>
      </c>
      <c r="NB253" s="332">
        <v>-1</v>
      </c>
    </row>
    <row r="254" spans="1:366">
      <c r="A254" s="295"/>
      <c r="B254" s="332" t="s">
        <v>491</v>
      </c>
      <c r="FX254" s="333"/>
      <c r="FY254" s="333"/>
      <c r="FZ254" s="333"/>
      <c r="GA254" s="333"/>
      <c r="GB254" s="333"/>
      <c r="GC254" s="333"/>
      <c r="GD254" s="333"/>
      <c r="GE254" s="333"/>
      <c r="GF254" s="333"/>
      <c r="GY254" s="333"/>
      <c r="GZ254" s="333"/>
      <c r="HA254" s="333"/>
      <c r="IU254" s="335"/>
      <c r="IV254" s="335"/>
      <c r="IW254" s="335"/>
      <c r="IX254" s="333"/>
      <c r="IY254" s="333"/>
      <c r="IZ254" s="333"/>
      <c r="JA254" s="333"/>
      <c r="JB254" s="333"/>
      <c r="JC254" s="333"/>
      <c r="JS254" s="333"/>
      <c r="JT254" s="333"/>
      <c r="JU254" s="333"/>
      <c r="MD254" s="332">
        <v>0</v>
      </c>
      <c r="ME254" s="332" t="s">
        <v>492</v>
      </c>
      <c r="MF254" s="332">
        <v>0</v>
      </c>
      <c r="MG254" s="332" t="s">
        <v>493</v>
      </c>
      <c r="MH254" s="332">
        <v>0</v>
      </c>
      <c r="MI254" s="332" t="s">
        <v>494</v>
      </c>
      <c r="MY254" s="332">
        <v>2.13</v>
      </c>
      <c r="MZ254" s="332">
        <v>-0.88</v>
      </c>
      <c r="NA254" s="332">
        <v>-1.63</v>
      </c>
      <c r="NB254" s="332">
        <v>-8.1300000000000008</v>
      </c>
    </row>
    <row r="255" spans="1:366">
      <c r="A255" s="295"/>
      <c r="B255" s="332" t="s">
        <v>495</v>
      </c>
      <c r="FX255" s="333"/>
      <c r="FY255" s="333"/>
      <c r="FZ255" s="333"/>
      <c r="GA255" s="333"/>
      <c r="GB255" s="333"/>
      <c r="GC255" s="333"/>
      <c r="GD255" s="333"/>
      <c r="GE255" s="333"/>
      <c r="GF255" s="333"/>
      <c r="GY255" s="333"/>
      <c r="GZ255" s="333"/>
      <c r="HA255" s="333"/>
      <c r="IU255" s="335"/>
      <c r="IV255" s="335"/>
      <c r="IW255" s="335"/>
      <c r="IX255" s="333"/>
      <c r="IY255" s="333"/>
      <c r="IZ255" s="333"/>
      <c r="JA255" s="333"/>
      <c r="JB255" s="333"/>
      <c r="JC255" s="333"/>
      <c r="JS255" s="333"/>
      <c r="JT255" s="333"/>
      <c r="JU255" s="333"/>
      <c r="MD255" s="332">
        <v>0</v>
      </c>
      <c r="ME255" s="332" t="s">
        <v>496</v>
      </c>
      <c r="MF255" s="332">
        <v>0</v>
      </c>
      <c r="MG255" s="332" t="s">
        <v>497</v>
      </c>
      <c r="MH255" s="332">
        <v>0</v>
      </c>
      <c r="MI255" s="332" t="s">
        <v>498</v>
      </c>
      <c r="MY255" s="332">
        <v>1.63</v>
      </c>
      <c r="MZ255" s="332">
        <v>-1</v>
      </c>
      <c r="NA255" s="332">
        <v>-5.25</v>
      </c>
      <c r="NB255" s="332">
        <v>-10.75</v>
      </c>
    </row>
    <row r="256" spans="1:366">
      <c r="A256" s="295"/>
      <c r="B256" s="332" t="s">
        <v>228</v>
      </c>
      <c r="FX256" s="333"/>
      <c r="FY256" s="333"/>
      <c r="FZ256" s="333"/>
      <c r="GA256" s="333"/>
      <c r="GB256" s="333"/>
      <c r="GC256" s="333"/>
      <c r="GD256" s="333"/>
      <c r="GE256" s="333"/>
      <c r="GF256" s="333"/>
      <c r="GY256" s="333"/>
      <c r="GZ256" s="333"/>
      <c r="HA256" s="333"/>
      <c r="IU256" s="335"/>
      <c r="IV256" s="335"/>
      <c r="IW256" s="335"/>
      <c r="IX256" s="333"/>
      <c r="IY256" s="333"/>
      <c r="IZ256" s="333"/>
      <c r="JA256" s="333"/>
      <c r="JB256" s="333"/>
      <c r="JC256" s="333"/>
      <c r="JS256" s="333"/>
      <c r="JT256" s="333"/>
      <c r="JU256" s="333"/>
      <c r="MD256" s="332">
        <v>0</v>
      </c>
      <c r="ME256" s="332" t="s">
        <v>499</v>
      </c>
      <c r="MF256" s="332">
        <v>0</v>
      </c>
      <c r="MG256" s="332" t="s">
        <v>500</v>
      </c>
      <c r="MH256" s="332">
        <v>0</v>
      </c>
      <c r="MI256" s="332" t="s">
        <v>501</v>
      </c>
      <c r="MY256" s="332">
        <v>1.63</v>
      </c>
      <c r="MZ256" s="332">
        <v>0</v>
      </c>
      <c r="NA256" s="332">
        <v>-0.75</v>
      </c>
      <c r="NB256" s="332">
        <v>-0.75</v>
      </c>
    </row>
    <row r="257" spans="1:366">
      <c r="A257" s="295"/>
      <c r="B257" s="332" t="s">
        <v>229</v>
      </c>
      <c r="FX257" s="333"/>
      <c r="FY257" s="333"/>
      <c r="FZ257" s="333"/>
      <c r="GA257" s="333"/>
      <c r="GB257" s="333"/>
      <c r="GC257" s="333"/>
      <c r="GD257" s="333"/>
      <c r="GE257" s="333"/>
      <c r="GF257" s="333"/>
      <c r="GY257" s="333"/>
      <c r="GZ257" s="333"/>
      <c r="HA257" s="333"/>
      <c r="IU257" s="335"/>
      <c r="IV257" s="335"/>
      <c r="IW257" s="335"/>
      <c r="IX257" s="333"/>
      <c r="IY257" s="333"/>
      <c r="IZ257" s="333"/>
      <c r="JA257" s="333"/>
      <c r="JB257" s="333"/>
      <c r="JC257" s="333"/>
      <c r="JS257" s="333"/>
      <c r="JT257" s="333"/>
      <c r="JU257" s="333"/>
      <c r="MD257" s="332">
        <v>5.0000000000000001E-3</v>
      </c>
      <c r="ME257" s="332" t="s">
        <v>502</v>
      </c>
      <c r="MF257" s="332">
        <v>0</v>
      </c>
      <c r="MG257" s="332" t="s">
        <v>503</v>
      </c>
      <c r="MH257" s="332">
        <v>0</v>
      </c>
      <c r="MI257" s="332" t="s">
        <v>504</v>
      </c>
      <c r="MY257" s="332">
        <v>-0.88</v>
      </c>
      <c r="MZ257" s="332">
        <v>-0.88</v>
      </c>
      <c r="NA257" s="332">
        <v>-1.5</v>
      </c>
      <c r="NB257" s="332">
        <v>-5.63</v>
      </c>
    </row>
    <row r="258" spans="1:366">
      <c r="A258" s="295"/>
      <c r="B258" s="332" t="s">
        <v>116</v>
      </c>
      <c r="FX258" s="333"/>
      <c r="FY258" s="333"/>
      <c r="FZ258" s="333"/>
      <c r="GA258" s="333"/>
      <c r="GB258" s="333"/>
      <c r="GC258" s="333"/>
      <c r="GD258" s="333"/>
      <c r="GE258" s="333"/>
      <c r="GF258" s="333"/>
      <c r="GY258" s="333"/>
      <c r="GZ258" s="333"/>
      <c r="HA258" s="333"/>
      <c r="IU258" s="335"/>
      <c r="IV258" s="335"/>
      <c r="IW258" s="335"/>
      <c r="IX258" s="333"/>
      <c r="IY258" s="333"/>
      <c r="IZ258" s="333"/>
      <c r="JA258" s="333"/>
      <c r="JB258" s="333"/>
      <c r="JC258" s="333"/>
      <c r="JS258" s="333"/>
      <c r="JT258" s="333"/>
      <c r="JU258" s="333"/>
      <c r="MD258" s="332">
        <v>9.9999999999999898E-3</v>
      </c>
      <c r="ME258" s="332" t="s">
        <v>505</v>
      </c>
      <c r="MF258" s="332">
        <v>0</v>
      </c>
      <c r="MG258" s="332" t="s">
        <v>506</v>
      </c>
      <c r="MH258" s="332">
        <v>0</v>
      </c>
      <c r="MI258" s="332" t="s">
        <v>507</v>
      </c>
      <c r="MY258" s="332">
        <v>2.38</v>
      </c>
      <c r="MZ258" s="332">
        <v>0.88</v>
      </c>
      <c r="NA258" s="332">
        <v>-3</v>
      </c>
      <c r="NB258" s="332">
        <v>-2.75</v>
      </c>
    </row>
    <row r="259" spans="1:366">
      <c r="A259" s="295"/>
      <c r="B259" s="332" t="s">
        <v>508</v>
      </c>
      <c r="FX259" s="333"/>
      <c r="FY259" s="333"/>
      <c r="FZ259" s="333"/>
      <c r="GA259" s="333"/>
      <c r="GB259" s="333"/>
      <c r="GC259" s="333"/>
      <c r="GD259" s="333"/>
      <c r="GE259" s="333"/>
      <c r="GF259" s="333"/>
      <c r="GY259" s="333"/>
      <c r="GZ259" s="333"/>
      <c r="HA259" s="333"/>
      <c r="IU259" s="335"/>
      <c r="IV259" s="335"/>
      <c r="IW259" s="335"/>
      <c r="IX259" s="333"/>
      <c r="IY259" s="333"/>
      <c r="IZ259" s="333"/>
      <c r="JA259" s="333"/>
      <c r="JB259" s="333"/>
      <c r="JC259" s="333"/>
      <c r="JS259" s="333"/>
      <c r="JT259" s="333"/>
      <c r="JU259" s="333"/>
      <c r="MD259" s="332">
        <v>0</v>
      </c>
      <c r="ME259" s="332" t="s">
        <v>509</v>
      </c>
      <c r="MF259" s="332">
        <v>0</v>
      </c>
      <c r="MG259" s="332" t="s">
        <v>510</v>
      </c>
      <c r="MH259" s="332">
        <v>0</v>
      </c>
      <c r="MI259" s="332" t="s">
        <v>511</v>
      </c>
      <c r="MY259" s="332">
        <v>0.67</v>
      </c>
      <c r="MZ259" s="332">
        <v>0.75</v>
      </c>
      <c r="NA259" s="332">
        <v>-1.63</v>
      </c>
      <c r="NB259" s="332">
        <v>1.67</v>
      </c>
    </row>
    <row r="260" spans="1:366">
      <c r="A260" s="295"/>
      <c r="B260" s="332">
        <v>97</v>
      </c>
      <c r="FX260" s="333"/>
      <c r="FY260" s="333"/>
      <c r="FZ260" s="333"/>
      <c r="GA260" s="333"/>
      <c r="GB260" s="333"/>
      <c r="GC260" s="333"/>
      <c r="GD260" s="333"/>
      <c r="GE260" s="333"/>
      <c r="GF260" s="333"/>
      <c r="GY260" s="333"/>
      <c r="GZ260" s="333"/>
      <c r="HA260" s="333"/>
      <c r="IU260" s="335"/>
      <c r="IV260" s="335"/>
      <c r="IW260" s="335"/>
      <c r="IX260" s="333"/>
      <c r="IY260" s="333"/>
      <c r="IZ260" s="333"/>
      <c r="JA260" s="333"/>
      <c r="JB260" s="333"/>
      <c r="JC260" s="333"/>
      <c r="JS260" s="333"/>
      <c r="JT260" s="333"/>
      <c r="JU260" s="333"/>
      <c r="MY260" s="332">
        <v>0.25</v>
      </c>
      <c r="MZ260" s="332">
        <v>0.25</v>
      </c>
      <c r="NA260" s="332">
        <v>-1.88</v>
      </c>
      <c r="NB260" s="332">
        <v>-5.5</v>
      </c>
    </row>
    <row r="261" spans="1:366">
      <c r="A261" s="295"/>
      <c r="B261" s="332">
        <v>98</v>
      </c>
      <c r="FX261" s="333"/>
      <c r="FY261" s="333"/>
      <c r="FZ261" s="333"/>
      <c r="GA261" s="333"/>
      <c r="GB261" s="333"/>
      <c r="GC261" s="333"/>
      <c r="GD261" s="333"/>
      <c r="GE261" s="333"/>
      <c r="GF261" s="333"/>
      <c r="GY261" s="333"/>
      <c r="GZ261" s="333"/>
      <c r="HA261" s="333"/>
      <c r="IU261" s="335"/>
      <c r="IV261" s="335"/>
      <c r="IW261" s="335"/>
      <c r="IX261" s="333"/>
      <c r="IY261" s="333"/>
      <c r="IZ261" s="333"/>
      <c r="JA261" s="333"/>
      <c r="JB261" s="333"/>
      <c r="JC261" s="333"/>
      <c r="JS261" s="333"/>
      <c r="JT261" s="333"/>
      <c r="JU261" s="333"/>
      <c r="MY261" s="332">
        <v>0.25</v>
      </c>
      <c r="MZ261" s="332">
        <v>-1.1299999999999999</v>
      </c>
      <c r="NA261" s="332">
        <v>-2.13</v>
      </c>
      <c r="NB261" s="332">
        <v>-5.38</v>
      </c>
    </row>
    <row r="262" spans="1:366">
      <c r="A262" s="295"/>
      <c r="B262" s="332">
        <v>99</v>
      </c>
      <c r="FX262" s="333"/>
      <c r="FY262" s="333"/>
      <c r="FZ262" s="333"/>
      <c r="GA262" s="333"/>
      <c r="GB262" s="333"/>
      <c r="GC262" s="333"/>
      <c r="GD262" s="333"/>
      <c r="GE262" s="333"/>
      <c r="GF262" s="333"/>
      <c r="GY262" s="333"/>
      <c r="GZ262" s="333"/>
      <c r="HA262" s="333"/>
      <c r="IU262" s="335"/>
      <c r="IV262" s="335"/>
      <c r="IW262" s="335"/>
      <c r="IX262" s="333"/>
      <c r="IY262" s="333"/>
      <c r="IZ262" s="333"/>
      <c r="JA262" s="333"/>
      <c r="JB262" s="333"/>
      <c r="JC262" s="333"/>
      <c r="JS262" s="333"/>
      <c r="JT262" s="333"/>
      <c r="JU262" s="333"/>
      <c r="MY262" s="332">
        <v>-0.19</v>
      </c>
      <c r="MZ262" s="332">
        <v>1.06</v>
      </c>
      <c r="NA262" s="332">
        <v>-1.38</v>
      </c>
      <c r="NB262" s="332">
        <v>-0.25</v>
      </c>
    </row>
    <row r="263" spans="1:366">
      <c r="A263" s="295"/>
      <c r="B263" s="332">
        <v>100</v>
      </c>
      <c r="FX263" s="333"/>
      <c r="FY263" s="333"/>
      <c r="FZ263" s="333"/>
      <c r="GA263" s="333"/>
      <c r="GB263" s="333"/>
      <c r="GC263" s="333"/>
      <c r="GD263" s="333"/>
      <c r="GE263" s="333"/>
      <c r="GF263" s="333"/>
      <c r="GY263" s="333"/>
      <c r="GZ263" s="333"/>
      <c r="HA263" s="333"/>
      <c r="IU263" s="335"/>
      <c r="IV263" s="335"/>
      <c r="IW263" s="335"/>
      <c r="IX263" s="333"/>
      <c r="IY263" s="333"/>
      <c r="IZ263" s="333"/>
      <c r="JA263" s="333"/>
      <c r="JB263" s="333"/>
      <c r="JC263" s="333"/>
      <c r="JS263" s="333"/>
      <c r="JT263" s="333"/>
      <c r="JU263" s="333"/>
      <c r="MY263" s="332">
        <v>0.13</v>
      </c>
      <c r="MZ263" s="332">
        <v>0.63</v>
      </c>
      <c r="NA263" s="332">
        <v>-3.63</v>
      </c>
      <c r="NB263" s="332">
        <v>-5.63</v>
      </c>
    </row>
    <row r="264" spans="1:366">
      <c r="A264" s="295"/>
      <c r="B264" s="332">
        <v>101</v>
      </c>
      <c r="FX264" s="333"/>
      <c r="FY264" s="333"/>
      <c r="FZ264" s="333"/>
      <c r="GA264" s="333"/>
      <c r="GB264" s="333"/>
      <c r="GC264" s="333"/>
      <c r="GD264" s="333"/>
      <c r="GE264" s="333"/>
      <c r="GF264" s="333"/>
      <c r="GY264" s="333"/>
      <c r="GZ264" s="333"/>
      <c r="HA264" s="333"/>
      <c r="IU264" s="335"/>
      <c r="IV264" s="335"/>
      <c r="IW264" s="335"/>
      <c r="IX264" s="333"/>
      <c r="IY264" s="333"/>
      <c r="IZ264" s="333"/>
      <c r="JA264" s="333"/>
      <c r="JB264" s="333"/>
      <c r="JC264" s="333"/>
      <c r="JS264" s="333"/>
      <c r="JT264" s="333"/>
      <c r="JU264" s="333"/>
      <c r="MY264" s="332">
        <v>-1.1299999999999999</v>
      </c>
      <c r="MZ264" s="332">
        <v>0.75</v>
      </c>
      <c r="NA264" s="332">
        <v>-1.38</v>
      </c>
      <c r="NB264" s="332">
        <v>-3.81</v>
      </c>
    </row>
    <row r="265" spans="1:366">
      <c r="A265" s="295"/>
      <c r="B265" s="332">
        <v>102</v>
      </c>
      <c r="FX265" s="333"/>
      <c r="FY265" s="333"/>
      <c r="FZ265" s="333"/>
      <c r="GA265" s="333"/>
      <c r="GB265" s="333"/>
      <c r="GC265" s="333"/>
      <c r="GD265" s="333"/>
      <c r="GE265" s="333"/>
      <c r="GF265" s="333"/>
      <c r="GY265" s="333"/>
      <c r="GZ265" s="333"/>
      <c r="HA265" s="333"/>
      <c r="IU265" s="335"/>
      <c r="IV265" s="335"/>
      <c r="IW265" s="335"/>
      <c r="IX265" s="333"/>
      <c r="IY265" s="333"/>
      <c r="IZ265" s="333"/>
      <c r="JA265" s="333"/>
      <c r="JB265" s="333"/>
      <c r="JC265" s="333"/>
      <c r="JS265" s="333"/>
      <c r="JT265" s="333"/>
      <c r="JU265" s="333"/>
      <c r="MY265" s="332">
        <v>-1</v>
      </c>
      <c r="MZ265" s="332">
        <v>1</v>
      </c>
      <c r="NA265" s="332">
        <v>0.25</v>
      </c>
      <c r="NB265" s="332">
        <v>-1.75</v>
      </c>
    </row>
    <row r="266" spans="1:366">
      <c r="A266" s="295"/>
      <c r="B266" s="332">
        <v>103</v>
      </c>
      <c r="FX266" s="333"/>
      <c r="FY266" s="333"/>
      <c r="FZ266" s="333"/>
      <c r="GA266" s="333"/>
      <c r="GB266" s="333"/>
      <c r="GC266" s="333"/>
      <c r="GD266" s="333"/>
      <c r="GE266" s="333"/>
      <c r="GF266" s="333"/>
      <c r="GY266" s="333"/>
      <c r="GZ266" s="333"/>
      <c r="HA266" s="333"/>
      <c r="IU266" s="335"/>
      <c r="IV266" s="335"/>
      <c r="IW266" s="335"/>
      <c r="IX266" s="333"/>
      <c r="IY266" s="333"/>
      <c r="IZ266" s="333"/>
      <c r="JA266" s="333"/>
      <c r="JB266" s="333"/>
      <c r="JC266" s="333"/>
      <c r="JS266" s="333"/>
      <c r="JT266" s="333"/>
      <c r="JU266" s="333"/>
      <c r="MY266" s="332">
        <v>-0.33</v>
      </c>
      <c r="MZ266" s="332">
        <v>-0.33</v>
      </c>
      <c r="NA266" s="332">
        <v>-1.24</v>
      </c>
      <c r="NB266" s="332">
        <v>-4.87</v>
      </c>
    </row>
    <row r="267" spans="1:366">
      <c r="A267" s="295"/>
      <c r="B267" s="332">
        <v>104</v>
      </c>
      <c r="FX267" s="333"/>
      <c r="FY267" s="333"/>
      <c r="FZ267" s="333"/>
      <c r="GA267" s="333"/>
      <c r="GB267" s="333"/>
      <c r="GC267" s="333"/>
      <c r="GD267" s="333"/>
      <c r="GE267" s="333"/>
      <c r="GF267" s="333"/>
      <c r="GY267" s="333"/>
      <c r="GZ267" s="333"/>
      <c r="HA267" s="333"/>
      <c r="IU267" s="335"/>
      <c r="IV267" s="335"/>
      <c r="IW267" s="335"/>
      <c r="IX267" s="333"/>
      <c r="IY267" s="333"/>
      <c r="IZ267" s="333"/>
      <c r="JA267" s="333"/>
      <c r="JB267" s="333"/>
      <c r="JC267" s="333"/>
      <c r="JS267" s="333"/>
      <c r="JT267" s="333"/>
      <c r="JU267" s="333"/>
      <c r="MY267" s="332">
        <v>-0.75</v>
      </c>
      <c r="MZ267" s="332">
        <v>-1.25</v>
      </c>
      <c r="NA267" s="332">
        <v>-0.5</v>
      </c>
      <c r="NB267" s="332">
        <v>-5.25</v>
      </c>
    </row>
    <row r="268" spans="1:366">
      <c r="A268" s="295"/>
      <c r="B268" s="332">
        <v>105</v>
      </c>
      <c r="FX268" s="333"/>
      <c r="FY268" s="333"/>
      <c r="FZ268" s="333"/>
      <c r="GA268" s="333"/>
      <c r="GB268" s="333"/>
      <c r="GC268" s="333"/>
      <c r="GD268" s="333"/>
      <c r="GE268" s="333"/>
      <c r="GF268" s="333"/>
      <c r="GY268" s="333"/>
      <c r="GZ268" s="333"/>
      <c r="HA268" s="333"/>
      <c r="IU268" s="335"/>
      <c r="IV268" s="335"/>
      <c r="IW268" s="335"/>
      <c r="IX268" s="333"/>
      <c r="IY268" s="333"/>
      <c r="IZ268" s="333"/>
      <c r="JA268" s="333"/>
      <c r="JB268" s="333"/>
      <c r="JC268" s="333"/>
      <c r="JS268" s="333"/>
      <c r="JT268" s="333"/>
      <c r="JU268" s="333"/>
      <c r="MY268" s="332">
        <v>-0.75</v>
      </c>
      <c r="MZ268" s="332">
        <v>0.88</v>
      </c>
      <c r="NA268" s="332">
        <v>-2.38</v>
      </c>
      <c r="NB268" s="332">
        <v>-5.5</v>
      </c>
    </row>
    <row r="269" spans="1:366">
      <c r="A269" s="295"/>
      <c r="B269" s="332">
        <v>106</v>
      </c>
      <c r="FX269" s="333"/>
      <c r="FY269" s="333"/>
      <c r="FZ269" s="333"/>
      <c r="GA269" s="333"/>
      <c r="GB269" s="333"/>
      <c r="GC269" s="333"/>
      <c r="GD269" s="333"/>
      <c r="GE269" s="333"/>
      <c r="GF269" s="333"/>
      <c r="IU269" s="335"/>
      <c r="IV269" s="335"/>
      <c r="IW269" s="335"/>
      <c r="IX269" s="333"/>
      <c r="IY269" s="333"/>
      <c r="IZ269" s="333"/>
      <c r="JA269" s="333"/>
      <c r="JB269" s="333"/>
      <c r="JC269" s="333"/>
      <c r="JS269" s="333"/>
      <c r="JT269" s="333"/>
      <c r="JU269" s="333"/>
      <c r="MY269" s="332">
        <v>-0.75</v>
      </c>
      <c r="MZ269" s="332">
        <v>0.12</v>
      </c>
      <c r="NA269" s="332">
        <v>-3</v>
      </c>
      <c r="NB269" s="332">
        <v>-5</v>
      </c>
    </row>
    <row r="270" spans="1:366">
      <c r="A270" s="295"/>
      <c r="B270" s="332">
        <v>107</v>
      </c>
      <c r="GA270" s="333"/>
      <c r="GB270" s="333"/>
      <c r="GC270" s="333"/>
      <c r="GD270" s="333"/>
      <c r="GE270" s="333"/>
      <c r="GF270" s="333"/>
      <c r="IU270" s="335"/>
      <c r="IV270" s="335"/>
      <c r="IW270" s="335"/>
      <c r="IX270" s="333"/>
      <c r="IY270" s="333"/>
      <c r="IZ270" s="333"/>
      <c r="JA270" s="333"/>
      <c r="JB270" s="333"/>
      <c r="JC270" s="333"/>
      <c r="JS270" s="333"/>
      <c r="JT270" s="333"/>
      <c r="JU270" s="333"/>
      <c r="MY270" s="332">
        <v>0.5</v>
      </c>
      <c r="MZ270" s="332">
        <v>1.5</v>
      </c>
      <c r="NA270" s="332">
        <v>-1.38</v>
      </c>
      <c r="NB270" s="332">
        <v>-1.63</v>
      </c>
    </row>
    <row r="271" spans="1:366">
      <c r="A271" s="295"/>
      <c r="B271" s="332">
        <v>108</v>
      </c>
      <c r="GA271" s="333"/>
      <c r="GB271" s="333"/>
      <c r="GC271" s="333"/>
      <c r="GD271" s="333"/>
      <c r="GE271" s="333"/>
      <c r="GF271" s="333"/>
      <c r="IU271" s="335"/>
      <c r="IV271" s="335"/>
      <c r="IW271" s="335"/>
      <c r="IX271" s="333"/>
      <c r="IY271" s="333"/>
      <c r="IZ271" s="333"/>
      <c r="JA271" s="333"/>
      <c r="JB271" s="333"/>
      <c r="JC271" s="333"/>
      <c r="JS271" s="333"/>
      <c r="JT271" s="333"/>
      <c r="JU271" s="333"/>
      <c r="MY271" s="332">
        <v>-1.5</v>
      </c>
      <c r="MZ271" s="332">
        <v>0</v>
      </c>
      <c r="NA271" s="332">
        <v>-1</v>
      </c>
      <c r="NB271" s="332">
        <v>-6.88</v>
      </c>
    </row>
    <row r="272" spans="1:366">
      <c r="A272" s="295"/>
      <c r="B272" s="332">
        <v>109</v>
      </c>
      <c r="GA272" s="333"/>
      <c r="GB272" s="333"/>
      <c r="GC272" s="333"/>
      <c r="GD272" s="333"/>
      <c r="GE272" s="333"/>
      <c r="GF272" s="333"/>
      <c r="IU272" s="335"/>
      <c r="IV272" s="335"/>
      <c r="IW272" s="335"/>
      <c r="IX272" s="333"/>
      <c r="IY272" s="333"/>
      <c r="IZ272" s="333"/>
      <c r="JA272" s="333"/>
      <c r="JB272" s="333"/>
      <c r="JC272" s="333"/>
      <c r="JS272" s="333"/>
      <c r="JT272" s="333"/>
      <c r="JU272" s="333"/>
      <c r="MY272" s="332">
        <v>0</v>
      </c>
      <c r="MZ272" s="332">
        <v>0.17</v>
      </c>
      <c r="NA272" s="332">
        <v>-2.09</v>
      </c>
      <c r="NB272" s="332">
        <v>-1.93</v>
      </c>
    </row>
    <row r="273" spans="1:366">
      <c r="A273" s="295"/>
      <c r="B273" s="332">
        <v>110</v>
      </c>
      <c r="GA273" s="333"/>
      <c r="GB273" s="333"/>
      <c r="GC273" s="333"/>
      <c r="GD273" s="333"/>
      <c r="GE273" s="333"/>
      <c r="GF273" s="333"/>
      <c r="IU273" s="335"/>
      <c r="IV273" s="335"/>
      <c r="IW273" s="335"/>
      <c r="IX273" s="333"/>
      <c r="IY273" s="333"/>
      <c r="IZ273" s="333"/>
      <c r="JA273" s="333"/>
      <c r="JB273" s="333"/>
      <c r="JC273" s="333"/>
      <c r="JS273" s="333"/>
      <c r="JT273" s="333"/>
      <c r="JU273" s="333"/>
      <c r="MY273" s="332">
        <v>0</v>
      </c>
      <c r="MZ273" s="332">
        <v>0</v>
      </c>
      <c r="NA273" s="332">
        <v>0</v>
      </c>
      <c r="NB273" s="332">
        <v>0</v>
      </c>
    </row>
    <row r="274" spans="1:366">
      <c r="A274" s="295"/>
      <c r="B274" s="332">
        <v>111</v>
      </c>
      <c r="GA274" s="333"/>
      <c r="GB274" s="333"/>
      <c r="GC274" s="333"/>
      <c r="GD274" s="333"/>
      <c r="GE274" s="333"/>
      <c r="GF274" s="333"/>
      <c r="IU274" s="335"/>
      <c r="IV274" s="335"/>
      <c r="IW274" s="335"/>
      <c r="IX274" s="333"/>
      <c r="IY274" s="333"/>
      <c r="IZ274" s="333"/>
      <c r="JA274" s="333"/>
      <c r="JB274" s="333"/>
      <c r="JC274" s="333"/>
      <c r="JS274" s="333"/>
      <c r="JT274" s="333"/>
      <c r="JU274" s="333"/>
      <c r="MY274" s="332">
        <v>0</v>
      </c>
      <c r="MZ274" s="332">
        <v>0</v>
      </c>
      <c r="NA274" s="332">
        <v>0</v>
      </c>
      <c r="NB274" s="332">
        <v>0</v>
      </c>
    </row>
    <row r="275" spans="1:366">
      <c r="A275" s="295"/>
      <c r="B275" s="332">
        <v>112</v>
      </c>
      <c r="GA275" s="333"/>
      <c r="GB275" s="333"/>
      <c r="GC275" s="333"/>
      <c r="GD275" s="333"/>
      <c r="GE275" s="333"/>
      <c r="GF275" s="333"/>
      <c r="IU275" s="335"/>
      <c r="IV275" s="335"/>
      <c r="IW275" s="335"/>
      <c r="IX275" s="333"/>
      <c r="IY275" s="333"/>
      <c r="IZ275" s="333"/>
      <c r="JA275" s="333"/>
      <c r="JB275" s="333"/>
      <c r="JC275" s="333"/>
      <c r="JS275" s="333"/>
      <c r="JT275" s="333"/>
      <c r="JU275" s="333"/>
      <c r="MY275" s="332">
        <v>-0.22</v>
      </c>
      <c r="MZ275" s="332">
        <v>0.46</v>
      </c>
      <c r="NA275" s="332">
        <v>-2.29</v>
      </c>
      <c r="NB275" s="332">
        <v>-4.6100000000000003</v>
      </c>
    </row>
    <row r="276" spans="1:366">
      <c r="A276" s="295"/>
      <c r="B276" s="332">
        <v>113</v>
      </c>
      <c r="GA276" s="333"/>
      <c r="GB276" s="333"/>
      <c r="GC276" s="333"/>
      <c r="GD276" s="333"/>
      <c r="GE276" s="333"/>
      <c r="GF276" s="333"/>
      <c r="IU276" s="335"/>
      <c r="IV276" s="335"/>
      <c r="IW276" s="335"/>
      <c r="IX276" s="333"/>
      <c r="IY276" s="333"/>
      <c r="IZ276" s="333"/>
      <c r="JA276" s="333"/>
      <c r="JB276" s="333"/>
      <c r="JC276" s="333"/>
      <c r="JS276" s="333"/>
      <c r="JT276" s="333"/>
      <c r="JU276" s="333"/>
      <c r="MY276" s="332">
        <v>-21.85</v>
      </c>
      <c r="MZ276" s="332">
        <v>21.85</v>
      </c>
      <c r="NA276" s="332">
        <v>0</v>
      </c>
      <c r="NB276" s="332">
        <v>0</v>
      </c>
    </row>
    <row r="277" spans="1:366">
      <c r="A277" s="295"/>
      <c r="B277" s="332">
        <v>114</v>
      </c>
      <c r="GA277" s="333"/>
      <c r="GB277" s="333"/>
      <c r="GC277" s="333"/>
      <c r="GD277" s="333"/>
      <c r="GE277" s="333"/>
      <c r="GF277" s="333"/>
      <c r="IU277" s="335"/>
      <c r="IV277" s="335"/>
      <c r="IW277" s="335"/>
      <c r="IX277" s="333"/>
      <c r="IY277" s="333"/>
      <c r="IZ277" s="333"/>
      <c r="JA277" s="333"/>
      <c r="JB277" s="333"/>
      <c r="JC277" s="333"/>
      <c r="JS277" s="333"/>
      <c r="JT277" s="333"/>
      <c r="JU277" s="333"/>
      <c r="MY277" s="332">
        <v>0</v>
      </c>
      <c r="MZ277" s="332">
        <v>0</v>
      </c>
      <c r="NA277" s="332">
        <v>0</v>
      </c>
      <c r="NB277" s="332">
        <v>-26.68</v>
      </c>
    </row>
    <row r="278" spans="1:366">
      <c r="A278" s="295"/>
      <c r="B278" s="332">
        <v>115</v>
      </c>
      <c r="GA278" s="333"/>
      <c r="GB278" s="333"/>
      <c r="GC278" s="333"/>
      <c r="GD278" s="333"/>
      <c r="GE278" s="333"/>
      <c r="GF278" s="333"/>
      <c r="IU278" s="335"/>
      <c r="IV278" s="335"/>
      <c r="IW278" s="335"/>
      <c r="IX278" s="333"/>
      <c r="IY278" s="333"/>
      <c r="IZ278" s="333"/>
      <c r="JA278" s="333"/>
      <c r="JB278" s="333"/>
      <c r="JC278" s="333"/>
      <c r="JS278" s="333"/>
      <c r="JT278" s="333"/>
      <c r="JU278" s="333"/>
      <c r="MY278" s="332">
        <v>0</v>
      </c>
      <c r="MZ278" s="332">
        <v>0</v>
      </c>
      <c r="NA278" s="332">
        <v>0</v>
      </c>
      <c r="NB278" s="332">
        <v>-0.09</v>
      </c>
    </row>
    <row r="279" spans="1:366">
      <c r="A279" s="295"/>
      <c r="B279" s="332">
        <v>116</v>
      </c>
      <c r="GA279" s="333"/>
      <c r="GB279" s="333"/>
      <c r="GC279" s="333"/>
      <c r="GD279" s="333"/>
      <c r="GE279" s="333"/>
      <c r="GF279" s="333"/>
      <c r="IU279" s="335"/>
      <c r="IV279" s="335"/>
      <c r="IW279" s="335"/>
      <c r="IX279" s="333"/>
      <c r="IY279" s="333"/>
      <c r="IZ279" s="333"/>
      <c r="JA279" s="333"/>
      <c r="JB279" s="333"/>
      <c r="JC279" s="333"/>
      <c r="JS279" s="333"/>
      <c r="JT279" s="333"/>
      <c r="JU279" s="333"/>
      <c r="MY279" s="332">
        <v>22.08</v>
      </c>
      <c r="MZ279" s="332">
        <v>0</v>
      </c>
      <c r="NA279" s="332">
        <v>0</v>
      </c>
      <c r="NB279" s="332">
        <v>22.01</v>
      </c>
    </row>
    <row r="280" spans="1:366">
      <c r="A280" s="295"/>
      <c r="B280" s="332">
        <v>117</v>
      </c>
      <c r="GA280" s="333"/>
      <c r="GB280" s="333"/>
      <c r="GC280" s="333"/>
      <c r="GD280" s="333"/>
      <c r="GE280" s="333"/>
      <c r="GF280" s="333"/>
      <c r="IU280" s="335"/>
      <c r="IV280" s="335"/>
      <c r="IW280" s="335"/>
      <c r="IX280" s="333"/>
      <c r="IY280" s="333"/>
      <c r="IZ280" s="333"/>
      <c r="JA280" s="333"/>
      <c r="JB280" s="333"/>
      <c r="JC280" s="333"/>
      <c r="JS280" s="333"/>
      <c r="JT280" s="333"/>
      <c r="JU280" s="333"/>
      <c r="MY280" s="332">
        <v>-17.260000000000002</v>
      </c>
      <c r="MZ280" s="332">
        <v>0</v>
      </c>
      <c r="NA280" s="332">
        <v>0</v>
      </c>
      <c r="NB280" s="332">
        <v>-17.52</v>
      </c>
    </row>
    <row r="281" spans="1:366">
      <c r="A281" s="295"/>
      <c r="B281" s="332">
        <v>118</v>
      </c>
      <c r="GA281" s="333"/>
      <c r="GB281" s="333"/>
      <c r="GC281" s="333"/>
      <c r="GD281" s="333"/>
      <c r="GE281" s="333"/>
      <c r="GF281" s="333"/>
      <c r="IU281" s="335"/>
      <c r="IV281" s="335"/>
      <c r="IW281" s="335"/>
      <c r="IX281" s="333"/>
      <c r="IY281" s="333"/>
      <c r="IZ281" s="333"/>
      <c r="JA281" s="333"/>
      <c r="JB281" s="333"/>
      <c r="JC281" s="333"/>
      <c r="JS281" s="333"/>
      <c r="JT281" s="333"/>
      <c r="JU281" s="333"/>
      <c r="MY281" s="332">
        <v>0</v>
      </c>
      <c r="MZ281" s="332">
        <v>0</v>
      </c>
      <c r="NA281" s="332">
        <v>0</v>
      </c>
      <c r="NB281" s="332">
        <v>0.06</v>
      </c>
    </row>
    <row r="282" spans="1:366">
      <c r="A282" s="295"/>
      <c r="B282" s="332">
        <v>119</v>
      </c>
      <c r="GA282" s="333"/>
      <c r="GB282" s="333"/>
      <c r="GC282" s="333"/>
      <c r="GD282" s="333"/>
      <c r="GE282" s="333"/>
      <c r="GF282" s="333"/>
      <c r="IU282" s="335"/>
      <c r="IV282" s="335"/>
      <c r="IW282" s="335"/>
      <c r="IX282" s="333"/>
      <c r="IY282" s="333"/>
      <c r="IZ282" s="333"/>
      <c r="JA282" s="333"/>
      <c r="JB282" s="333"/>
      <c r="JC282" s="333"/>
      <c r="JS282" s="333"/>
      <c r="JT282" s="333"/>
      <c r="JU282" s="333"/>
      <c r="MY282" s="332">
        <v>0</v>
      </c>
      <c r="MZ282" s="332">
        <v>0</v>
      </c>
      <c r="NA282" s="332">
        <v>0</v>
      </c>
      <c r="NB282" s="332">
        <v>0</v>
      </c>
    </row>
    <row r="283" spans="1:366">
      <c r="A283" s="295"/>
      <c r="B283" s="332">
        <v>120</v>
      </c>
      <c r="GA283" s="333"/>
      <c r="GB283" s="333"/>
      <c r="GC283" s="333"/>
      <c r="GD283" s="333"/>
      <c r="GE283" s="333"/>
      <c r="GF283" s="333"/>
      <c r="IU283" s="335"/>
      <c r="IV283" s="335"/>
      <c r="IW283" s="335"/>
      <c r="IX283" s="333"/>
      <c r="IY283" s="333"/>
      <c r="IZ283" s="333"/>
      <c r="JA283" s="333"/>
      <c r="JB283" s="333"/>
      <c r="JC283" s="333"/>
      <c r="JS283" s="333"/>
      <c r="JT283" s="333"/>
      <c r="JU283" s="333"/>
      <c r="MY283" s="332">
        <v>0</v>
      </c>
      <c r="MZ283" s="332">
        <v>0</v>
      </c>
      <c r="NA283" s="332">
        <v>0</v>
      </c>
      <c r="NB283" s="332">
        <v>0</v>
      </c>
    </row>
    <row r="284" spans="1:366">
      <c r="A284" s="295"/>
      <c r="B284" s="332">
        <v>121</v>
      </c>
      <c r="GA284" s="333"/>
      <c r="GB284" s="333"/>
      <c r="GC284" s="333"/>
      <c r="GD284" s="333"/>
      <c r="GE284" s="333"/>
      <c r="GF284" s="333"/>
      <c r="IU284" s="335"/>
      <c r="IV284" s="335"/>
      <c r="IW284" s="335"/>
      <c r="IX284" s="333"/>
      <c r="IY284" s="333"/>
      <c r="IZ284" s="333"/>
      <c r="JA284" s="333"/>
      <c r="JB284" s="333"/>
      <c r="JC284" s="333"/>
      <c r="JS284" s="333"/>
      <c r="JT284" s="333"/>
      <c r="JU284" s="333"/>
      <c r="MY284" s="332">
        <v>0</v>
      </c>
      <c r="MZ284" s="332">
        <v>0</v>
      </c>
      <c r="NA284" s="332">
        <v>0</v>
      </c>
      <c r="NB284" s="332">
        <v>0</v>
      </c>
    </row>
    <row r="285" spans="1:366">
      <c r="A285" s="295"/>
      <c r="B285" s="332">
        <v>122</v>
      </c>
      <c r="GA285" s="333"/>
      <c r="GB285" s="333"/>
      <c r="GC285" s="333"/>
      <c r="GD285" s="333"/>
      <c r="GE285" s="333"/>
      <c r="GF285" s="333"/>
      <c r="IU285" s="335"/>
      <c r="IV285" s="335"/>
      <c r="IW285" s="335"/>
      <c r="IX285" s="333"/>
      <c r="IY285" s="333"/>
      <c r="IZ285" s="333"/>
      <c r="JA285" s="333"/>
      <c r="JB285" s="333"/>
      <c r="JC285" s="333"/>
      <c r="JS285" s="333"/>
      <c r="JT285" s="333"/>
      <c r="JU285" s="333"/>
      <c r="MY285" s="332">
        <v>0</v>
      </c>
      <c r="MZ285" s="332">
        <v>0</v>
      </c>
      <c r="NA285" s="332">
        <v>0</v>
      </c>
      <c r="NB285" s="332">
        <v>0</v>
      </c>
    </row>
    <row r="286" spans="1:366">
      <c r="A286" s="295"/>
      <c r="B286" s="332">
        <v>123</v>
      </c>
      <c r="GA286" s="333"/>
      <c r="GB286" s="333"/>
      <c r="GC286" s="333"/>
      <c r="GD286" s="333"/>
      <c r="GE286" s="333"/>
      <c r="GF286" s="333"/>
      <c r="IU286" s="335"/>
      <c r="IV286" s="335"/>
      <c r="IW286" s="335"/>
      <c r="IX286" s="333"/>
      <c r="IY286" s="333"/>
      <c r="IZ286" s="333"/>
      <c r="JA286" s="333"/>
      <c r="JB286" s="333"/>
      <c r="JC286" s="333"/>
      <c r="JS286" s="333"/>
      <c r="JT286" s="333"/>
      <c r="JU286" s="333"/>
      <c r="MY286" s="332">
        <v>0</v>
      </c>
      <c r="MZ286" s="332">
        <v>0</v>
      </c>
      <c r="NA286" s="332">
        <v>0</v>
      </c>
      <c r="NB286" s="332">
        <v>0</v>
      </c>
    </row>
    <row r="287" spans="1:366">
      <c r="A287" s="295"/>
      <c r="B287" s="332">
        <v>124</v>
      </c>
      <c r="GA287" s="333"/>
      <c r="GB287" s="333"/>
      <c r="GC287" s="333"/>
      <c r="GD287" s="333"/>
      <c r="GE287" s="333"/>
      <c r="GF287" s="333"/>
      <c r="IU287" s="335"/>
      <c r="IV287" s="335"/>
      <c r="IW287" s="335"/>
      <c r="IX287" s="333"/>
      <c r="IY287" s="333"/>
      <c r="IZ287" s="333"/>
      <c r="JA287" s="333"/>
      <c r="JB287" s="333"/>
      <c r="JC287" s="333"/>
      <c r="JS287" s="333"/>
      <c r="JT287" s="333"/>
      <c r="JU287" s="333"/>
      <c r="MY287" s="332">
        <v>0</v>
      </c>
      <c r="MZ287" s="332">
        <v>0</v>
      </c>
      <c r="NA287" s="332">
        <v>0</v>
      </c>
      <c r="NB287" s="332">
        <v>0</v>
      </c>
    </row>
    <row r="288" spans="1:366">
      <c r="A288" s="295"/>
      <c r="B288" s="332">
        <v>125</v>
      </c>
      <c r="GA288" s="333"/>
      <c r="GB288" s="333"/>
      <c r="GC288" s="333"/>
      <c r="GD288" s="333"/>
      <c r="GE288" s="333"/>
      <c r="GF288" s="333"/>
      <c r="IU288" s="335"/>
      <c r="IV288" s="335"/>
      <c r="IW288" s="335"/>
      <c r="IX288" s="333"/>
      <c r="IY288" s="333"/>
      <c r="IZ288" s="333"/>
      <c r="JA288" s="333"/>
      <c r="JB288" s="333"/>
      <c r="JC288" s="333"/>
      <c r="JS288" s="333"/>
      <c r="JT288" s="333"/>
      <c r="JU288" s="333"/>
      <c r="MY288" s="332">
        <v>0</v>
      </c>
      <c r="MZ288" s="332">
        <v>0</v>
      </c>
      <c r="NA288" s="332">
        <v>0</v>
      </c>
      <c r="NB288" s="332">
        <v>0</v>
      </c>
    </row>
    <row r="289" spans="1:366">
      <c r="A289" s="295"/>
      <c r="B289" s="332">
        <v>126</v>
      </c>
      <c r="GA289" s="333"/>
      <c r="GB289" s="333"/>
      <c r="GC289" s="333"/>
      <c r="GD289" s="333"/>
      <c r="GE289" s="333"/>
      <c r="GF289" s="333"/>
      <c r="IU289" s="335"/>
      <c r="IV289" s="335"/>
      <c r="IW289" s="335"/>
      <c r="IX289" s="333"/>
      <c r="IY289" s="333"/>
      <c r="IZ289" s="333"/>
      <c r="JA289" s="333"/>
      <c r="JB289" s="333"/>
      <c r="JC289" s="333"/>
      <c r="JS289" s="333"/>
      <c r="JT289" s="333"/>
      <c r="JU289" s="333"/>
      <c r="MY289" s="332">
        <v>0</v>
      </c>
      <c r="MZ289" s="332">
        <v>0</v>
      </c>
      <c r="NA289" s="332">
        <v>0</v>
      </c>
      <c r="NB289" s="332">
        <v>0</v>
      </c>
    </row>
    <row r="290" spans="1:366">
      <c r="A290" s="295"/>
      <c r="B290" s="332">
        <v>127</v>
      </c>
      <c r="GA290" s="333"/>
      <c r="GB290" s="333"/>
      <c r="GC290" s="333"/>
      <c r="GD290" s="333"/>
      <c r="GE290" s="333"/>
      <c r="GF290" s="333"/>
      <c r="IU290" s="335"/>
      <c r="IV290" s="335"/>
      <c r="IW290" s="335"/>
      <c r="IX290" s="333"/>
      <c r="IY290" s="333"/>
      <c r="IZ290" s="333"/>
      <c r="JA290" s="333"/>
      <c r="JB290" s="333"/>
      <c r="JC290" s="333"/>
      <c r="JS290" s="333"/>
      <c r="JT290" s="333"/>
      <c r="JU290" s="333"/>
      <c r="MY290" s="332">
        <v>0</v>
      </c>
      <c r="MZ290" s="332">
        <v>0</v>
      </c>
      <c r="NA290" s="332">
        <v>0</v>
      </c>
      <c r="NB290" s="332">
        <v>0</v>
      </c>
    </row>
    <row r="291" spans="1:366">
      <c r="A291" s="295"/>
      <c r="B291" s="332">
        <v>128</v>
      </c>
      <c r="GA291" s="333"/>
      <c r="GB291" s="333"/>
      <c r="GC291" s="333"/>
      <c r="GD291" s="333"/>
      <c r="GE291" s="333"/>
      <c r="GF291" s="333"/>
      <c r="IU291" s="335"/>
      <c r="IV291" s="335"/>
      <c r="IW291" s="335"/>
      <c r="IX291" s="333"/>
      <c r="IY291" s="333"/>
      <c r="IZ291" s="333"/>
      <c r="JA291" s="333"/>
      <c r="JB291" s="333"/>
      <c r="JC291" s="333"/>
      <c r="JS291" s="333"/>
      <c r="JT291" s="333"/>
      <c r="JU291" s="333"/>
      <c r="MY291" s="332">
        <v>0</v>
      </c>
      <c r="MZ291" s="332">
        <v>0</v>
      </c>
      <c r="NA291" s="332">
        <v>0</v>
      </c>
      <c r="NB291" s="332">
        <v>0</v>
      </c>
    </row>
    <row r="292" spans="1:366">
      <c r="A292" s="295"/>
      <c r="B292" s="332">
        <v>129</v>
      </c>
      <c r="GA292" s="333"/>
      <c r="GB292" s="333"/>
      <c r="GC292" s="333"/>
      <c r="GD292" s="333"/>
      <c r="GE292" s="333"/>
      <c r="GF292" s="333"/>
      <c r="IU292" s="335"/>
      <c r="IV292" s="335"/>
      <c r="IW292" s="335"/>
      <c r="IX292" s="333"/>
      <c r="IY292" s="333"/>
      <c r="IZ292" s="333"/>
      <c r="JA292" s="333"/>
      <c r="JB292" s="333"/>
      <c r="JC292" s="333"/>
      <c r="JS292" s="333"/>
      <c r="JT292" s="333"/>
      <c r="JU292" s="333"/>
    </row>
    <row r="293" spans="1:366">
      <c r="A293" s="295"/>
      <c r="GA293" s="333"/>
      <c r="GB293" s="333"/>
      <c r="GC293" s="333"/>
      <c r="GD293" s="333"/>
      <c r="GE293" s="333"/>
      <c r="GF293" s="333"/>
      <c r="IU293" s="335"/>
      <c r="IV293" s="335"/>
      <c r="IW293" s="335"/>
      <c r="IX293" s="333"/>
      <c r="IY293" s="333"/>
      <c r="IZ293" s="333"/>
      <c r="JA293" s="333"/>
      <c r="JB293" s="333"/>
      <c r="JC293" s="333"/>
      <c r="JS293" s="333"/>
      <c r="JT293" s="333"/>
      <c r="JU293" s="333"/>
    </row>
    <row r="294" spans="1:366">
      <c r="A294" s="295"/>
      <c r="GA294" s="333"/>
      <c r="GB294" s="333"/>
      <c r="GC294" s="333"/>
      <c r="GD294" s="333"/>
      <c r="GE294" s="333"/>
      <c r="GF294" s="333"/>
      <c r="IU294" s="335"/>
      <c r="IV294" s="335"/>
      <c r="IW294" s="335"/>
      <c r="IX294" s="333"/>
      <c r="IY294" s="333"/>
      <c r="IZ294" s="333"/>
      <c r="JA294" s="333"/>
      <c r="JB294" s="333"/>
      <c r="JC294" s="333"/>
      <c r="JS294" s="333"/>
      <c r="JT294" s="333"/>
      <c r="JU294" s="333"/>
    </row>
    <row r="295" spans="1:366">
      <c r="A295" s="295"/>
      <c r="GA295" s="333"/>
      <c r="GB295" s="333"/>
      <c r="GC295" s="333"/>
      <c r="GD295" s="333"/>
      <c r="GE295" s="333"/>
      <c r="GF295" s="333"/>
      <c r="IU295" s="335"/>
      <c r="IV295" s="335"/>
      <c r="IW295" s="335"/>
      <c r="IX295" s="333"/>
      <c r="IY295" s="333"/>
      <c r="IZ295" s="333"/>
      <c r="JA295" s="333"/>
      <c r="JB295" s="333"/>
      <c r="JC295" s="333"/>
      <c r="JS295" s="333"/>
      <c r="JT295" s="333"/>
      <c r="JU295" s="333"/>
    </row>
    <row r="296" spans="1:366">
      <c r="A296" s="295"/>
      <c r="GA296" s="333"/>
      <c r="GB296" s="333"/>
      <c r="GC296" s="333"/>
      <c r="GD296" s="333"/>
      <c r="GE296" s="333"/>
      <c r="GF296" s="333"/>
      <c r="IU296" s="335"/>
      <c r="IV296" s="335"/>
      <c r="IW296" s="335"/>
      <c r="IX296" s="333"/>
      <c r="IY296" s="333"/>
      <c r="IZ296" s="333"/>
      <c r="JA296" s="333"/>
      <c r="JB296" s="333"/>
      <c r="JC296" s="333"/>
      <c r="JS296" s="333"/>
      <c r="JT296" s="333"/>
      <c r="JU296" s="333"/>
    </row>
    <row r="297" spans="1:366">
      <c r="A297" s="295"/>
      <c r="GA297" s="333"/>
      <c r="GB297" s="333"/>
      <c r="GC297" s="333"/>
      <c r="GD297" s="333"/>
      <c r="GE297" s="333"/>
      <c r="GF297" s="333"/>
      <c r="IU297" s="335"/>
      <c r="IV297" s="335"/>
      <c r="IW297" s="335"/>
      <c r="IX297" s="333"/>
      <c r="IY297" s="333"/>
      <c r="IZ297" s="333"/>
      <c r="JA297" s="333"/>
      <c r="JB297" s="333"/>
      <c r="JC297" s="333"/>
      <c r="JS297" s="333"/>
      <c r="JT297" s="333"/>
      <c r="JU297" s="333"/>
    </row>
    <row r="298" spans="1:366">
      <c r="A298" s="295"/>
      <c r="GA298" s="333"/>
      <c r="GB298" s="333"/>
      <c r="GC298" s="333"/>
      <c r="GD298" s="333"/>
      <c r="GE298" s="333"/>
      <c r="GF298" s="333"/>
      <c r="IU298" s="335"/>
      <c r="IV298" s="335"/>
      <c r="IW298" s="335"/>
      <c r="IX298" s="333"/>
      <c r="IY298" s="333"/>
      <c r="IZ298" s="333"/>
      <c r="JA298" s="333"/>
      <c r="JB298" s="333"/>
      <c r="JC298" s="333"/>
      <c r="JS298" s="333"/>
      <c r="JT298" s="333"/>
      <c r="JU298" s="333"/>
    </row>
    <row r="299" spans="1:366">
      <c r="A299" s="295"/>
      <c r="GA299" s="333"/>
      <c r="GB299" s="333"/>
      <c r="GC299" s="333"/>
      <c r="GD299" s="333"/>
      <c r="GE299" s="333"/>
      <c r="GF299" s="333"/>
      <c r="IU299" s="335"/>
      <c r="IV299" s="335"/>
      <c r="IW299" s="335"/>
      <c r="IX299" s="333"/>
      <c r="IY299" s="333"/>
      <c r="IZ299" s="333"/>
      <c r="JA299" s="333"/>
      <c r="JB299" s="333"/>
      <c r="JC299" s="333"/>
      <c r="JS299" s="333"/>
      <c r="JT299" s="333"/>
      <c r="JU299" s="333"/>
    </row>
    <row r="300" spans="1:366">
      <c r="A300" s="295"/>
      <c r="IU300" s="335"/>
      <c r="IV300" s="335"/>
      <c r="IW300" s="335"/>
      <c r="IX300" s="333"/>
      <c r="IY300" s="333"/>
      <c r="IZ300" s="333"/>
      <c r="JA300" s="333"/>
      <c r="JB300" s="333"/>
      <c r="JC300" s="333"/>
      <c r="JS300" s="333"/>
      <c r="JT300" s="333"/>
      <c r="JU300" s="333"/>
    </row>
    <row r="301" spans="1:366">
      <c r="A301" s="295"/>
      <c r="IU301" s="335"/>
      <c r="IV301" s="335"/>
      <c r="IW301" s="335"/>
      <c r="IX301" s="333"/>
      <c r="IY301" s="333"/>
      <c r="IZ301" s="333"/>
      <c r="JA301" s="333"/>
      <c r="JB301" s="333"/>
      <c r="JC301" s="333"/>
      <c r="JS301" s="333"/>
      <c r="JT301" s="333"/>
      <c r="JU301" s="333"/>
    </row>
    <row r="302" spans="1:366">
      <c r="A302" s="295"/>
      <c r="IU302" s="335"/>
      <c r="IV302" s="335"/>
      <c r="IW302" s="335"/>
      <c r="IX302" s="333"/>
      <c r="IY302" s="333"/>
      <c r="IZ302" s="333"/>
      <c r="JA302" s="333"/>
      <c r="JB302" s="333"/>
      <c r="JC302" s="333"/>
      <c r="JS302" s="333"/>
      <c r="JT302" s="333"/>
      <c r="JU302" s="333"/>
    </row>
    <row r="303" spans="1:366">
      <c r="A303" s="295"/>
      <c r="IU303" s="335"/>
      <c r="IV303" s="335"/>
      <c r="IW303" s="335"/>
      <c r="IX303" s="333"/>
      <c r="IY303" s="333"/>
      <c r="IZ303" s="333"/>
      <c r="JA303" s="333"/>
      <c r="JB303" s="333"/>
      <c r="JC303" s="333"/>
      <c r="JS303" s="333"/>
      <c r="JT303" s="333"/>
      <c r="JU303" s="333"/>
    </row>
    <row r="304" spans="1:366">
      <c r="A304" s="295"/>
      <c r="IU304" s="335"/>
      <c r="IV304" s="335"/>
      <c r="IW304" s="335"/>
      <c r="IX304" s="333"/>
      <c r="IY304" s="333"/>
      <c r="IZ304" s="333"/>
      <c r="JA304" s="333"/>
      <c r="JB304" s="333"/>
      <c r="JC304" s="333"/>
      <c r="JS304" s="333"/>
      <c r="JT304" s="333"/>
      <c r="JU304" s="333"/>
    </row>
    <row r="305" spans="1:281">
      <c r="A305" s="295"/>
      <c r="IU305" s="335"/>
      <c r="IV305" s="335"/>
      <c r="IW305" s="335"/>
      <c r="IX305" s="333"/>
      <c r="IY305" s="333"/>
      <c r="IZ305" s="333"/>
      <c r="JA305" s="333"/>
      <c r="JB305" s="333"/>
      <c r="JC305" s="333"/>
      <c r="JS305" s="333"/>
      <c r="JT305" s="333"/>
      <c r="JU305" s="333"/>
    </row>
    <row r="306" spans="1:281">
      <c r="A306" s="295"/>
      <c r="IU306" s="335"/>
      <c r="IV306" s="335"/>
      <c r="IW306" s="335"/>
      <c r="IX306" s="333"/>
      <c r="IY306" s="333"/>
      <c r="IZ306" s="333"/>
      <c r="JA306" s="333"/>
      <c r="JB306" s="333"/>
      <c r="JC306" s="333"/>
      <c r="JS306" s="333"/>
      <c r="JT306" s="333"/>
      <c r="JU306" s="333"/>
    </row>
    <row r="307" spans="1:281">
      <c r="A307" s="295"/>
      <c r="IU307" s="335"/>
      <c r="IV307" s="335"/>
      <c r="IW307" s="335"/>
      <c r="IX307" s="333"/>
      <c r="IY307" s="333"/>
      <c r="IZ307" s="333"/>
      <c r="JA307" s="333"/>
      <c r="JB307" s="333"/>
      <c r="JC307" s="333"/>
      <c r="JS307" s="333"/>
      <c r="JT307" s="333"/>
      <c r="JU307" s="333"/>
    </row>
    <row r="308" spans="1:281">
      <c r="A308" s="295"/>
      <c r="IU308" s="335"/>
      <c r="IV308" s="335"/>
      <c r="IW308" s="335"/>
      <c r="IX308" s="333"/>
      <c r="IY308" s="333"/>
      <c r="IZ308" s="333"/>
      <c r="JA308" s="333"/>
      <c r="JB308" s="333"/>
      <c r="JC308" s="333"/>
      <c r="JS308" s="333"/>
      <c r="JT308" s="333"/>
      <c r="JU308" s="333"/>
    </row>
    <row r="309" spans="1:281">
      <c r="A309" s="295"/>
      <c r="IU309" s="335"/>
      <c r="IV309" s="335"/>
      <c r="IW309" s="335"/>
      <c r="IX309" s="333"/>
      <c r="IY309" s="333"/>
      <c r="IZ309" s="333"/>
      <c r="JA309" s="333"/>
      <c r="JB309" s="333"/>
      <c r="JC309" s="333"/>
      <c r="JS309" s="333"/>
      <c r="JT309" s="333"/>
      <c r="JU309" s="333"/>
    </row>
    <row r="310" spans="1:281">
      <c r="A310" s="295"/>
      <c r="IU310" s="335"/>
      <c r="IV310" s="335"/>
      <c r="IW310" s="335"/>
      <c r="IX310" s="333"/>
      <c r="IY310" s="333"/>
      <c r="IZ310" s="333"/>
      <c r="JA310" s="333"/>
      <c r="JB310" s="333"/>
      <c r="JC310" s="333"/>
      <c r="JS310" s="333"/>
      <c r="JT310" s="333"/>
      <c r="JU310" s="333"/>
    </row>
    <row r="311" spans="1:281">
      <c r="A311" s="295"/>
      <c r="IU311" s="335"/>
      <c r="IV311" s="335"/>
      <c r="IW311" s="335"/>
      <c r="IX311" s="333"/>
      <c r="IY311" s="333"/>
      <c r="IZ311" s="333"/>
      <c r="JA311" s="333"/>
      <c r="JB311" s="333"/>
      <c r="JC311" s="333"/>
      <c r="JS311" s="333"/>
      <c r="JT311" s="333"/>
      <c r="JU311" s="333"/>
    </row>
    <row r="312" spans="1:281">
      <c r="A312" s="295"/>
      <c r="IU312" s="335"/>
      <c r="IV312" s="335"/>
      <c r="IW312" s="335"/>
      <c r="IX312" s="333"/>
      <c r="IY312" s="333"/>
      <c r="IZ312" s="333"/>
      <c r="JA312" s="333"/>
      <c r="JB312" s="333"/>
      <c r="JC312" s="333"/>
      <c r="JS312" s="333"/>
      <c r="JT312" s="333"/>
      <c r="JU312" s="333"/>
    </row>
    <row r="313" spans="1:281">
      <c r="A313" s="295"/>
      <c r="IU313" s="335"/>
      <c r="IV313" s="335"/>
      <c r="IW313" s="335"/>
      <c r="IX313" s="333"/>
      <c r="IY313" s="333"/>
      <c r="IZ313" s="333"/>
      <c r="JA313" s="333"/>
      <c r="JB313" s="333"/>
      <c r="JC313" s="333"/>
      <c r="JS313" s="333"/>
      <c r="JT313" s="333"/>
      <c r="JU313" s="333"/>
    </row>
    <row r="314" spans="1:281">
      <c r="A314" s="295"/>
      <c r="IU314" s="335"/>
      <c r="IV314" s="335"/>
      <c r="IW314" s="335"/>
      <c r="IX314" s="333"/>
      <c r="IY314" s="333"/>
      <c r="IZ314" s="333"/>
      <c r="JA314" s="333"/>
      <c r="JB314" s="333"/>
      <c r="JC314" s="333"/>
      <c r="JS314" s="333"/>
      <c r="JT314" s="333"/>
      <c r="JU314" s="333"/>
    </row>
    <row r="315" spans="1:281">
      <c r="A315" s="295"/>
      <c r="IU315" s="335"/>
      <c r="IV315" s="335"/>
      <c r="IW315" s="335"/>
      <c r="IX315" s="333"/>
      <c r="IY315" s="333"/>
      <c r="IZ315" s="333"/>
      <c r="JA315" s="333"/>
      <c r="JB315" s="333"/>
      <c r="JC315" s="333"/>
      <c r="JS315" s="333"/>
      <c r="JT315" s="333"/>
      <c r="JU315" s="333"/>
    </row>
    <row r="316" spans="1:281">
      <c r="A316" s="295"/>
      <c r="IU316" s="335"/>
      <c r="IV316" s="335"/>
      <c r="IW316" s="335"/>
      <c r="IX316" s="333"/>
      <c r="IY316" s="333"/>
      <c r="IZ316" s="333"/>
      <c r="JA316" s="333"/>
      <c r="JB316" s="333"/>
      <c r="JC316" s="333"/>
      <c r="JS316" s="333"/>
      <c r="JT316" s="333"/>
      <c r="JU316" s="333"/>
    </row>
    <row r="317" spans="1:281">
      <c r="A317" s="295"/>
      <c r="IU317" s="335"/>
      <c r="IV317" s="335"/>
      <c r="IW317" s="335"/>
      <c r="IX317" s="333"/>
      <c r="IY317" s="333"/>
      <c r="IZ317" s="333"/>
      <c r="JA317" s="333"/>
      <c r="JB317" s="333"/>
      <c r="JC317" s="333"/>
      <c r="JS317" s="333"/>
      <c r="JT317" s="333"/>
      <c r="JU317" s="333"/>
    </row>
    <row r="318" spans="1:281">
      <c r="A318" s="295"/>
      <c r="IU318" s="335"/>
      <c r="IV318" s="335"/>
      <c r="IW318" s="335"/>
      <c r="IX318" s="333"/>
      <c r="IY318" s="333"/>
      <c r="IZ318" s="333"/>
      <c r="JA318" s="333"/>
      <c r="JB318" s="333"/>
      <c r="JC318" s="333"/>
      <c r="JS318" s="333"/>
      <c r="JT318" s="333"/>
      <c r="JU318" s="333"/>
    </row>
    <row r="319" spans="1:281">
      <c r="A319" s="295"/>
      <c r="IU319" s="335"/>
      <c r="IV319" s="335"/>
      <c r="IW319" s="335"/>
      <c r="IX319" s="333"/>
      <c r="IY319" s="333"/>
      <c r="IZ319" s="333"/>
      <c r="JA319" s="333"/>
      <c r="JB319" s="333"/>
      <c r="JC319" s="333"/>
      <c r="JS319" s="333"/>
      <c r="JT319" s="333"/>
      <c r="JU319" s="333"/>
    </row>
    <row r="320" spans="1:281">
      <c r="A320" s="295"/>
      <c r="IU320" s="335"/>
      <c r="IV320" s="335"/>
      <c r="IW320" s="335"/>
      <c r="IX320" s="333"/>
      <c r="IY320" s="333"/>
      <c r="IZ320" s="333"/>
      <c r="JA320" s="333"/>
      <c r="JB320" s="333"/>
      <c r="JC320" s="333"/>
      <c r="JS320" s="333"/>
      <c r="JT320" s="333"/>
      <c r="JU320" s="333"/>
    </row>
    <row r="321" spans="1:281">
      <c r="A321" s="295"/>
      <c r="IU321" s="335"/>
      <c r="IV321" s="335"/>
      <c r="IW321" s="335"/>
      <c r="IX321" s="333"/>
      <c r="IY321" s="333"/>
      <c r="IZ321" s="333"/>
      <c r="JA321" s="333"/>
      <c r="JB321" s="333"/>
      <c r="JC321" s="333"/>
      <c r="JS321" s="333"/>
      <c r="JT321" s="333"/>
      <c r="JU321" s="333"/>
    </row>
    <row r="322" spans="1:281">
      <c r="A322" s="295"/>
      <c r="IU322" s="335"/>
      <c r="IV322" s="335"/>
      <c r="IW322" s="335"/>
      <c r="IX322" s="333"/>
      <c r="IY322" s="333"/>
      <c r="IZ322" s="333"/>
      <c r="JA322" s="333"/>
      <c r="JB322" s="333"/>
      <c r="JC322" s="333"/>
      <c r="JS322" s="333"/>
      <c r="JT322" s="333"/>
      <c r="JU322" s="333"/>
    </row>
    <row r="323" spans="1:281">
      <c r="A323" s="295"/>
      <c r="IU323" s="335"/>
      <c r="IV323" s="335"/>
      <c r="IW323" s="335"/>
      <c r="IX323" s="333"/>
      <c r="IY323" s="333"/>
      <c r="IZ323" s="333"/>
      <c r="JA323" s="333"/>
      <c r="JB323" s="333"/>
      <c r="JC323" s="333"/>
      <c r="JS323" s="333"/>
      <c r="JT323" s="333"/>
      <c r="JU323" s="333"/>
    </row>
    <row r="324" spans="1:281">
      <c r="A324" s="295"/>
      <c r="IU324" s="335"/>
      <c r="IV324" s="335"/>
      <c r="IW324" s="335"/>
      <c r="IX324" s="333"/>
      <c r="IY324" s="333"/>
      <c r="IZ324" s="333"/>
      <c r="JA324" s="333"/>
      <c r="JB324" s="333"/>
      <c r="JC324" s="333"/>
      <c r="JS324" s="333"/>
      <c r="JT324" s="333"/>
      <c r="JU324" s="333"/>
    </row>
    <row r="325" spans="1:281">
      <c r="A325" s="295"/>
      <c r="IU325" s="335"/>
      <c r="IV325" s="335"/>
      <c r="IW325" s="335"/>
      <c r="IX325" s="333"/>
      <c r="IY325" s="333"/>
      <c r="IZ325" s="333"/>
      <c r="JA325" s="333"/>
      <c r="JB325" s="333"/>
      <c r="JC325" s="333"/>
      <c r="JS325" s="333"/>
      <c r="JT325" s="333"/>
      <c r="JU325" s="333"/>
    </row>
    <row r="326" spans="1:281">
      <c r="A326" s="295"/>
      <c r="IU326" s="335"/>
      <c r="IV326" s="335"/>
      <c r="IW326" s="335"/>
      <c r="IX326" s="333"/>
      <c r="IY326" s="333"/>
      <c r="IZ326" s="333"/>
      <c r="JA326" s="333"/>
      <c r="JB326" s="333"/>
      <c r="JC326" s="333"/>
      <c r="JS326" s="333"/>
      <c r="JT326" s="333"/>
      <c r="JU326" s="333"/>
    </row>
    <row r="327" spans="1:281">
      <c r="A327" s="295"/>
      <c r="IU327" s="335"/>
      <c r="IV327" s="335"/>
      <c r="IW327" s="335"/>
      <c r="IX327" s="333"/>
      <c r="IY327" s="333"/>
      <c r="IZ327" s="333"/>
      <c r="JA327" s="333"/>
      <c r="JB327" s="333"/>
      <c r="JC327" s="333"/>
      <c r="JS327" s="333"/>
      <c r="JT327" s="333"/>
      <c r="JU327" s="333"/>
    </row>
    <row r="328" spans="1:281">
      <c r="A328" s="295"/>
      <c r="IU328" s="335"/>
      <c r="IV328" s="335"/>
      <c r="IW328" s="335"/>
      <c r="IX328" s="333"/>
      <c r="IY328" s="333"/>
      <c r="IZ328" s="333"/>
      <c r="JA328" s="333"/>
      <c r="JB328" s="333"/>
      <c r="JC328" s="333"/>
      <c r="JS328" s="333"/>
      <c r="JT328" s="333"/>
      <c r="JU328" s="333"/>
    </row>
    <row r="329" spans="1:281">
      <c r="A329" s="295"/>
      <c r="IU329" s="335"/>
      <c r="IV329" s="335"/>
      <c r="IW329" s="335"/>
      <c r="IX329" s="333"/>
      <c r="IY329" s="333"/>
      <c r="IZ329" s="333"/>
      <c r="JA329" s="333"/>
      <c r="JB329" s="333"/>
      <c r="JC329" s="333"/>
      <c r="JS329" s="333"/>
      <c r="JT329" s="333"/>
      <c r="JU329" s="333"/>
    </row>
    <row r="330" spans="1:281">
      <c r="A330" s="295"/>
      <c r="IU330" s="335"/>
      <c r="IV330" s="335"/>
      <c r="IW330" s="335"/>
      <c r="IX330" s="333"/>
      <c r="IY330" s="333"/>
      <c r="IZ330" s="333"/>
      <c r="JA330" s="333"/>
      <c r="JB330" s="333"/>
      <c r="JC330" s="333"/>
      <c r="JS330" s="333"/>
      <c r="JT330" s="333"/>
      <c r="JU330" s="333"/>
    </row>
    <row r="331" spans="1:281">
      <c r="A331" s="295"/>
      <c r="IU331" s="335"/>
      <c r="IV331" s="335"/>
      <c r="IW331" s="335"/>
      <c r="IX331" s="333"/>
      <c r="IY331" s="333"/>
      <c r="IZ331" s="333"/>
      <c r="JA331" s="333"/>
      <c r="JB331" s="333"/>
      <c r="JC331" s="333"/>
      <c r="JS331" s="333"/>
      <c r="JT331" s="333"/>
      <c r="JU331" s="333"/>
    </row>
    <row r="332" spans="1:281">
      <c r="A332" s="295"/>
      <c r="IU332" s="335"/>
      <c r="IV332" s="335"/>
      <c r="IW332" s="335"/>
      <c r="IX332" s="333"/>
      <c r="IY332" s="333"/>
      <c r="IZ332" s="333"/>
      <c r="JA332" s="333"/>
      <c r="JB332" s="333"/>
      <c r="JC332" s="333"/>
      <c r="JS332" s="333"/>
      <c r="JT332" s="333"/>
      <c r="JU332" s="333"/>
    </row>
    <row r="333" spans="1:281">
      <c r="A333" s="295"/>
      <c r="IU333" s="335"/>
      <c r="IV333" s="335"/>
      <c r="IW333" s="335"/>
      <c r="IX333" s="333"/>
      <c r="IY333" s="333"/>
      <c r="IZ333" s="333"/>
      <c r="JA333" s="333"/>
      <c r="JB333" s="333"/>
      <c r="JC333" s="333"/>
      <c r="JS333" s="333"/>
      <c r="JT333" s="333"/>
      <c r="JU333" s="333"/>
    </row>
    <row r="334" spans="1:281">
      <c r="A334" s="295"/>
      <c r="IU334" s="335"/>
      <c r="IV334" s="335"/>
      <c r="IW334" s="335"/>
      <c r="IX334" s="333"/>
      <c r="IY334" s="333"/>
      <c r="IZ334" s="333"/>
      <c r="JA334" s="333"/>
      <c r="JB334" s="333"/>
      <c r="JC334" s="333"/>
      <c r="JS334" s="333"/>
      <c r="JT334" s="333"/>
      <c r="JU334" s="333"/>
    </row>
    <row r="335" spans="1:281">
      <c r="A335" s="295"/>
      <c r="IU335" s="335"/>
      <c r="IV335" s="335"/>
      <c r="IW335" s="335"/>
      <c r="IX335" s="333"/>
      <c r="IY335" s="333"/>
      <c r="IZ335" s="333"/>
      <c r="JA335" s="333"/>
      <c r="JB335" s="333"/>
      <c r="JC335" s="333"/>
      <c r="JS335" s="333"/>
      <c r="JT335" s="333"/>
      <c r="JU335" s="333"/>
    </row>
    <row r="336" spans="1:281">
      <c r="A336" s="295"/>
      <c r="IU336" s="335"/>
      <c r="IV336" s="335"/>
      <c r="IW336" s="335"/>
      <c r="IX336" s="333"/>
      <c r="IY336" s="333"/>
      <c r="IZ336" s="333"/>
      <c r="JA336" s="333"/>
      <c r="JB336" s="333"/>
      <c r="JC336" s="333"/>
      <c r="JS336" s="333"/>
      <c r="JT336" s="333"/>
      <c r="JU336" s="333"/>
    </row>
    <row r="337" spans="1:281">
      <c r="A337" s="295"/>
      <c r="IU337" s="335"/>
      <c r="IV337" s="335"/>
      <c r="IW337" s="335"/>
      <c r="IX337" s="333"/>
      <c r="IY337" s="333"/>
      <c r="IZ337" s="333"/>
      <c r="JA337" s="333"/>
      <c r="JB337" s="333"/>
      <c r="JC337" s="333"/>
      <c r="JS337" s="333"/>
      <c r="JT337" s="333"/>
      <c r="JU337" s="333"/>
    </row>
    <row r="338" spans="1:281">
      <c r="A338" s="295"/>
      <c r="IU338" s="335"/>
      <c r="IV338" s="335"/>
      <c r="IW338" s="335"/>
      <c r="IX338" s="333"/>
      <c r="IY338" s="333"/>
      <c r="IZ338" s="333"/>
      <c r="JA338" s="333"/>
      <c r="JB338" s="333"/>
      <c r="JC338" s="333"/>
      <c r="JS338" s="333"/>
      <c r="JT338" s="333"/>
      <c r="JU338" s="333"/>
    </row>
    <row r="339" spans="1:281">
      <c r="A339" s="295"/>
      <c r="IU339" s="335"/>
      <c r="IV339" s="335"/>
      <c r="IW339" s="335"/>
      <c r="IX339" s="333"/>
      <c r="IY339" s="333"/>
      <c r="IZ339" s="333"/>
      <c r="JA339" s="333"/>
      <c r="JB339" s="333"/>
      <c r="JC339" s="333"/>
      <c r="JS339" s="333"/>
      <c r="JT339" s="333"/>
      <c r="JU339" s="333"/>
    </row>
    <row r="340" spans="1:281">
      <c r="A340" s="295"/>
      <c r="IU340" s="335"/>
      <c r="IV340" s="335"/>
      <c r="IW340" s="335"/>
      <c r="IX340" s="333"/>
      <c r="IY340" s="333"/>
      <c r="IZ340" s="333"/>
      <c r="JA340" s="333"/>
      <c r="JB340" s="333"/>
      <c r="JC340" s="333"/>
      <c r="JS340" s="333"/>
      <c r="JT340" s="333"/>
      <c r="JU340" s="333"/>
    </row>
    <row r="341" spans="1:281">
      <c r="A341" s="295"/>
      <c r="IU341" s="335"/>
      <c r="IV341" s="335"/>
      <c r="IW341" s="335"/>
      <c r="IX341" s="333"/>
      <c r="IY341" s="333"/>
      <c r="IZ341" s="333"/>
      <c r="JA341" s="333"/>
      <c r="JB341" s="333"/>
      <c r="JC341" s="333"/>
      <c r="JS341" s="333"/>
      <c r="JT341" s="333"/>
      <c r="JU341" s="333"/>
    </row>
    <row r="342" spans="1:281">
      <c r="A342" s="295"/>
      <c r="IU342" s="335"/>
      <c r="IV342" s="335"/>
      <c r="IW342" s="335"/>
      <c r="IX342" s="333"/>
      <c r="IY342" s="333"/>
      <c r="IZ342" s="333"/>
      <c r="JA342" s="333"/>
      <c r="JB342" s="333"/>
      <c r="JC342" s="333"/>
      <c r="JS342" s="333"/>
      <c r="JT342" s="333"/>
      <c r="JU342" s="333"/>
    </row>
    <row r="343" spans="1:281">
      <c r="A343" s="295"/>
      <c r="IU343" s="335"/>
      <c r="IV343" s="335"/>
      <c r="IW343" s="335"/>
      <c r="IX343" s="333"/>
      <c r="IY343" s="333"/>
      <c r="IZ343" s="333"/>
      <c r="JA343" s="333"/>
      <c r="JB343" s="333"/>
      <c r="JC343" s="333"/>
      <c r="JS343" s="333"/>
      <c r="JT343" s="333"/>
      <c r="JU343" s="333"/>
    </row>
    <row r="344" spans="1:281">
      <c r="A344" s="295"/>
      <c r="IU344" s="335"/>
      <c r="IV344" s="335"/>
      <c r="IW344" s="335"/>
      <c r="IX344" s="333"/>
      <c r="IY344" s="333"/>
      <c r="IZ344" s="333"/>
      <c r="JA344" s="333"/>
      <c r="JB344" s="333"/>
      <c r="JC344" s="333"/>
      <c r="JS344" s="333"/>
      <c r="JT344" s="333"/>
      <c r="JU344" s="333"/>
    </row>
    <row r="345" spans="1:281">
      <c r="A345" s="295"/>
      <c r="IU345" s="335"/>
      <c r="IV345" s="335"/>
      <c r="IW345" s="335"/>
      <c r="IX345" s="333"/>
      <c r="IY345" s="333"/>
      <c r="IZ345" s="333"/>
      <c r="JA345" s="333"/>
      <c r="JB345" s="333"/>
      <c r="JC345" s="333"/>
      <c r="JS345" s="333"/>
      <c r="JT345" s="333"/>
      <c r="JU345" s="333"/>
    </row>
    <row r="346" spans="1:281">
      <c r="A346" s="295"/>
      <c r="IU346" s="335"/>
      <c r="IV346" s="335"/>
      <c r="IW346" s="335"/>
      <c r="IX346" s="333"/>
      <c r="IY346" s="333"/>
      <c r="IZ346" s="333"/>
      <c r="JA346" s="333"/>
      <c r="JB346" s="333"/>
      <c r="JC346" s="333"/>
      <c r="JS346" s="333"/>
      <c r="JT346" s="333"/>
      <c r="JU346" s="333"/>
    </row>
    <row r="347" spans="1:281">
      <c r="A347" s="295"/>
      <c r="IU347" s="335"/>
      <c r="IV347" s="335"/>
      <c r="IW347" s="335"/>
      <c r="IX347" s="333"/>
      <c r="IY347" s="333"/>
      <c r="IZ347" s="333"/>
      <c r="JA347" s="333"/>
      <c r="JB347" s="333"/>
      <c r="JC347" s="333"/>
      <c r="JS347" s="333"/>
      <c r="JT347" s="333"/>
      <c r="JU347" s="333"/>
    </row>
    <row r="348" spans="1:281">
      <c r="A348" s="295"/>
      <c r="IU348" s="335"/>
      <c r="IV348" s="335"/>
      <c r="IW348" s="335"/>
      <c r="IX348" s="333"/>
      <c r="IY348" s="333"/>
      <c r="IZ348" s="333"/>
      <c r="JA348" s="333"/>
      <c r="JB348" s="333"/>
      <c r="JC348" s="333"/>
      <c r="JS348" s="333"/>
      <c r="JT348" s="333"/>
      <c r="JU348" s="333"/>
    </row>
    <row r="349" spans="1:281">
      <c r="A349" s="295"/>
      <c r="IU349" s="335"/>
      <c r="IV349" s="335"/>
      <c r="IW349" s="335"/>
      <c r="IX349" s="333"/>
      <c r="IY349" s="333"/>
      <c r="IZ349" s="333"/>
      <c r="JA349" s="333"/>
      <c r="JB349" s="333"/>
      <c r="JC349" s="333"/>
      <c r="JS349" s="333"/>
      <c r="JT349" s="333"/>
      <c r="JU349" s="333"/>
    </row>
    <row r="350" spans="1:281">
      <c r="A350" s="295"/>
      <c r="IU350" s="335"/>
      <c r="IV350" s="335"/>
      <c r="IW350" s="335"/>
      <c r="JA350" s="333"/>
      <c r="JB350" s="333"/>
      <c r="JC350" s="333"/>
      <c r="JS350" s="333"/>
      <c r="JT350" s="333"/>
      <c r="JU350" s="333"/>
    </row>
    <row r="351" spans="1:281">
      <c r="A351" s="295"/>
      <c r="IU351" s="335"/>
      <c r="IV351" s="335"/>
      <c r="IW351" s="335"/>
      <c r="JA351" s="333"/>
      <c r="JB351" s="333"/>
      <c r="JC351" s="333"/>
      <c r="JS351" s="333"/>
      <c r="JT351" s="333"/>
      <c r="JU351" s="333"/>
    </row>
    <row r="352" spans="1:281">
      <c r="A352" s="295"/>
      <c r="IU352" s="335"/>
      <c r="IV352" s="335"/>
      <c r="IW352" s="335"/>
      <c r="JA352" s="333"/>
      <c r="JB352" s="333"/>
      <c r="JC352" s="333"/>
      <c r="JS352" s="333"/>
      <c r="JT352" s="333"/>
      <c r="JU352" s="333"/>
    </row>
    <row r="353" spans="1:281">
      <c r="A353" s="295"/>
      <c r="IU353" s="335"/>
      <c r="IV353" s="335"/>
      <c r="IW353" s="335"/>
      <c r="JA353" s="333"/>
      <c r="JB353" s="333"/>
      <c r="JC353" s="333"/>
      <c r="JS353" s="333"/>
      <c r="JT353" s="333"/>
      <c r="JU353" s="333"/>
    </row>
    <row r="354" spans="1:281">
      <c r="A354" s="295"/>
      <c r="IU354" s="335"/>
      <c r="IV354" s="335"/>
      <c r="IW354" s="335"/>
      <c r="JA354" s="333"/>
      <c r="JB354" s="333"/>
      <c r="JC354" s="333"/>
      <c r="JS354" s="333"/>
      <c r="JT354" s="333"/>
      <c r="JU354" s="333"/>
    </row>
    <row r="355" spans="1:281">
      <c r="A355" s="295"/>
      <c r="IU355" s="335"/>
      <c r="IV355" s="335"/>
      <c r="IW355" s="335"/>
      <c r="JA355" s="333"/>
      <c r="JB355" s="333"/>
      <c r="JC355" s="333"/>
      <c r="JS355" s="333"/>
      <c r="JT355" s="333"/>
      <c r="JU355" s="333"/>
    </row>
    <row r="356" spans="1:281">
      <c r="A356" s="295"/>
      <c r="IU356" s="335"/>
      <c r="IV356" s="335"/>
      <c r="IW356" s="335"/>
      <c r="JA356" s="333"/>
      <c r="JB356" s="333"/>
      <c r="JC356" s="333"/>
      <c r="JS356" s="333"/>
      <c r="JT356" s="333"/>
      <c r="JU356" s="333"/>
    </row>
    <row r="357" spans="1:281">
      <c r="A357" s="295"/>
      <c r="IU357" s="335"/>
      <c r="IV357" s="335"/>
      <c r="IW357" s="335"/>
      <c r="JA357" s="333"/>
      <c r="JB357" s="333"/>
      <c r="JC357" s="333"/>
      <c r="JS357" s="333"/>
      <c r="JT357" s="333"/>
      <c r="JU357" s="333"/>
    </row>
    <row r="358" spans="1:281">
      <c r="A358" s="295"/>
      <c r="IU358" s="335"/>
      <c r="IV358" s="335"/>
      <c r="IW358" s="335"/>
      <c r="JA358" s="333"/>
      <c r="JB358" s="333"/>
      <c r="JC358" s="333"/>
      <c r="JS358" s="333"/>
      <c r="JT358" s="333"/>
      <c r="JU358" s="333"/>
    </row>
    <row r="359" spans="1:281">
      <c r="A359" s="295"/>
      <c r="IU359" s="335"/>
      <c r="IV359" s="335"/>
      <c r="IW359" s="335"/>
      <c r="JA359" s="333"/>
      <c r="JB359" s="333"/>
      <c r="JC359" s="333"/>
      <c r="JS359" s="333"/>
      <c r="JT359" s="333"/>
      <c r="JU359" s="333"/>
    </row>
    <row r="360" spans="1:281">
      <c r="A360" s="295"/>
      <c r="IU360" s="335"/>
      <c r="IV360" s="335"/>
      <c r="IW360" s="335"/>
      <c r="JA360" s="333"/>
      <c r="JB360" s="333"/>
      <c r="JC360" s="333"/>
      <c r="JS360" s="333"/>
      <c r="JT360" s="333"/>
      <c r="JU360" s="333"/>
    </row>
    <row r="361" spans="1:281">
      <c r="A361" s="295"/>
      <c r="IU361" s="335"/>
      <c r="IV361" s="335"/>
      <c r="IW361" s="335"/>
      <c r="JA361" s="333"/>
      <c r="JB361" s="333"/>
      <c r="JC361" s="333"/>
      <c r="JS361" s="333"/>
      <c r="JT361" s="333"/>
      <c r="JU361" s="333"/>
    </row>
    <row r="362" spans="1:281">
      <c r="A362" s="295"/>
      <c r="IU362" s="335"/>
      <c r="IV362" s="335"/>
      <c r="IW362" s="335"/>
      <c r="JA362" s="333"/>
      <c r="JB362" s="333"/>
      <c r="JC362" s="333"/>
      <c r="JS362" s="333"/>
      <c r="JT362" s="333"/>
      <c r="JU362" s="333"/>
    </row>
    <row r="363" spans="1:281">
      <c r="A363" s="295"/>
      <c r="IU363" s="335"/>
      <c r="IV363" s="335"/>
      <c r="IW363" s="335"/>
      <c r="JA363" s="333"/>
      <c r="JB363" s="333"/>
      <c r="JC363" s="333"/>
      <c r="JS363" s="333"/>
      <c r="JT363" s="333"/>
      <c r="JU363" s="333"/>
    </row>
    <row r="364" spans="1:281">
      <c r="A364" s="295"/>
      <c r="IU364" s="335"/>
      <c r="IV364" s="335"/>
      <c r="IW364" s="335"/>
      <c r="JA364" s="333"/>
      <c r="JB364" s="333"/>
      <c r="JC364" s="333"/>
      <c r="JS364" s="333"/>
      <c r="JT364" s="333"/>
      <c r="JU364" s="333"/>
    </row>
    <row r="365" spans="1:281">
      <c r="A365" s="295"/>
      <c r="IU365" s="335"/>
      <c r="IV365" s="335"/>
      <c r="IW365" s="335"/>
      <c r="JA365" s="333"/>
      <c r="JB365" s="333"/>
      <c r="JC365" s="333"/>
      <c r="JS365" s="333"/>
      <c r="JT365" s="333"/>
      <c r="JU365" s="333"/>
    </row>
    <row r="366" spans="1:281">
      <c r="A366" s="295"/>
      <c r="IU366" s="335"/>
      <c r="IV366" s="335"/>
      <c r="IW366" s="335"/>
      <c r="JA366" s="333"/>
      <c r="JB366" s="333"/>
      <c r="JC366" s="333"/>
      <c r="JS366" s="333"/>
      <c r="JT366" s="333"/>
      <c r="JU366" s="333"/>
    </row>
    <row r="367" spans="1:281">
      <c r="A367" s="295"/>
      <c r="IU367" s="335"/>
      <c r="IV367" s="335"/>
      <c r="IW367" s="335"/>
      <c r="JA367" s="333"/>
      <c r="JB367" s="333"/>
      <c r="JC367" s="333"/>
      <c r="JS367" s="333"/>
      <c r="JT367" s="333"/>
      <c r="JU367" s="333"/>
    </row>
    <row r="368" spans="1:281">
      <c r="A368" s="295"/>
      <c r="IU368" s="335"/>
      <c r="IV368" s="335"/>
      <c r="IW368" s="335"/>
      <c r="JA368" s="333"/>
      <c r="JB368" s="333"/>
      <c r="JC368" s="333"/>
      <c r="JS368" s="333"/>
      <c r="JT368" s="333"/>
      <c r="JU368" s="333"/>
    </row>
    <row r="369" spans="1:281">
      <c r="A369" s="295"/>
      <c r="IU369" s="335"/>
      <c r="IV369" s="335"/>
      <c r="IW369" s="335"/>
      <c r="JA369" s="333"/>
      <c r="JB369" s="333"/>
      <c r="JC369" s="333"/>
      <c r="JS369" s="333"/>
      <c r="JT369" s="333"/>
      <c r="JU369" s="333"/>
    </row>
    <row r="370" spans="1:281">
      <c r="A370" s="295"/>
      <c r="IU370" s="335"/>
      <c r="IV370" s="335"/>
      <c r="IW370" s="335"/>
      <c r="JA370" s="333"/>
      <c r="JB370" s="333"/>
      <c r="JC370" s="333"/>
      <c r="JS370" s="333"/>
      <c r="JT370" s="333"/>
      <c r="JU370" s="333"/>
    </row>
    <row r="371" spans="1:281">
      <c r="A371" s="295"/>
      <c r="IU371" s="335"/>
      <c r="IV371" s="335"/>
      <c r="IW371" s="335"/>
      <c r="JA371" s="333"/>
      <c r="JB371" s="333"/>
      <c r="JC371" s="333"/>
      <c r="JS371" s="333"/>
      <c r="JT371" s="333"/>
      <c r="JU371" s="333"/>
    </row>
    <row r="372" spans="1:281">
      <c r="A372" s="295"/>
      <c r="IU372" s="335"/>
      <c r="IV372" s="335"/>
      <c r="IW372" s="335"/>
      <c r="JA372" s="333"/>
      <c r="JB372" s="333"/>
      <c r="JC372" s="333"/>
      <c r="JS372" s="333"/>
      <c r="JT372" s="333"/>
      <c r="JU372" s="333"/>
    </row>
    <row r="373" spans="1:281">
      <c r="A373" s="295"/>
      <c r="IU373" s="335"/>
      <c r="IV373" s="335"/>
      <c r="IW373" s="335"/>
      <c r="JA373" s="333"/>
      <c r="JB373" s="333"/>
      <c r="JC373" s="333"/>
      <c r="JS373" s="333"/>
      <c r="JT373" s="333"/>
      <c r="JU373" s="333"/>
    </row>
    <row r="374" spans="1:281">
      <c r="A374" s="295"/>
      <c r="IU374" s="335"/>
      <c r="IV374" s="335"/>
      <c r="IW374" s="335"/>
      <c r="JA374" s="333"/>
      <c r="JB374" s="333"/>
      <c r="JC374" s="333"/>
      <c r="JS374" s="333"/>
      <c r="JT374" s="333"/>
      <c r="JU374" s="333"/>
    </row>
    <row r="375" spans="1:281">
      <c r="A375" s="295"/>
      <c r="IU375" s="335"/>
      <c r="IV375" s="335"/>
      <c r="IW375" s="335"/>
      <c r="JA375" s="333"/>
      <c r="JB375" s="333"/>
      <c r="JC375" s="333"/>
      <c r="JS375" s="333"/>
      <c r="JT375" s="333"/>
      <c r="JU375" s="333"/>
    </row>
    <row r="376" spans="1:281">
      <c r="A376" s="295"/>
      <c r="IU376" s="335"/>
      <c r="IV376" s="335"/>
      <c r="IW376" s="335"/>
      <c r="JA376" s="333"/>
      <c r="JB376" s="333"/>
      <c r="JC376" s="333"/>
      <c r="JS376" s="333"/>
      <c r="JT376" s="333"/>
      <c r="JU376" s="333"/>
    </row>
    <row r="377" spans="1:281">
      <c r="A377" s="295"/>
      <c r="IU377" s="335"/>
      <c r="IV377" s="335"/>
      <c r="IW377" s="335"/>
      <c r="JA377" s="333"/>
      <c r="JB377" s="333"/>
      <c r="JC377" s="333"/>
      <c r="JS377" s="333"/>
      <c r="JT377" s="333"/>
      <c r="JU377" s="333"/>
    </row>
    <row r="378" spans="1:281">
      <c r="A378" s="295"/>
      <c r="IU378" s="335"/>
      <c r="IV378" s="335"/>
      <c r="IW378" s="335"/>
      <c r="JA378" s="333"/>
      <c r="JB378" s="333"/>
      <c r="JC378" s="333"/>
      <c r="JS378" s="333"/>
      <c r="JT378" s="333"/>
      <c r="JU378" s="333"/>
    </row>
    <row r="379" spans="1:281">
      <c r="A379" s="295"/>
      <c r="IU379" s="335"/>
      <c r="IV379" s="335"/>
      <c r="IW379" s="335"/>
      <c r="JA379" s="333"/>
      <c r="JB379" s="333"/>
      <c r="JC379" s="333"/>
      <c r="JS379" s="333"/>
      <c r="JT379" s="333"/>
      <c r="JU379" s="333"/>
    </row>
    <row r="380" spans="1:281">
      <c r="A380" s="295"/>
      <c r="IU380" s="335"/>
      <c r="IV380" s="335"/>
      <c r="IW380" s="335"/>
      <c r="JA380" s="333"/>
      <c r="JB380" s="333"/>
      <c r="JC380" s="333"/>
      <c r="JS380" s="333"/>
      <c r="JT380" s="333"/>
      <c r="JU380" s="333"/>
    </row>
    <row r="381" spans="1:281">
      <c r="A381" s="295"/>
      <c r="IU381" s="335"/>
      <c r="IV381" s="335"/>
      <c r="IW381" s="335"/>
      <c r="JA381" s="333"/>
      <c r="JB381" s="333"/>
      <c r="JC381" s="333"/>
      <c r="JS381" s="333"/>
      <c r="JT381" s="333"/>
      <c r="JU381" s="333"/>
    </row>
    <row r="382" spans="1:281">
      <c r="A382" s="295"/>
      <c r="IU382" s="335"/>
      <c r="IV382" s="335"/>
      <c r="IW382" s="335"/>
      <c r="JA382" s="333"/>
      <c r="JB382" s="333"/>
      <c r="JC382" s="333"/>
      <c r="JS382" s="333"/>
      <c r="JT382" s="333"/>
      <c r="JU382" s="333"/>
    </row>
    <row r="383" spans="1:281">
      <c r="A383" s="295"/>
      <c r="IU383" s="335"/>
      <c r="IV383" s="335"/>
      <c r="IW383" s="335"/>
      <c r="JA383" s="333"/>
      <c r="JB383" s="333"/>
      <c r="JC383" s="333"/>
      <c r="JS383" s="333"/>
      <c r="JT383" s="333"/>
      <c r="JU383" s="333"/>
    </row>
    <row r="384" spans="1:281">
      <c r="A384" s="295"/>
      <c r="IU384" s="335"/>
      <c r="IV384" s="335"/>
      <c r="IW384" s="335"/>
      <c r="JA384" s="333"/>
      <c r="JB384" s="333"/>
      <c r="JC384" s="333"/>
      <c r="JS384" s="333"/>
      <c r="JT384" s="333"/>
      <c r="JU384" s="333"/>
    </row>
    <row r="385" spans="1:281">
      <c r="A385" s="295"/>
      <c r="IU385" s="335"/>
      <c r="IV385" s="335"/>
      <c r="IW385" s="335"/>
      <c r="JA385" s="333"/>
      <c r="JB385" s="333"/>
      <c r="JC385" s="333"/>
      <c r="JS385" s="333"/>
      <c r="JT385" s="333"/>
      <c r="JU385" s="333"/>
    </row>
    <row r="386" spans="1:281">
      <c r="A386" s="295"/>
      <c r="IU386" s="335"/>
      <c r="IV386" s="335"/>
      <c r="IW386" s="335"/>
      <c r="JS386" s="333"/>
      <c r="JT386" s="333"/>
      <c r="JU386" s="333"/>
    </row>
    <row r="387" spans="1:281">
      <c r="A387" s="295"/>
      <c r="IU387" s="335"/>
      <c r="IV387" s="335"/>
      <c r="IW387" s="335"/>
      <c r="JS387" s="333"/>
      <c r="JT387" s="333"/>
      <c r="JU387" s="333"/>
    </row>
    <row r="388" spans="1:281">
      <c r="A388" s="295"/>
      <c r="IU388" s="335"/>
      <c r="IV388" s="335"/>
      <c r="IW388" s="335"/>
      <c r="JS388" s="333"/>
      <c r="JT388" s="333"/>
      <c r="JU388" s="333"/>
    </row>
    <row r="389" spans="1:281">
      <c r="A389" s="295"/>
      <c r="IU389" s="335"/>
      <c r="IV389" s="335"/>
      <c r="IW389" s="335"/>
      <c r="JS389" s="333"/>
      <c r="JT389" s="333"/>
      <c r="JU389" s="333"/>
    </row>
    <row r="390" spans="1:281">
      <c r="A390" s="295"/>
      <c r="IU390" s="335"/>
      <c r="IV390" s="335"/>
      <c r="IW390" s="335"/>
      <c r="JS390" s="333"/>
      <c r="JT390" s="333"/>
      <c r="JU390" s="333"/>
    </row>
    <row r="391" spans="1:281">
      <c r="A391" s="295"/>
      <c r="IU391" s="335"/>
      <c r="IV391" s="335"/>
      <c r="IW391" s="335"/>
      <c r="JS391" s="333"/>
      <c r="JT391" s="333"/>
      <c r="JU391" s="333"/>
    </row>
    <row r="392" spans="1:281">
      <c r="A392" s="295"/>
      <c r="IU392" s="335"/>
      <c r="IV392" s="335"/>
      <c r="IW392" s="335"/>
      <c r="JS392" s="333"/>
      <c r="JT392" s="333"/>
      <c r="JU392" s="333"/>
    </row>
    <row r="393" spans="1:281">
      <c r="A393" s="295"/>
      <c r="IU393" s="335"/>
      <c r="IV393" s="335"/>
      <c r="IW393" s="335"/>
      <c r="JS393" s="333"/>
      <c r="JT393" s="333"/>
      <c r="JU393" s="333"/>
    </row>
    <row r="394" spans="1:281">
      <c r="A394" s="295"/>
      <c r="IU394" s="335"/>
      <c r="IV394" s="335"/>
      <c r="IW394" s="335"/>
      <c r="JS394" s="333"/>
      <c r="JT394" s="333"/>
      <c r="JU394" s="333"/>
    </row>
    <row r="395" spans="1:281">
      <c r="A395" s="295"/>
      <c r="IU395" s="335"/>
      <c r="IV395" s="335"/>
      <c r="IW395" s="335"/>
      <c r="JS395" s="333"/>
      <c r="JT395" s="333"/>
      <c r="JU395" s="333"/>
    </row>
    <row r="396" spans="1:281">
      <c r="A396" s="295"/>
      <c r="IU396" s="335"/>
      <c r="IV396" s="335"/>
      <c r="IW396" s="335"/>
      <c r="JS396" s="333"/>
      <c r="JT396" s="333"/>
      <c r="JU396" s="333"/>
    </row>
    <row r="397" spans="1:281">
      <c r="A397" s="295"/>
      <c r="IU397" s="335"/>
      <c r="IV397" s="335"/>
      <c r="IW397" s="335"/>
      <c r="JS397" s="333"/>
      <c r="JT397" s="333"/>
      <c r="JU397" s="333"/>
    </row>
    <row r="398" spans="1:281">
      <c r="A398" s="295"/>
      <c r="IU398" s="335"/>
      <c r="IV398" s="335"/>
      <c r="IW398" s="335"/>
      <c r="JS398" s="333"/>
      <c r="JT398" s="333"/>
      <c r="JU398" s="333"/>
    </row>
    <row r="399" spans="1:281">
      <c r="A399" s="295"/>
      <c r="IU399" s="335"/>
      <c r="IV399" s="335"/>
      <c r="IW399" s="335"/>
      <c r="JS399" s="333"/>
      <c r="JT399" s="333"/>
      <c r="JU399" s="333"/>
    </row>
    <row r="400" spans="1:281">
      <c r="A400" s="295"/>
      <c r="IU400" s="335"/>
      <c r="IV400" s="335"/>
      <c r="IW400" s="335"/>
      <c r="JS400" s="333"/>
      <c r="JT400" s="333"/>
      <c r="JU400" s="333"/>
    </row>
    <row r="401" spans="1:281">
      <c r="A401" s="295"/>
      <c r="IU401" s="335"/>
      <c r="IV401" s="335"/>
      <c r="IW401" s="335"/>
      <c r="JS401" s="333"/>
      <c r="JT401" s="333"/>
      <c r="JU401" s="333"/>
    </row>
    <row r="402" spans="1:281">
      <c r="A402" s="295"/>
      <c r="IU402" s="335"/>
      <c r="IV402" s="335"/>
      <c r="IW402" s="335"/>
      <c r="JS402" s="333"/>
      <c r="JT402" s="333"/>
      <c r="JU402" s="333"/>
    </row>
    <row r="403" spans="1:281">
      <c r="A403" s="295"/>
      <c r="IU403" s="335"/>
      <c r="IV403" s="335"/>
      <c r="IW403" s="335"/>
      <c r="JS403" s="333"/>
      <c r="JT403" s="333"/>
      <c r="JU403" s="333"/>
    </row>
    <row r="404" spans="1:281">
      <c r="A404" s="295"/>
      <c r="IU404" s="335"/>
      <c r="IV404" s="335"/>
      <c r="IW404" s="335"/>
      <c r="JS404" s="333"/>
      <c r="JT404" s="333"/>
      <c r="JU404" s="333"/>
    </row>
    <row r="405" spans="1:281">
      <c r="A405" s="295"/>
      <c r="IU405" s="335"/>
      <c r="IV405" s="335"/>
      <c r="IW405" s="335"/>
      <c r="JS405" s="333"/>
      <c r="JT405" s="333"/>
      <c r="JU405" s="333"/>
    </row>
    <row r="406" spans="1:281">
      <c r="A406" s="295"/>
      <c r="IU406" s="335"/>
      <c r="IV406" s="335"/>
      <c r="IW406" s="335"/>
      <c r="JS406" s="333"/>
      <c r="JT406" s="333"/>
      <c r="JU406" s="333"/>
    </row>
    <row r="407" spans="1:281">
      <c r="A407" s="295"/>
      <c r="IU407" s="335"/>
      <c r="IV407" s="335"/>
      <c r="IW407" s="335"/>
      <c r="JS407" s="333"/>
      <c r="JT407" s="333"/>
      <c r="JU407" s="333"/>
    </row>
    <row r="408" spans="1:281">
      <c r="A408" s="295"/>
      <c r="IU408" s="335"/>
      <c r="IV408" s="335"/>
      <c r="IW408" s="335"/>
      <c r="JS408" s="333"/>
      <c r="JT408" s="333"/>
      <c r="JU408" s="333"/>
    </row>
    <row r="409" spans="1:281">
      <c r="A409" s="295"/>
      <c r="IU409" s="335"/>
      <c r="IV409" s="335"/>
      <c r="IW409" s="335"/>
      <c r="JS409" s="333"/>
      <c r="JT409" s="333"/>
      <c r="JU409" s="333"/>
    </row>
    <row r="410" spans="1:281">
      <c r="A410" s="295"/>
      <c r="IU410" s="335"/>
      <c r="IV410" s="335"/>
      <c r="IW410" s="335"/>
      <c r="JS410" s="333"/>
      <c r="JT410" s="333"/>
      <c r="JU410" s="333"/>
    </row>
    <row r="411" spans="1:281">
      <c r="A411" s="295"/>
      <c r="IU411" s="335"/>
      <c r="IV411" s="335"/>
      <c r="IW411" s="335"/>
      <c r="JS411" s="333"/>
      <c r="JT411" s="333"/>
      <c r="JU411" s="333"/>
    </row>
    <row r="412" spans="1:281">
      <c r="A412" s="295"/>
      <c r="IU412" s="335"/>
      <c r="IV412" s="335"/>
      <c r="IW412" s="335"/>
      <c r="JS412" s="333"/>
      <c r="JT412" s="333"/>
      <c r="JU412" s="333"/>
    </row>
    <row r="413" spans="1:281">
      <c r="A413" s="295"/>
      <c r="IU413" s="335"/>
      <c r="IV413" s="335"/>
      <c r="IW413" s="335"/>
      <c r="JS413" s="333"/>
      <c r="JT413" s="333"/>
      <c r="JU413" s="333"/>
    </row>
    <row r="414" spans="1:281">
      <c r="A414" s="295"/>
      <c r="IU414" s="335"/>
      <c r="IV414" s="335"/>
      <c r="IW414" s="335"/>
      <c r="JS414" s="333"/>
      <c r="JT414" s="333"/>
      <c r="JU414" s="333"/>
    </row>
    <row r="415" spans="1:281">
      <c r="A415" s="295"/>
      <c r="IU415" s="335"/>
      <c r="IV415" s="335"/>
      <c r="IW415" s="335"/>
      <c r="JS415" s="333"/>
      <c r="JT415" s="333"/>
      <c r="JU415" s="333"/>
    </row>
    <row r="416" spans="1:281">
      <c r="A416" s="295"/>
      <c r="IU416" s="335"/>
      <c r="IV416" s="335"/>
      <c r="IW416" s="335"/>
      <c r="JS416" s="333"/>
      <c r="JT416" s="333"/>
      <c r="JU416" s="333"/>
    </row>
    <row r="417" spans="1:281">
      <c r="A417" s="295"/>
      <c r="IU417" s="335"/>
      <c r="IV417" s="335"/>
      <c r="IW417" s="335"/>
      <c r="JS417" s="333"/>
      <c r="JT417" s="333"/>
      <c r="JU417" s="333"/>
    </row>
    <row r="418" spans="1:281">
      <c r="A418" s="295"/>
      <c r="IU418" s="335"/>
      <c r="IV418" s="335"/>
      <c r="IW418" s="335"/>
      <c r="JS418" s="333"/>
      <c r="JT418" s="333"/>
      <c r="JU418" s="333"/>
    </row>
    <row r="419" spans="1:281">
      <c r="A419" s="295"/>
      <c r="IU419" s="335"/>
      <c r="IV419" s="335"/>
      <c r="IW419" s="335"/>
      <c r="JS419" s="333"/>
      <c r="JT419" s="333"/>
      <c r="JU419" s="333"/>
    </row>
    <row r="420" spans="1:281">
      <c r="A420" s="295"/>
      <c r="IU420" s="335"/>
      <c r="IV420" s="335"/>
      <c r="IW420" s="335"/>
      <c r="JS420" s="333"/>
      <c r="JT420" s="333"/>
      <c r="JU420" s="333"/>
    </row>
    <row r="421" spans="1:281">
      <c r="A421" s="295"/>
      <c r="IU421" s="335"/>
      <c r="IV421" s="335"/>
      <c r="IW421" s="335"/>
      <c r="JS421" s="333"/>
      <c r="JT421" s="333"/>
      <c r="JU421" s="333"/>
    </row>
    <row r="422" spans="1:281">
      <c r="A422" s="295"/>
      <c r="IU422" s="335"/>
      <c r="IV422" s="335"/>
      <c r="IW422" s="335"/>
      <c r="JS422" s="333"/>
      <c r="JT422" s="333"/>
      <c r="JU422" s="333"/>
    </row>
    <row r="423" spans="1:281">
      <c r="A423" s="295"/>
      <c r="IU423" s="335"/>
      <c r="IV423" s="335"/>
      <c r="IW423" s="335"/>
      <c r="JS423" s="333"/>
      <c r="JT423" s="333"/>
      <c r="JU423" s="333"/>
    </row>
    <row r="424" spans="1:281">
      <c r="A424" s="295"/>
      <c r="IU424" s="335"/>
      <c r="IV424" s="335"/>
      <c r="IW424" s="335"/>
      <c r="JS424" s="333"/>
      <c r="JT424" s="333"/>
      <c r="JU424" s="333"/>
    </row>
    <row r="425" spans="1:281">
      <c r="A425" s="295"/>
      <c r="IU425" s="335"/>
      <c r="IV425" s="335"/>
      <c r="IW425" s="335"/>
      <c r="JS425" s="333"/>
      <c r="JT425" s="333"/>
      <c r="JU425" s="333"/>
    </row>
    <row r="426" spans="1:281">
      <c r="A426" s="295"/>
      <c r="IU426" s="335"/>
      <c r="IV426" s="335"/>
      <c r="IW426" s="335"/>
      <c r="JS426" s="333"/>
      <c r="JT426" s="333"/>
      <c r="JU426" s="333"/>
    </row>
    <row r="427" spans="1:281">
      <c r="A427" s="295"/>
      <c r="IU427" s="335"/>
      <c r="IV427" s="335"/>
      <c r="IW427" s="335"/>
      <c r="JS427" s="333"/>
      <c r="JT427" s="333"/>
      <c r="JU427" s="333"/>
    </row>
    <row r="428" spans="1:281">
      <c r="A428" s="295"/>
      <c r="IU428" s="335"/>
      <c r="IV428" s="335"/>
      <c r="IW428" s="335"/>
      <c r="JS428" s="333"/>
      <c r="JT428" s="333"/>
      <c r="JU428" s="333"/>
    </row>
    <row r="429" spans="1:281">
      <c r="A429" s="295"/>
      <c r="IU429" s="335"/>
      <c r="IV429" s="335"/>
      <c r="IW429" s="335"/>
      <c r="JS429" s="333"/>
      <c r="JT429" s="333"/>
      <c r="JU429" s="333"/>
    </row>
    <row r="430" spans="1:281">
      <c r="A430" s="295"/>
      <c r="IU430" s="335"/>
      <c r="IV430" s="335"/>
      <c r="IW430" s="335"/>
      <c r="JS430" s="333"/>
      <c r="JT430" s="333"/>
      <c r="JU430" s="333"/>
    </row>
    <row r="431" spans="1:281">
      <c r="A431" s="295"/>
      <c r="IU431" s="335"/>
      <c r="IV431" s="335"/>
      <c r="IW431" s="335"/>
      <c r="JS431" s="333"/>
      <c r="JT431" s="333"/>
      <c r="JU431" s="333"/>
    </row>
    <row r="432" spans="1:281">
      <c r="A432" s="295"/>
      <c r="IU432" s="335"/>
      <c r="IV432" s="335"/>
      <c r="IW432" s="335"/>
      <c r="JS432" s="333"/>
      <c r="JT432" s="333"/>
      <c r="JU432" s="333"/>
    </row>
    <row r="433" spans="1:281">
      <c r="A433" s="295"/>
      <c r="IU433" s="335"/>
      <c r="IV433" s="335"/>
      <c r="IW433" s="335"/>
      <c r="JS433" s="333"/>
      <c r="JT433" s="333"/>
      <c r="JU433" s="333"/>
    </row>
    <row r="434" spans="1:281">
      <c r="A434" s="295"/>
      <c r="IU434" s="335"/>
      <c r="IV434" s="335"/>
      <c r="IW434" s="335"/>
      <c r="JS434" s="333"/>
      <c r="JT434" s="333"/>
      <c r="JU434" s="333"/>
    </row>
    <row r="435" spans="1:281">
      <c r="A435" s="295"/>
      <c r="IU435" s="335"/>
      <c r="IV435" s="335"/>
      <c r="IW435" s="335"/>
      <c r="JS435" s="333"/>
      <c r="JT435" s="333"/>
      <c r="JU435" s="333"/>
    </row>
    <row r="436" spans="1:281">
      <c r="A436" s="295"/>
      <c r="IU436" s="335"/>
      <c r="IV436" s="335"/>
      <c r="IW436" s="335"/>
      <c r="JS436" s="333"/>
      <c r="JT436" s="333"/>
      <c r="JU436" s="333"/>
    </row>
    <row r="437" spans="1:281">
      <c r="A437" s="295"/>
      <c r="IU437" s="335"/>
      <c r="IV437" s="335"/>
      <c r="IW437" s="335"/>
      <c r="JS437" s="333"/>
      <c r="JT437" s="333"/>
      <c r="JU437" s="333"/>
    </row>
    <row r="438" spans="1:281">
      <c r="A438" s="295"/>
      <c r="IU438" s="335"/>
      <c r="IV438" s="335"/>
      <c r="IW438" s="335"/>
      <c r="JS438" s="333"/>
      <c r="JT438" s="333"/>
      <c r="JU438" s="333"/>
    </row>
    <row r="439" spans="1:281">
      <c r="A439" s="295"/>
      <c r="IU439" s="335"/>
      <c r="IV439" s="335"/>
      <c r="IW439" s="335"/>
      <c r="JS439" s="333"/>
      <c r="JT439" s="333"/>
      <c r="JU439" s="333"/>
    </row>
    <row r="440" spans="1:281">
      <c r="A440" s="295"/>
      <c r="IU440" s="335"/>
      <c r="IV440" s="335"/>
      <c r="IW440" s="335"/>
      <c r="JS440" s="333"/>
      <c r="JT440" s="333"/>
      <c r="JU440" s="333"/>
    </row>
    <row r="441" spans="1:281">
      <c r="A441" s="295"/>
      <c r="IU441" s="335"/>
      <c r="IV441" s="335"/>
      <c r="IW441" s="335"/>
      <c r="JS441" s="333"/>
      <c r="JT441" s="333"/>
      <c r="JU441" s="333"/>
    </row>
    <row r="442" spans="1:281">
      <c r="A442" s="295"/>
      <c r="IU442" s="335"/>
      <c r="IV442" s="335"/>
      <c r="IW442" s="335"/>
      <c r="JS442" s="333"/>
      <c r="JT442" s="333"/>
      <c r="JU442" s="333"/>
    </row>
    <row r="443" spans="1:281">
      <c r="A443" s="295"/>
      <c r="IU443" s="335"/>
      <c r="IV443" s="335"/>
      <c r="IW443" s="335"/>
      <c r="JS443" s="333"/>
      <c r="JT443" s="333"/>
      <c r="JU443" s="333"/>
    </row>
    <row r="444" spans="1:281">
      <c r="A444" s="295"/>
      <c r="IU444" s="335"/>
      <c r="IV444" s="335"/>
      <c r="IW444" s="335"/>
      <c r="JS444" s="333"/>
      <c r="JT444" s="333"/>
      <c r="JU444" s="333"/>
    </row>
    <row r="445" spans="1:281">
      <c r="A445" s="295"/>
      <c r="IU445" s="335"/>
      <c r="IV445" s="335"/>
      <c r="IW445" s="335"/>
      <c r="JS445" s="333"/>
      <c r="JT445" s="333"/>
      <c r="JU445" s="333"/>
    </row>
    <row r="446" spans="1:281">
      <c r="A446" s="295"/>
      <c r="IU446" s="335"/>
      <c r="IV446" s="335"/>
      <c r="IW446" s="335"/>
      <c r="JS446" s="333"/>
      <c r="JT446" s="333"/>
      <c r="JU446" s="333"/>
    </row>
    <row r="447" spans="1:281">
      <c r="A447" s="295"/>
      <c r="IU447" s="335"/>
      <c r="IV447" s="335"/>
      <c r="IW447" s="335"/>
      <c r="JS447" s="333"/>
      <c r="JT447" s="333"/>
      <c r="JU447" s="333"/>
    </row>
    <row r="448" spans="1:281">
      <c r="A448" s="295"/>
      <c r="IU448" s="335"/>
      <c r="IV448" s="335"/>
      <c r="IW448" s="335"/>
      <c r="JS448" s="333"/>
      <c r="JT448" s="333"/>
      <c r="JU448" s="333"/>
    </row>
    <row r="449" spans="1:281">
      <c r="A449" s="295"/>
      <c r="IU449" s="335"/>
      <c r="IV449" s="335"/>
      <c r="IW449" s="335"/>
      <c r="JS449" s="333"/>
      <c r="JT449" s="333"/>
      <c r="JU449" s="333"/>
    </row>
    <row r="450" spans="1:281">
      <c r="A450" s="295"/>
      <c r="IU450" s="335"/>
      <c r="IV450" s="335"/>
      <c r="IW450" s="335"/>
      <c r="JS450" s="333"/>
      <c r="JT450" s="333"/>
      <c r="JU450" s="333"/>
    </row>
    <row r="451" spans="1:281">
      <c r="A451" s="295"/>
      <c r="IU451" s="335"/>
      <c r="IV451" s="335"/>
      <c r="IW451" s="335"/>
      <c r="JS451" s="333"/>
      <c r="JT451" s="333"/>
      <c r="JU451" s="333"/>
    </row>
    <row r="452" spans="1:281">
      <c r="A452" s="295"/>
      <c r="IU452" s="335"/>
      <c r="IV452" s="335"/>
      <c r="IW452" s="335"/>
      <c r="JS452" s="333"/>
      <c r="JT452" s="333"/>
      <c r="JU452" s="333"/>
    </row>
    <row r="453" spans="1:281">
      <c r="A453" s="295"/>
      <c r="IU453" s="335"/>
      <c r="IV453" s="335"/>
      <c r="IW453" s="335"/>
      <c r="JS453" s="333"/>
      <c r="JT453" s="333"/>
      <c r="JU453" s="333"/>
    </row>
    <row r="454" spans="1:281">
      <c r="A454" s="295"/>
      <c r="IU454" s="335"/>
      <c r="IV454" s="335"/>
      <c r="IW454" s="335"/>
      <c r="JS454" s="333"/>
      <c r="JT454" s="333"/>
      <c r="JU454" s="333"/>
    </row>
    <row r="455" spans="1:281">
      <c r="A455" s="295"/>
      <c r="IU455" s="335"/>
      <c r="IV455" s="335"/>
      <c r="IW455" s="335"/>
      <c r="JS455" s="333"/>
      <c r="JT455" s="333"/>
      <c r="JU455" s="333"/>
    </row>
    <row r="456" spans="1:281">
      <c r="A456" s="295"/>
      <c r="IU456" s="335"/>
      <c r="IV456" s="335"/>
      <c r="IW456" s="335"/>
      <c r="JS456" s="333"/>
      <c r="JT456" s="333"/>
      <c r="JU456" s="333"/>
    </row>
    <row r="457" spans="1:281">
      <c r="A457" s="295"/>
      <c r="IU457" s="335"/>
      <c r="IV457" s="335"/>
      <c r="IW457" s="335"/>
      <c r="JS457" s="333"/>
      <c r="JT457" s="333"/>
      <c r="JU457" s="333"/>
    </row>
    <row r="458" spans="1:281">
      <c r="A458" s="295"/>
      <c r="IU458" s="335"/>
      <c r="IV458" s="335"/>
      <c r="IW458" s="335"/>
      <c r="JS458" s="333"/>
      <c r="JT458" s="333"/>
      <c r="JU458" s="333"/>
    </row>
    <row r="459" spans="1:281">
      <c r="A459" s="295"/>
      <c r="IU459" s="335"/>
      <c r="IV459" s="335"/>
      <c r="IW459" s="335"/>
      <c r="JS459" s="333"/>
      <c r="JT459" s="333"/>
      <c r="JU459" s="333"/>
    </row>
    <row r="460" spans="1:281">
      <c r="A460" s="295"/>
      <c r="IU460" s="335"/>
      <c r="IV460" s="335"/>
      <c r="IW460" s="335"/>
      <c r="JS460" s="333"/>
      <c r="JT460" s="333"/>
      <c r="JU460" s="333"/>
    </row>
    <row r="461" spans="1:281">
      <c r="A461" s="295"/>
      <c r="IU461" s="335"/>
      <c r="IV461" s="335"/>
      <c r="IW461" s="335"/>
      <c r="JS461" s="333"/>
      <c r="JT461" s="333"/>
      <c r="JU461" s="333"/>
    </row>
    <row r="462" spans="1:281">
      <c r="A462" s="295"/>
      <c r="IU462" s="335"/>
      <c r="IV462" s="335"/>
      <c r="IW462" s="335"/>
      <c r="JS462" s="333"/>
      <c r="JT462" s="333"/>
      <c r="JU462" s="333"/>
    </row>
    <row r="463" spans="1:281">
      <c r="A463" s="295"/>
      <c r="IU463" s="335"/>
      <c r="IV463" s="335"/>
      <c r="IW463" s="335"/>
      <c r="JS463" s="333"/>
      <c r="JT463" s="333"/>
      <c r="JU463" s="333"/>
    </row>
    <row r="464" spans="1:281">
      <c r="A464" s="295"/>
      <c r="IU464" s="335"/>
      <c r="IV464" s="335"/>
      <c r="IW464" s="335"/>
      <c r="JS464" s="333"/>
      <c r="JT464" s="333"/>
      <c r="JU464" s="333"/>
    </row>
    <row r="465" spans="1:281">
      <c r="A465" s="295"/>
      <c r="IU465" s="335"/>
      <c r="IV465" s="335"/>
      <c r="IW465" s="335"/>
      <c r="JS465" s="333"/>
      <c r="JT465" s="333"/>
      <c r="JU465" s="333"/>
    </row>
    <row r="466" spans="1:281">
      <c r="A466" s="295"/>
      <c r="IU466" s="335"/>
      <c r="IV466" s="335"/>
      <c r="IW466" s="335"/>
      <c r="JS466" s="333"/>
      <c r="JT466" s="333"/>
      <c r="JU466" s="333"/>
    </row>
    <row r="467" spans="1:281">
      <c r="A467" s="295"/>
      <c r="IU467" s="335"/>
      <c r="IV467" s="335"/>
      <c r="IW467" s="335"/>
      <c r="JS467" s="333"/>
      <c r="JT467" s="333"/>
      <c r="JU467" s="333"/>
    </row>
    <row r="468" spans="1:281">
      <c r="A468" s="295"/>
      <c r="IU468" s="335"/>
      <c r="IV468" s="335"/>
      <c r="IW468" s="335"/>
      <c r="JS468" s="333"/>
      <c r="JT468" s="333"/>
      <c r="JU468" s="333"/>
    </row>
    <row r="469" spans="1:281">
      <c r="A469" s="295"/>
      <c r="IU469" s="335"/>
      <c r="IV469" s="335"/>
      <c r="IW469" s="335"/>
      <c r="JS469" s="333"/>
      <c r="JT469" s="333"/>
      <c r="JU469" s="333"/>
    </row>
    <row r="470" spans="1:281">
      <c r="A470" s="295"/>
      <c r="IU470" s="335"/>
      <c r="IV470" s="335"/>
      <c r="IW470" s="335"/>
      <c r="JS470" s="333"/>
      <c r="JT470" s="333"/>
      <c r="JU470" s="333"/>
    </row>
    <row r="471" spans="1:281">
      <c r="A471" s="295"/>
      <c r="IU471" s="335"/>
      <c r="IV471" s="335"/>
      <c r="IW471" s="335"/>
      <c r="JS471" s="333"/>
      <c r="JT471" s="333"/>
      <c r="JU471" s="333"/>
    </row>
    <row r="472" spans="1:281">
      <c r="A472" s="295"/>
      <c r="IU472" s="335"/>
      <c r="IV472" s="335"/>
      <c r="IW472" s="335"/>
      <c r="JS472" s="333"/>
      <c r="JT472" s="333"/>
      <c r="JU472" s="333"/>
    </row>
    <row r="473" spans="1:281">
      <c r="A473" s="295"/>
      <c r="IU473" s="335"/>
      <c r="IV473" s="335"/>
      <c r="IW473" s="335"/>
      <c r="JS473" s="333"/>
      <c r="JT473" s="333"/>
      <c r="JU473" s="333"/>
    </row>
    <row r="474" spans="1:281">
      <c r="A474" s="295"/>
      <c r="IU474" s="335"/>
      <c r="IV474" s="335"/>
      <c r="IW474" s="335"/>
      <c r="JS474" s="333"/>
      <c r="JT474" s="333"/>
      <c r="JU474" s="333"/>
    </row>
    <row r="475" spans="1:281">
      <c r="A475" s="295"/>
      <c r="IU475" s="335"/>
      <c r="IV475" s="335"/>
      <c r="IW475" s="335"/>
      <c r="JS475" s="333"/>
      <c r="JT475" s="333"/>
      <c r="JU475" s="333"/>
    </row>
    <row r="476" spans="1:281">
      <c r="A476" s="295"/>
      <c r="IU476" s="335"/>
      <c r="IV476" s="335"/>
      <c r="IW476" s="335"/>
      <c r="JS476" s="333"/>
      <c r="JT476" s="333"/>
      <c r="JU476" s="333"/>
    </row>
    <row r="477" spans="1:281">
      <c r="A477" s="295"/>
      <c r="IU477" s="335"/>
      <c r="IV477" s="335"/>
      <c r="IW477" s="335"/>
      <c r="JS477" s="333"/>
      <c r="JT477" s="333"/>
      <c r="JU477" s="333"/>
    </row>
    <row r="478" spans="1:281">
      <c r="A478" s="295"/>
      <c r="IU478" s="335"/>
      <c r="IV478" s="335"/>
      <c r="IW478" s="335"/>
      <c r="JS478" s="333"/>
      <c r="JT478" s="333"/>
      <c r="JU478" s="333"/>
    </row>
    <row r="479" spans="1:281">
      <c r="A479" s="295"/>
      <c r="IU479" s="335"/>
      <c r="IV479" s="335"/>
      <c r="IW479" s="335"/>
      <c r="JS479" s="333"/>
      <c r="JT479" s="333"/>
      <c r="JU479" s="333"/>
    </row>
    <row r="480" spans="1:281">
      <c r="A480" s="295"/>
      <c r="IU480" s="335"/>
      <c r="IV480" s="335"/>
      <c r="IW480" s="335"/>
      <c r="JS480" s="333"/>
      <c r="JT480" s="333"/>
      <c r="JU480" s="333"/>
    </row>
    <row r="481" spans="1:281">
      <c r="A481" s="295"/>
      <c r="IU481" s="335"/>
      <c r="IV481" s="335"/>
      <c r="IW481" s="335"/>
      <c r="JS481" s="333"/>
      <c r="JT481" s="333"/>
      <c r="JU481" s="333"/>
    </row>
    <row r="482" spans="1:281">
      <c r="A482" s="295"/>
      <c r="IU482" s="335"/>
      <c r="IV482" s="335"/>
      <c r="IW482" s="335"/>
      <c r="JS482" s="333"/>
      <c r="JT482" s="333"/>
      <c r="JU482" s="333"/>
    </row>
    <row r="483" spans="1:281">
      <c r="A483" s="295"/>
      <c r="IU483" s="335"/>
      <c r="IV483" s="335"/>
      <c r="IW483" s="335"/>
      <c r="JS483" s="333"/>
      <c r="JT483" s="333"/>
      <c r="JU483" s="333"/>
    </row>
    <row r="484" spans="1:281">
      <c r="A484" s="295"/>
      <c r="IU484" s="335"/>
      <c r="IV484" s="335"/>
      <c r="IW484" s="335"/>
      <c r="JS484" s="333"/>
      <c r="JT484" s="333"/>
      <c r="JU484" s="333"/>
    </row>
    <row r="485" spans="1:281">
      <c r="A485" s="295"/>
      <c r="IU485" s="335"/>
      <c r="IV485" s="335"/>
      <c r="IW485" s="335"/>
      <c r="JS485" s="333"/>
      <c r="JT485" s="333"/>
      <c r="JU485" s="333"/>
    </row>
    <row r="486" spans="1:281">
      <c r="A486" s="295"/>
      <c r="IU486" s="335"/>
      <c r="IV486" s="335"/>
      <c r="IW486" s="335"/>
      <c r="JS486" s="333"/>
      <c r="JT486" s="333"/>
      <c r="JU486" s="333"/>
    </row>
    <row r="487" spans="1:281">
      <c r="A487" s="295"/>
      <c r="IU487" s="335"/>
      <c r="IV487" s="335"/>
      <c r="IW487" s="335"/>
      <c r="JS487" s="333"/>
      <c r="JT487" s="333"/>
      <c r="JU487" s="333"/>
    </row>
    <row r="488" spans="1:281">
      <c r="A488" s="295"/>
      <c r="IU488" s="335"/>
      <c r="IV488" s="335"/>
      <c r="IW488" s="335"/>
      <c r="JS488" s="333"/>
      <c r="JT488" s="333"/>
      <c r="JU488" s="333"/>
    </row>
    <row r="489" spans="1:281">
      <c r="A489" s="295"/>
      <c r="IU489" s="335"/>
      <c r="IV489" s="335"/>
      <c r="IW489" s="335"/>
      <c r="JS489" s="333"/>
      <c r="JT489" s="333"/>
      <c r="JU489" s="333"/>
    </row>
    <row r="490" spans="1:281">
      <c r="A490" s="295"/>
      <c r="IU490" s="335"/>
      <c r="IV490" s="335"/>
      <c r="IW490" s="335"/>
      <c r="JS490" s="333"/>
      <c r="JT490" s="333"/>
      <c r="JU490" s="333"/>
    </row>
    <row r="491" spans="1:281">
      <c r="A491" s="295"/>
      <c r="IU491" s="335"/>
      <c r="IV491" s="335"/>
      <c r="IW491" s="335"/>
      <c r="JS491" s="333"/>
      <c r="JT491" s="333"/>
      <c r="JU491" s="333"/>
    </row>
    <row r="492" spans="1:281">
      <c r="A492" s="295"/>
      <c r="IU492" s="335"/>
      <c r="IV492" s="335"/>
      <c r="IW492" s="335"/>
      <c r="JS492" s="333"/>
      <c r="JT492" s="333"/>
      <c r="JU492" s="333"/>
    </row>
    <row r="493" spans="1:281">
      <c r="A493" s="295"/>
      <c r="IU493" s="335"/>
      <c r="IV493" s="335"/>
      <c r="IW493" s="335"/>
      <c r="JS493" s="333"/>
      <c r="JT493" s="333"/>
      <c r="JU493" s="333"/>
    </row>
    <row r="494" spans="1:281">
      <c r="A494" s="295"/>
      <c r="IU494" s="335"/>
      <c r="IV494" s="335"/>
      <c r="IW494" s="335"/>
      <c r="JS494" s="333"/>
      <c r="JT494" s="333"/>
      <c r="JU494" s="333"/>
    </row>
    <row r="495" spans="1:281">
      <c r="A495" s="295"/>
      <c r="IU495" s="335"/>
      <c r="IV495" s="335"/>
      <c r="IW495" s="335"/>
      <c r="JS495" s="333"/>
      <c r="JT495" s="333"/>
      <c r="JU495" s="333"/>
    </row>
    <row r="496" spans="1:281">
      <c r="A496" s="295"/>
      <c r="IU496" s="335"/>
      <c r="IV496" s="335"/>
      <c r="IW496" s="335"/>
      <c r="JS496" s="333"/>
      <c r="JT496" s="333"/>
      <c r="JU496" s="333"/>
    </row>
    <row r="497" spans="1:281">
      <c r="A497" s="295"/>
      <c r="IU497" s="335"/>
      <c r="IV497" s="335"/>
      <c r="IW497" s="335"/>
      <c r="JS497" s="333"/>
      <c r="JT497" s="333"/>
      <c r="JU497" s="333"/>
    </row>
    <row r="498" spans="1:281">
      <c r="A498" s="295"/>
      <c r="IU498" s="335"/>
      <c r="IV498" s="335"/>
      <c r="IW498" s="335"/>
      <c r="JS498" s="333"/>
      <c r="JT498" s="333"/>
      <c r="JU498" s="333"/>
    </row>
    <row r="499" spans="1:281">
      <c r="A499" s="295"/>
      <c r="IU499" s="335"/>
      <c r="IV499" s="335"/>
      <c r="IW499" s="335"/>
      <c r="JS499" s="333"/>
      <c r="JT499" s="333"/>
      <c r="JU499" s="333"/>
    </row>
    <row r="500" spans="1:281">
      <c r="A500" s="295"/>
      <c r="IU500" s="335"/>
      <c r="IV500" s="335"/>
      <c r="IW500" s="335"/>
      <c r="JS500" s="333"/>
      <c r="JT500" s="333"/>
      <c r="JU500" s="333"/>
    </row>
    <row r="501" spans="1:281">
      <c r="A501" s="295"/>
      <c r="IU501" s="335"/>
      <c r="IV501" s="335"/>
      <c r="IW501" s="335"/>
      <c r="JS501" s="333"/>
      <c r="JT501" s="333"/>
      <c r="JU501" s="333"/>
    </row>
    <row r="502" spans="1:281">
      <c r="A502" s="295"/>
      <c r="IU502" s="335"/>
      <c r="IV502" s="335"/>
      <c r="IW502" s="335"/>
      <c r="JS502" s="333"/>
      <c r="JT502" s="333"/>
      <c r="JU502" s="333"/>
    </row>
    <row r="503" spans="1:281">
      <c r="A503" s="295"/>
      <c r="IU503" s="335"/>
      <c r="IV503" s="335"/>
      <c r="IW503" s="335"/>
      <c r="JS503" s="333"/>
      <c r="JT503" s="333"/>
      <c r="JU503" s="333"/>
    </row>
    <row r="504" spans="1:281">
      <c r="A504" s="295"/>
      <c r="IU504" s="335"/>
      <c r="IV504" s="335"/>
      <c r="IW504" s="335"/>
      <c r="JS504" s="333"/>
      <c r="JT504" s="333"/>
      <c r="JU504" s="333"/>
    </row>
    <row r="505" spans="1:281">
      <c r="A505" s="295"/>
      <c r="IU505" s="335"/>
      <c r="IV505" s="335"/>
      <c r="IW505" s="335"/>
      <c r="JS505" s="333"/>
      <c r="JT505" s="333"/>
      <c r="JU505" s="333"/>
    </row>
    <row r="506" spans="1:281">
      <c r="A506" s="295"/>
      <c r="IU506" s="335"/>
      <c r="IV506" s="335"/>
      <c r="IW506" s="335"/>
      <c r="JS506" s="333"/>
      <c r="JT506" s="333"/>
      <c r="JU506" s="333"/>
    </row>
    <row r="507" spans="1:281">
      <c r="A507" s="295"/>
      <c r="IU507" s="335"/>
      <c r="IV507" s="335"/>
      <c r="IW507" s="335"/>
      <c r="JS507" s="333"/>
      <c r="JT507" s="333"/>
      <c r="JU507" s="333"/>
    </row>
    <row r="508" spans="1:281">
      <c r="A508" s="295"/>
      <c r="IU508" s="335"/>
      <c r="IV508" s="335"/>
      <c r="IW508" s="335"/>
      <c r="JS508" s="333"/>
      <c r="JT508" s="333"/>
      <c r="JU508" s="333"/>
    </row>
    <row r="509" spans="1:281">
      <c r="A509" s="295"/>
      <c r="IU509" s="335"/>
      <c r="IV509" s="335"/>
      <c r="IW509" s="335"/>
      <c r="JS509" s="333"/>
      <c r="JT509" s="333"/>
      <c r="JU509" s="333"/>
    </row>
    <row r="510" spans="1:281">
      <c r="A510" s="295"/>
      <c r="IU510" s="335"/>
      <c r="IV510" s="335"/>
      <c r="IW510" s="335"/>
      <c r="JS510" s="333"/>
      <c r="JT510" s="333"/>
      <c r="JU510" s="333"/>
    </row>
    <row r="511" spans="1:281">
      <c r="A511" s="295"/>
      <c r="IU511" s="335"/>
      <c r="IV511" s="335"/>
      <c r="IW511" s="335"/>
      <c r="JS511" s="333"/>
      <c r="JT511" s="333"/>
      <c r="JU511" s="333"/>
    </row>
    <row r="512" spans="1:281">
      <c r="A512" s="295"/>
      <c r="IU512" s="335"/>
      <c r="IV512" s="335"/>
      <c r="IW512" s="335"/>
      <c r="JS512" s="333"/>
      <c r="JT512" s="333"/>
      <c r="JU512" s="333"/>
    </row>
    <row r="513" spans="1:281">
      <c r="A513" s="295"/>
      <c r="IU513" s="335"/>
      <c r="IV513" s="335"/>
      <c r="IW513" s="335"/>
      <c r="JS513" s="333"/>
      <c r="JT513" s="333"/>
      <c r="JU513" s="333"/>
    </row>
    <row r="514" spans="1:281">
      <c r="A514" s="295"/>
      <c r="IU514" s="335"/>
      <c r="IV514" s="335"/>
      <c r="IW514" s="335"/>
      <c r="JS514" s="333"/>
      <c r="JT514" s="333"/>
      <c r="JU514" s="333"/>
    </row>
    <row r="515" spans="1:281">
      <c r="A515" s="295"/>
      <c r="IU515" s="335"/>
      <c r="IV515" s="335"/>
      <c r="IW515" s="335"/>
      <c r="JS515" s="333"/>
      <c r="JT515" s="333"/>
      <c r="JU515" s="333"/>
    </row>
    <row r="516" spans="1:281">
      <c r="A516" s="295"/>
      <c r="IU516" s="335"/>
      <c r="IV516" s="335"/>
      <c r="IW516" s="335"/>
      <c r="JS516" s="333"/>
      <c r="JT516" s="333"/>
      <c r="JU516" s="333"/>
    </row>
    <row r="517" spans="1:281">
      <c r="A517" s="295"/>
      <c r="IU517" s="335"/>
      <c r="IV517" s="335"/>
      <c r="IW517" s="335"/>
      <c r="JS517" s="333"/>
      <c r="JT517" s="333"/>
      <c r="JU517" s="333"/>
    </row>
    <row r="518" spans="1:281">
      <c r="A518" s="295"/>
      <c r="IU518" s="335"/>
      <c r="IV518" s="335"/>
      <c r="IW518" s="335"/>
      <c r="JS518" s="333"/>
      <c r="JT518" s="333"/>
      <c r="JU518" s="333"/>
    </row>
    <row r="519" spans="1:281">
      <c r="A519" s="295"/>
      <c r="IU519" s="335"/>
      <c r="IV519" s="335"/>
      <c r="IW519" s="335"/>
      <c r="JS519" s="333"/>
      <c r="JT519" s="333"/>
      <c r="JU519" s="333"/>
    </row>
    <row r="520" spans="1:281">
      <c r="A520" s="295"/>
      <c r="IU520" s="335"/>
      <c r="IV520" s="335"/>
      <c r="IW520" s="335"/>
      <c r="JS520" s="333"/>
      <c r="JT520" s="333"/>
      <c r="JU520" s="333"/>
    </row>
    <row r="521" spans="1:281">
      <c r="A521" s="295"/>
      <c r="IU521" s="335"/>
      <c r="IV521" s="335"/>
      <c r="IW521" s="335"/>
      <c r="JS521" s="333"/>
      <c r="JT521" s="333"/>
      <c r="JU521" s="333"/>
    </row>
    <row r="522" spans="1:281">
      <c r="A522" s="295"/>
      <c r="IU522" s="335"/>
      <c r="IV522" s="335"/>
      <c r="IW522" s="335"/>
      <c r="JS522" s="333"/>
      <c r="JT522" s="333"/>
      <c r="JU522" s="333"/>
    </row>
    <row r="523" spans="1:281">
      <c r="A523" s="295"/>
      <c r="IU523" s="335"/>
      <c r="IV523" s="335"/>
      <c r="IW523" s="335"/>
      <c r="JS523" s="333"/>
      <c r="JT523" s="333"/>
      <c r="JU523" s="333"/>
    </row>
    <row r="524" spans="1:281">
      <c r="A524" s="295"/>
      <c r="IU524" s="335"/>
      <c r="IV524" s="335"/>
      <c r="IW524" s="335"/>
      <c r="JS524" s="333"/>
      <c r="JT524" s="333"/>
      <c r="JU524" s="333"/>
    </row>
    <row r="525" spans="1:281">
      <c r="A525" s="295"/>
      <c r="IU525" s="335"/>
      <c r="IV525" s="335"/>
      <c r="IW525" s="335"/>
      <c r="JS525" s="333"/>
      <c r="JT525" s="333"/>
      <c r="JU525" s="333"/>
    </row>
    <row r="526" spans="1:281">
      <c r="A526" s="295"/>
      <c r="IU526" s="335"/>
      <c r="IV526" s="335"/>
      <c r="IW526" s="335"/>
      <c r="JS526" s="333"/>
      <c r="JT526" s="333"/>
      <c r="JU526" s="333"/>
    </row>
    <row r="527" spans="1:281">
      <c r="A527" s="295"/>
      <c r="IU527" s="335"/>
      <c r="IV527" s="335"/>
      <c r="IW527" s="335"/>
      <c r="JS527" s="333"/>
      <c r="JT527" s="333"/>
      <c r="JU527" s="333"/>
    </row>
    <row r="528" spans="1:281">
      <c r="A528" s="295"/>
      <c r="IU528" s="335"/>
      <c r="IV528" s="335"/>
      <c r="IW528" s="335"/>
      <c r="JS528" s="333"/>
      <c r="JT528" s="333"/>
      <c r="JU528" s="333"/>
    </row>
    <row r="529" spans="1:281">
      <c r="A529" s="295"/>
      <c r="IU529" s="335"/>
      <c r="IV529" s="335"/>
      <c r="IW529" s="335"/>
      <c r="JS529" s="333"/>
      <c r="JT529" s="333"/>
      <c r="JU529" s="333"/>
    </row>
    <row r="530" spans="1:281">
      <c r="A530" s="295"/>
      <c r="IU530" s="335"/>
      <c r="IV530" s="335"/>
      <c r="IW530" s="335"/>
      <c r="JS530" s="333"/>
      <c r="JT530" s="333"/>
      <c r="JU530" s="333"/>
    </row>
    <row r="531" spans="1:281">
      <c r="A531" s="295"/>
      <c r="IU531" s="335"/>
      <c r="IV531" s="335"/>
      <c r="IW531" s="335"/>
      <c r="JS531" s="333"/>
      <c r="JT531" s="333"/>
      <c r="JU531" s="333"/>
    </row>
    <row r="532" spans="1:281">
      <c r="A532" s="295"/>
      <c r="IU532" s="335"/>
      <c r="IV532" s="335"/>
      <c r="IW532" s="335"/>
      <c r="JS532" s="333"/>
      <c r="JT532" s="333"/>
      <c r="JU532" s="333"/>
    </row>
    <row r="533" spans="1:281">
      <c r="A533" s="295"/>
      <c r="IU533" s="335"/>
      <c r="IV533" s="335"/>
      <c r="IW533" s="335"/>
      <c r="JS533" s="333"/>
      <c r="JT533" s="333"/>
      <c r="JU533" s="333"/>
    </row>
    <row r="534" spans="1:281">
      <c r="A534" s="295"/>
      <c r="IU534" s="335"/>
      <c r="IV534" s="335"/>
      <c r="IW534" s="335"/>
      <c r="JS534" s="333"/>
      <c r="JT534" s="333"/>
      <c r="JU534" s="333"/>
    </row>
    <row r="535" spans="1:281">
      <c r="A535" s="295"/>
      <c r="IU535" s="335"/>
      <c r="IV535" s="335"/>
      <c r="IW535" s="335"/>
      <c r="JS535" s="333"/>
      <c r="JT535" s="333"/>
      <c r="JU535" s="333"/>
    </row>
    <row r="536" spans="1:281">
      <c r="A536" s="295"/>
      <c r="IU536" s="335"/>
      <c r="IV536" s="335"/>
      <c r="IW536" s="335"/>
      <c r="JS536" s="333"/>
      <c r="JT536" s="333"/>
      <c r="JU536" s="333"/>
    </row>
    <row r="537" spans="1:281">
      <c r="A537" s="295"/>
      <c r="IU537" s="335"/>
      <c r="IV537" s="335"/>
      <c r="IW537" s="335"/>
      <c r="JS537" s="333"/>
      <c r="JT537" s="333"/>
      <c r="JU537" s="333"/>
    </row>
    <row r="538" spans="1:281">
      <c r="A538" s="295"/>
      <c r="IU538" s="335"/>
      <c r="IV538" s="335"/>
      <c r="IW538" s="335"/>
      <c r="JS538" s="333"/>
      <c r="JT538" s="333"/>
      <c r="JU538" s="333"/>
    </row>
    <row r="539" spans="1:281">
      <c r="A539" s="295"/>
      <c r="IU539" s="335"/>
      <c r="IV539" s="335"/>
      <c r="IW539" s="335"/>
      <c r="JS539" s="333"/>
      <c r="JT539" s="333"/>
      <c r="JU539" s="333"/>
    </row>
    <row r="540" spans="1:281">
      <c r="A540" s="295"/>
      <c r="IU540" s="335"/>
      <c r="IV540" s="335"/>
      <c r="IW540" s="335"/>
      <c r="JS540" s="333"/>
      <c r="JT540" s="333"/>
      <c r="JU540" s="333"/>
    </row>
    <row r="541" spans="1:281">
      <c r="A541" s="295"/>
      <c r="IU541" s="335"/>
      <c r="IV541" s="335"/>
      <c r="IW541" s="335"/>
      <c r="JS541" s="333"/>
      <c r="JT541" s="333"/>
      <c r="JU541" s="333"/>
    </row>
    <row r="542" spans="1:281">
      <c r="A542" s="295"/>
      <c r="IU542" s="335"/>
      <c r="IV542" s="335"/>
      <c r="IW542" s="335"/>
      <c r="JS542" s="333"/>
      <c r="JT542" s="333"/>
      <c r="JU542" s="333"/>
    </row>
    <row r="543" spans="1:281">
      <c r="A543" s="295"/>
      <c r="IU543" s="335"/>
      <c r="IV543" s="335"/>
      <c r="IW543" s="335"/>
      <c r="JS543" s="333"/>
      <c r="JT543" s="333"/>
      <c r="JU543" s="333"/>
    </row>
    <row r="544" spans="1:281">
      <c r="A544" s="295"/>
      <c r="IU544" s="335"/>
      <c r="IV544" s="335"/>
      <c r="IW544" s="335"/>
      <c r="JS544" s="333"/>
      <c r="JT544" s="333"/>
      <c r="JU544" s="333"/>
    </row>
    <row r="545" spans="1:281">
      <c r="A545" s="295"/>
      <c r="IU545" s="335"/>
      <c r="IV545" s="335"/>
      <c r="IW545" s="335"/>
      <c r="JS545" s="333"/>
      <c r="JT545" s="333"/>
      <c r="JU545" s="333"/>
    </row>
    <row r="546" spans="1:281">
      <c r="A546" s="295"/>
      <c r="IU546" s="335"/>
      <c r="IV546" s="335"/>
      <c r="IW546" s="335"/>
      <c r="JS546" s="333"/>
      <c r="JT546" s="333"/>
      <c r="JU546" s="333"/>
    </row>
    <row r="547" spans="1:281">
      <c r="A547" s="295"/>
      <c r="IU547" s="335"/>
      <c r="IV547" s="335"/>
      <c r="IW547" s="335"/>
      <c r="JS547" s="333"/>
      <c r="JT547" s="333"/>
      <c r="JU547" s="333"/>
    </row>
    <row r="548" spans="1:281">
      <c r="A548" s="295"/>
      <c r="IU548" s="335"/>
      <c r="IV548" s="335"/>
      <c r="IW548" s="335"/>
      <c r="JS548" s="333"/>
      <c r="JT548" s="333"/>
      <c r="JU548" s="333"/>
    </row>
    <row r="549" spans="1:281">
      <c r="A549" s="295"/>
      <c r="IU549" s="335"/>
      <c r="IV549" s="335"/>
      <c r="IW549" s="335"/>
      <c r="JS549" s="333"/>
      <c r="JT549" s="333"/>
      <c r="JU549" s="333"/>
    </row>
    <row r="550" spans="1:281">
      <c r="A550" s="295"/>
      <c r="IU550" s="335"/>
      <c r="IV550" s="335"/>
      <c r="IW550" s="335"/>
      <c r="JS550" s="333"/>
      <c r="JT550" s="333"/>
      <c r="JU550" s="333"/>
    </row>
    <row r="551" spans="1:281">
      <c r="A551" s="295"/>
      <c r="IU551" s="335"/>
      <c r="IV551" s="335"/>
      <c r="IW551" s="335"/>
      <c r="JS551" s="333"/>
      <c r="JT551" s="333"/>
      <c r="JU551" s="333"/>
    </row>
    <row r="552" spans="1:281">
      <c r="A552" s="295"/>
      <c r="IU552" s="335"/>
      <c r="IV552" s="335"/>
      <c r="IW552" s="335"/>
      <c r="JS552" s="333"/>
      <c r="JT552" s="333"/>
      <c r="JU552" s="333"/>
    </row>
    <row r="553" spans="1:281">
      <c r="A553" s="295"/>
      <c r="IU553" s="335"/>
      <c r="IV553" s="335"/>
      <c r="IW553" s="335"/>
      <c r="JS553" s="333"/>
      <c r="JT553" s="333"/>
      <c r="JU553" s="333"/>
    </row>
    <row r="554" spans="1:281">
      <c r="A554" s="295"/>
      <c r="IU554" s="335"/>
      <c r="IV554" s="335"/>
      <c r="IW554" s="335"/>
      <c r="JS554" s="333"/>
      <c r="JT554" s="333"/>
      <c r="JU554" s="333"/>
    </row>
    <row r="555" spans="1:281">
      <c r="A555" s="295"/>
      <c r="IU555" s="335"/>
      <c r="IV555" s="335"/>
      <c r="IW555" s="335"/>
      <c r="JS555" s="333"/>
      <c r="JT555" s="333"/>
      <c r="JU555" s="333"/>
    </row>
    <row r="556" spans="1:281">
      <c r="A556" s="295"/>
      <c r="IU556" s="335"/>
      <c r="IV556" s="335"/>
      <c r="IW556" s="335"/>
      <c r="JS556" s="333"/>
      <c r="JT556" s="333"/>
      <c r="JU556" s="333"/>
    </row>
    <row r="557" spans="1:281">
      <c r="A557" s="295"/>
      <c r="IU557" s="335"/>
      <c r="IV557" s="335"/>
      <c r="IW557" s="335"/>
      <c r="JS557" s="333"/>
      <c r="JT557" s="333"/>
      <c r="JU557" s="333"/>
    </row>
    <row r="558" spans="1:281">
      <c r="A558" s="295"/>
      <c r="IU558" s="335"/>
      <c r="IV558" s="335"/>
      <c r="IW558" s="335"/>
      <c r="JS558" s="333"/>
      <c r="JT558" s="333"/>
      <c r="JU558" s="333"/>
    </row>
    <row r="559" spans="1:281">
      <c r="A559" s="295"/>
      <c r="IU559" s="335"/>
      <c r="IV559" s="335"/>
      <c r="IW559" s="335"/>
      <c r="JS559" s="333"/>
      <c r="JT559" s="333"/>
      <c r="JU559" s="333"/>
    </row>
    <row r="560" spans="1:281">
      <c r="A560" s="295"/>
      <c r="IU560" s="335"/>
      <c r="IV560" s="335"/>
      <c r="IW560" s="335"/>
      <c r="JS560" s="333"/>
      <c r="JT560" s="333"/>
      <c r="JU560" s="333"/>
    </row>
    <row r="561" spans="1:281">
      <c r="A561" s="295"/>
      <c r="IU561" s="335"/>
      <c r="IV561" s="335"/>
      <c r="IW561" s="335"/>
      <c r="JS561" s="333"/>
      <c r="JT561" s="333"/>
      <c r="JU561" s="333"/>
    </row>
    <row r="562" spans="1:281">
      <c r="A562" s="295"/>
      <c r="IU562" s="335"/>
      <c r="IV562" s="335"/>
      <c r="IW562" s="335"/>
      <c r="JS562" s="333"/>
      <c r="JT562" s="333"/>
      <c r="JU562" s="333"/>
    </row>
    <row r="563" spans="1:281">
      <c r="A563" s="295"/>
      <c r="IU563" s="335"/>
      <c r="IV563" s="335"/>
      <c r="IW563" s="335"/>
      <c r="JS563" s="333"/>
      <c r="JT563" s="333"/>
      <c r="JU563" s="333"/>
    </row>
    <row r="564" spans="1:281">
      <c r="A564" s="295"/>
      <c r="IU564" s="335"/>
      <c r="IV564" s="335"/>
      <c r="IW564" s="335"/>
      <c r="JS564" s="333"/>
      <c r="JT564" s="333"/>
      <c r="JU564" s="333"/>
    </row>
    <row r="565" spans="1:281">
      <c r="A565" s="295"/>
      <c r="IU565" s="335"/>
      <c r="IV565" s="335"/>
      <c r="IW565" s="335"/>
      <c r="JS565" s="333"/>
      <c r="JT565" s="333"/>
      <c r="JU565" s="333"/>
    </row>
    <row r="566" spans="1:281">
      <c r="A566" s="295"/>
      <c r="IU566" s="335"/>
      <c r="IV566" s="335"/>
      <c r="IW566" s="335"/>
      <c r="JS566" s="333"/>
      <c r="JT566" s="333"/>
      <c r="JU566" s="333"/>
    </row>
    <row r="567" spans="1:281">
      <c r="A567" s="295"/>
      <c r="IU567" s="335"/>
      <c r="IV567" s="335"/>
      <c r="IW567" s="335"/>
      <c r="JS567" s="333"/>
      <c r="JT567" s="333"/>
      <c r="JU567" s="333"/>
    </row>
    <row r="568" spans="1:281">
      <c r="A568" s="295"/>
      <c r="IU568" s="335"/>
      <c r="IV568" s="335"/>
      <c r="IW568" s="335"/>
      <c r="JS568" s="333"/>
      <c r="JT568" s="333"/>
      <c r="JU568" s="333"/>
    </row>
    <row r="569" spans="1:281">
      <c r="A569" s="295"/>
      <c r="IU569" s="335"/>
      <c r="IV569" s="335"/>
      <c r="IW569" s="335"/>
      <c r="JS569" s="333"/>
      <c r="JT569" s="333"/>
      <c r="JU569" s="333"/>
    </row>
    <row r="570" spans="1:281">
      <c r="A570" s="295"/>
      <c r="IU570" s="335"/>
      <c r="IV570" s="335"/>
      <c r="IW570" s="335"/>
      <c r="JS570" s="333"/>
      <c r="JT570" s="333"/>
      <c r="JU570" s="333"/>
    </row>
    <row r="571" spans="1:281">
      <c r="A571" s="295"/>
      <c r="IU571" s="335"/>
      <c r="IV571" s="335"/>
      <c r="IW571" s="335"/>
      <c r="JS571" s="333"/>
      <c r="JT571" s="333"/>
      <c r="JU571" s="333"/>
    </row>
    <row r="572" spans="1:281">
      <c r="A572" s="295"/>
      <c r="IU572" s="335"/>
      <c r="IV572" s="335"/>
      <c r="IW572" s="335"/>
      <c r="JS572" s="333"/>
      <c r="JT572" s="333"/>
      <c r="JU572" s="333"/>
    </row>
    <row r="573" spans="1:281">
      <c r="A573" s="295"/>
      <c r="IU573" s="335"/>
      <c r="IV573" s="335"/>
      <c r="IW573" s="335"/>
      <c r="JS573" s="333"/>
      <c r="JT573" s="333"/>
      <c r="JU573" s="333"/>
    </row>
    <row r="574" spans="1:281">
      <c r="A574" s="295"/>
      <c r="IU574" s="335"/>
      <c r="IV574" s="335"/>
      <c r="IW574" s="335"/>
      <c r="JS574" s="333"/>
      <c r="JT574" s="333"/>
      <c r="JU574" s="333"/>
    </row>
    <row r="575" spans="1:281">
      <c r="A575" s="295"/>
      <c r="IU575" s="335"/>
      <c r="IV575" s="335"/>
      <c r="IW575" s="335"/>
      <c r="JS575" s="333"/>
      <c r="JT575" s="333"/>
      <c r="JU575" s="333"/>
    </row>
    <row r="576" spans="1:281">
      <c r="A576" s="295"/>
      <c r="IU576" s="335"/>
      <c r="IV576" s="335"/>
      <c r="IW576" s="335"/>
      <c r="JS576" s="333"/>
      <c r="JT576" s="333"/>
      <c r="JU576" s="333"/>
    </row>
    <row r="577" spans="1:281">
      <c r="A577" s="295"/>
      <c r="IU577" s="335"/>
      <c r="IV577" s="335"/>
      <c r="IW577" s="335"/>
      <c r="JS577" s="333"/>
      <c r="JT577" s="333"/>
      <c r="JU577" s="333"/>
    </row>
    <row r="578" spans="1:281">
      <c r="A578" s="295"/>
      <c r="IU578" s="335"/>
      <c r="IV578" s="335"/>
      <c r="IW578" s="335"/>
      <c r="JS578" s="333"/>
      <c r="JT578" s="333"/>
      <c r="JU578" s="333"/>
    </row>
    <row r="579" spans="1:281">
      <c r="A579" s="295"/>
      <c r="IU579" s="335"/>
      <c r="IV579" s="335"/>
      <c r="IW579" s="335"/>
      <c r="JS579" s="333"/>
      <c r="JT579" s="333"/>
      <c r="JU579" s="333"/>
    </row>
    <row r="580" spans="1:281">
      <c r="A580" s="295"/>
      <c r="IU580" s="335"/>
      <c r="IV580" s="335"/>
      <c r="IW580" s="335"/>
      <c r="JS580" s="333"/>
      <c r="JT580" s="333"/>
      <c r="JU580" s="333"/>
    </row>
    <row r="581" spans="1:281">
      <c r="A581" s="295"/>
      <c r="IU581" s="335"/>
      <c r="IV581" s="335"/>
      <c r="IW581" s="335"/>
      <c r="JS581" s="333"/>
      <c r="JT581" s="333"/>
      <c r="JU581" s="333"/>
    </row>
    <row r="582" spans="1:281">
      <c r="A582" s="295"/>
      <c r="IU582" s="335"/>
      <c r="IV582" s="335"/>
      <c r="IW582" s="335"/>
      <c r="JS582" s="333"/>
      <c r="JT582" s="333"/>
      <c r="JU582" s="333"/>
    </row>
    <row r="583" spans="1:281">
      <c r="A583" s="295"/>
      <c r="IU583" s="335"/>
      <c r="IV583" s="335"/>
      <c r="IW583" s="335"/>
      <c r="JS583" s="333"/>
      <c r="JT583" s="333"/>
      <c r="JU583" s="333"/>
    </row>
    <row r="584" spans="1:281">
      <c r="A584" s="295"/>
      <c r="IU584" s="335"/>
      <c r="IV584" s="335"/>
      <c r="IW584" s="335"/>
      <c r="JS584" s="333"/>
      <c r="JT584" s="333"/>
      <c r="JU584" s="333"/>
    </row>
    <row r="585" spans="1:281">
      <c r="A585" s="295"/>
      <c r="IU585" s="335"/>
      <c r="IV585" s="335"/>
      <c r="IW585" s="335"/>
      <c r="JS585" s="333"/>
      <c r="JT585" s="333"/>
      <c r="JU585" s="333"/>
    </row>
    <row r="586" spans="1:281">
      <c r="A586" s="295"/>
      <c r="IU586" s="335"/>
      <c r="IV586" s="335"/>
      <c r="IW586" s="335"/>
      <c r="JS586" s="333"/>
      <c r="JT586" s="333"/>
      <c r="JU586" s="333"/>
    </row>
    <row r="587" spans="1:281">
      <c r="A587" s="295"/>
      <c r="IU587" s="335"/>
      <c r="IV587" s="335"/>
      <c r="IW587" s="335"/>
      <c r="JS587" s="333"/>
      <c r="JT587" s="333"/>
      <c r="JU587" s="333"/>
    </row>
    <row r="588" spans="1:281">
      <c r="A588" s="295"/>
      <c r="IU588" s="335"/>
      <c r="IV588" s="335"/>
      <c r="IW588" s="335"/>
      <c r="JS588" s="333"/>
      <c r="JT588" s="333"/>
      <c r="JU588" s="333"/>
    </row>
    <row r="589" spans="1:281">
      <c r="A589" s="295"/>
      <c r="IU589" s="335"/>
      <c r="IV589" s="335"/>
      <c r="IW589" s="335"/>
      <c r="JS589" s="333"/>
      <c r="JT589" s="333"/>
      <c r="JU589" s="333"/>
    </row>
    <row r="590" spans="1:281">
      <c r="A590" s="295"/>
      <c r="IU590" s="335"/>
      <c r="IV590" s="335"/>
      <c r="IW590" s="335"/>
      <c r="JS590" s="333"/>
      <c r="JT590" s="333"/>
      <c r="JU590" s="333"/>
    </row>
    <row r="591" spans="1:281">
      <c r="A591" s="295"/>
      <c r="IU591" s="335"/>
      <c r="IV591" s="335"/>
      <c r="IW591" s="335"/>
      <c r="JS591" s="333"/>
      <c r="JT591" s="333"/>
      <c r="JU591" s="333"/>
    </row>
    <row r="592" spans="1:281">
      <c r="A592" s="295"/>
      <c r="IU592" s="335"/>
      <c r="IV592" s="335"/>
      <c r="IW592" s="335"/>
      <c r="JS592" s="333"/>
      <c r="JT592" s="333"/>
      <c r="JU592" s="333"/>
    </row>
    <row r="593" spans="1:281">
      <c r="A593" s="295"/>
      <c r="IU593" s="335"/>
      <c r="IV593" s="335"/>
      <c r="IW593" s="335"/>
      <c r="JS593" s="333"/>
      <c r="JT593" s="333"/>
      <c r="JU593" s="333"/>
    </row>
    <row r="594" spans="1:281">
      <c r="A594" s="295"/>
      <c r="IU594" s="335"/>
      <c r="IV594" s="335"/>
      <c r="IW594" s="335"/>
      <c r="JS594" s="333"/>
      <c r="JT594" s="333"/>
      <c r="JU594" s="333"/>
    </row>
    <row r="595" spans="1:281">
      <c r="A595" s="295"/>
      <c r="IU595" s="335"/>
      <c r="IV595" s="335"/>
      <c r="IW595" s="335"/>
      <c r="JS595" s="333"/>
      <c r="JT595" s="333"/>
      <c r="JU595" s="333"/>
    </row>
    <row r="596" spans="1:281">
      <c r="A596" s="295"/>
      <c r="IU596" s="335"/>
      <c r="IV596" s="335"/>
      <c r="IW596" s="335"/>
      <c r="JS596" s="333"/>
      <c r="JT596" s="333"/>
      <c r="JU596" s="333"/>
    </row>
    <row r="597" spans="1:281">
      <c r="A597" s="295"/>
      <c r="IU597" s="335"/>
      <c r="IV597" s="335"/>
      <c r="IW597" s="335"/>
      <c r="JS597" s="333"/>
      <c r="JT597" s="333"/>
      <c r="JU597" s="333"/>
    </row>
    <row r="598" spans="1:281">
      <c r="A598" s="295"/>
      <c r="IU598" s="335"/>
      <c r="IV598" s="335"/>
      <c r="IW598" s="335"/>
      <c r="JS598" s="333"/>
      <c r="JT598" s="333"/>
      <c r="JU598" s="333"/>
    </row>
    <row r="599" spans="1:281">
      <c r="A599" s="295"/>
      <c r="IU599" s="335"/>
      <c r="IV599" s="335"/>
      <c r="IW599" s="335"/>
      <c r="JS599" s="333"/>
      <c r="JT599" s="333"/>
      <c r="JU599" s="333"/>
    </row>
    <row r="600" spans="1:281">
      <c r="A600" s="295"/>
      <c r="IU600" s="335"/>
      <c r="IV600" s="335"/>
      <c r="IW600" s="335"/>
      <c r="JS600" s="333"/>
      <c r="JT600" s="333"/>
      <c r="JU600" s="333"/>
    </row>
    <row r="601" spans="1:281">
      <c r="A601" s="295"/>
      <c r="IU601" s="335"/>
      <c r="IV601" s="335"/>
      <c r="IW601" s="335"/>
      <c r="JS601" s="333"/>
      <c r="JT601" s="333"/>
      <c r="JU601" s="333"/>
    </row>
    <row r="602" spans="1:281">
      <c r="A602" s="295"/>
      <c r="IU602" s="335"/>
      <c r="IV602" s="335"/>
      <c r="IW602" s="335"/>
      <c r="JS602" s="333"/>
      <c r="JT602" s="333"/>
      <c r="JU602" s="333"/>
    </row>
    <row r="603" spans="1:281">
      <c r="A603" s="295"/>
      <c r="IU603" s="335"/>
      <c r="IV603" s="335"/>
      <c r="IW603" s="335"/>
      <c r="JS603" s="333"/>
      <c r="JT603" s="333"/>
      <c r="JU603" s="333"/>
    </row>
    <row r="604" spans="1:281">
      <c r="A604" s="295"/>
      <c r="IU604" s="335"/>
      <c r="IV604" s="335"/>
      <c r="IW604" s="335"/>
      <c r="JS604" s="333"/>
      <c r="JT604" s="333"/>
      <c r="JU604" s="333"/>
    </row>
    <row r="605" spans="1:281">
      <c r="A605" s="295"/>
      <c r="IU605" s="335"/>
      <c r="IV605" s="335"/>
      <c r="IW605" s="335"/>
      <c r="JS605" s="333"/>
      <c r="JT605" s="333"/>
      <c r="JU605" s="333"/>
    </row>
    <row r="606" spans="1:281">
      <c r="A606" s="295"/>
      <c r="IU606" s="335"/>
      <c r="IV606" s="335"/>
      <c r="IW606" s="335"/>
      <c r="JS606" s="333"/>
      <c r="JT606" s="333"/>
      <c r="JU606" s="333"/>
    </row>
    <row r="607" spans="1:281">
      <c r="A607" s="295"/>
      <c r="IU607" s="335"/>
      <c r="IV607" s="335"/>
      <c r="IW607" s="335"/>
      <c r="JS607" s="333"/>
      <c r="JT607" s="333"/>
      <c r="JU607" s="333"/>
    </row>
    <row r="608" spans="1:281">
      <c r="A608" s="295"/>
      <c r="IU608" s="335"/>
      <c r="IV608" s="335"/>
      <c r="IW608" s="335"/>
      <c r="JS608" s="333"/>
      <c r="JT608" s="333"/>
      <c r="JU608" s="333"/>
    </row>
    <row r="609" spans="1:281">
      <c r="A609" s="295"/>
      <c r="IU609" s="335"/>
      <c r="IV609" s="335"/>
      <c r="IW609" s="335"/>
      <c r="JS609" s="333"/>
      <c r="JT609" s="333"/>
      <c r="JU609" s="333"/>
    </row>
    <row r="610" spans="1:281">
      <c r="A610" s="295"/>
      <c r="IU610" s="335"/>
      <c r="IV610" s="335"/>
      <c r="IW610" s="335"/>
      <c r="JS610" s="333"/>
      <c r="JT610" s="333"/>
      <c r="JU610" s="333"/>
    </row>
    <row r="611" spans="1:281">
      <c r="A611" s="295"/>
      <c r="IU611" s="335"/>
      <c r="IV611" s="335"/>
      <c r="IW611" s="335"/>
      <c r="JS611" s="333"/>
      <c r="JT611" s="333"/>
      <c r="JU611" s="333"/>
    </row>
    <row r="612" spans="1:281">
      <c r="A612" s="295"/>
      <c r="IU612" s="335"/>
      <c r="IV612" s="335"/>
      <c r="IW612" s="335"/>
      <c r="JS612" s="333"/>
      <c r="JT612" s="333"/>
      <c r="JU612" s="333"/>
    </row>
    <row r="613" spans="1:281">
      <c r="A613" s="295"/>
      <c r="IU613" s="335"/>
      <c r="IV613" s="335"/>
      <c r="IW613" s="335"/>
      <c r="JS613" s="333"/>
      <c r="JT613" s="333"/>
      <c r="JU613" s="333"/>
    </row>
    <row r="614" spans="1:281">
      <c r="A614" s="295"/>
      <c r="IU614" s="335"/>
      <c r="IV614" s="335"/>
      <c r="IW614" s="335"/>
      <c r="JS614" s="333"/>
      <c r="JT614" s="333"/>
      <c r="JU614" s="333"/>
    </row>
    <row r="615" spans="1:281">
      <c r="A615" s="295"/>
      <c r="IU615" s="335"/>
      <c r="IV615" s="335"/>
      <c r="IW615" s="335"/>
      <c r="JS615" s="333"/>
      <c r="JT615" s="333"/>
      <c r="JU615" s="333"/>
    </row>
    <row r="616" spans="1:281">
      <c r="A616" s="295"/>
      <c r="IU616" s="335"/>
      <c r="IV616" s="335"/>
      <c r="IW616" s="335"/>
      <c r="JS616" s="333"/>
      <c r="JT616" s="333"/>
      <c r="JU616" s="333"/>
    </row>
    <row r="617" spans="1:281">
      <c r="A617" s="295"/>
      <c r="IU617" s="335"/>
      <c r="IV617" s="335"/>
      <c r="IW617" s="335"/>
      <c r="JS617" s="333"/>
      <c r="JT617" s="333"/>
      <c r="JU617" s="333"/>
    </row>
    <row r="618" spans="1:281">
      <c r="A618" s="295"/>
      <c r="IU618" s="335"/>
      <c r="IV618" s="335"/>
      <c r="IW618" s="335"/>
      <c r="JS618" s="333"/>
      <c r="JT618" s="333"/>
      <c r="JU618" s="333"/>
    </row>
    <row r="619" spans="1:281">
      <c r="A619" s="295"/>
      <c r="IU619" s="335"/>
      <c r="IV619" s="335"/>
      <c r="IW619" s="335"/>
      <c r="JS619" s="333"/>
      <c r="JT619" s="333"/>
      <c r="JU619" s="333"/>
    </row>
    <row r="620" spans="1:281">
      <c r="A620" s="295"/>
      <c r="IU620" s="335"/>
      <c r="IV620" s="335"/>
      <c r="IW620" s="335"/>
      <c r="JS620" s="333"/>
      <c r="JT620" s="333"/>
      <c r="JU620" s="333"/>
    </row>
    <row r="621" spans="1:281">
      <c r="A621" s="295"/>
      <c r="IU621" s="335"/>
      <c r="IV621" s="335"/>
      <c r="IW621" s="335"/>
      <c r="JS621" s="333"/>
      <c r="JT621" s="333"/>
      <c r="JU621" s="333"/>
    </row>
    <row r="622" spans="1:281">
      <c r="A622" s="295"/>
      <c r="IU622" s="335"/>
      <c r="IV622" s="335"/>
      <c r="IW622" s="335"/>
      <c r="JS622" s="333"/>
      <c r="JT622" s="333"/>
      <c r="JU622" s="333"/>
    </row>
    <row r="623" spans="1:281">
      <c r="A623" s="295"/>
      <c r="IU623" s="335"/>
      <c r="IV623" s="335"/>
      <c r="IW623" s="335"/>
      <c r="JS623" s="333"/>
      <c r="JT623" s="333"/>
      <c r="JU623" s="333"/>
    </row>
    <row r="624" spans="1:281">
      <c r="A624" s="295"/>
      <c r="IU624" s="335"/>
      <c r="IV624" s="335"/>
      <c r="IW624" s="335"/>
      <c r="JS624" s="333"/>
      <c r="JT624" s="333"/>
      <c r="JU624" s="333"/>
    </row>
    <row r="625" spans="1:281">
      <c r="A625" s="295"/>
      <c r="IU625" s="335"/>
      <c r="IV625" s="335"/>
      <c r="IW625" s="335"/>
      <c r="JS625" s="333"/>
      <c r="JT625" s="333"/>
      <c r="JU625" s="333"/>
    </row>
    <row r="626" spans="1:281">
      <c r="A626" s="295"/>
      <c r="IU626" s="335"/>
      <c r="IV626" s="335"/>
      <c r="IW626" s="335"/>
      <c r="JS626" s="333"/>
      <c r="JT626" s="333"/>
      <c r="JU626" s="333"/>
    </row>
    <row r="627" spans="1:281">
      <c r="A627" s="295"/>
      <c r="IU627" s="335"/>
      <c r="IV627" s="335"/>
      <c r="IW627" s="335"/>
      <c r="JS627" s="333"/>
      <c r="JT627" s="333"/>
      <c r="JU627" s="333"/>
    </row>
    <row r="628" spans="1:281">
      <c r="A628" s="295"/>
      <c r="IU628" s="335"/>
      <c r="IV628" s="335"/>
      <c r="IW628" s="335"/>
      <c r="JS628" s="333"/>
      <c r="JT628" s="333"/>
      <c r="JU628" s="333"/>
    </row>
    <row r="629" spans="1:281">
      <c r="A629" s="295"/>
      <c r="IU629" s="335"/>
      <c r="IV629" s="335"/>
      <c r="IW629" s="335"/>
      <c r="JS629" s="333"/>
      <c r="JT629" s="333"/>
      <c r="JU629" s="333"/>
    </row>
    <row r="630" spans="1:281">
      <c r="A630" s="295"/>
      <c r="IU630" s="335"/>
      <c r="IV630" s="335"/>
      <c r="IW630" s="335"/>
      <c r="JS630" s="333"/>
      <c r="JT630" s="333"/>
      <c r="JU630" s="333"/>
    </row>
    <row r="631" spans="1:281">
      <c r="A631" s="295"/>
      <c r="IU631" s="335"/>
      <c r="IV631" s="335"/>
      <c r="IW631" s="335"/>
      <c r="JS631" s="333"/>
      <c r="JT631" s="333"/>
      <c r="JU631" s="333"/>
    </row>
    <row r="632" spans="1:281">
      <c r="A632" s="295"/>
      <c r="IU632" s="335"/>
      <c r="IV632" s="335"/>
      <c r="IW632" s="335"/>
      <c r="JS632" s="333"/>
      <c r="JT632" s="333"/>
      <c r="JU632" s="333"/>
    </row>
    <row r="633" spans="1:281">
      <c r="A633" s="295"/>
      <c r="IU633" s="335"/>
      <c r="IV633" s="335"/>
      <c r="IW633" s="335"/>
      <c r="JS633" s="333"/>
      <c r="JT633" s="333"/>
      <c r="JU633" s="333"/>
    </row>
    <row r="634" spans="1:281">
      <c r="A634" s="295"/>
      <c r="IU634" s="335"/>
      <c r="IV634" s="335"/>
      <c r="IW634" s="335"/>
      <c r="JS634" s="333"/>
      <c r="JT634" s="333"/>
      <c r="JU634" s="333"/>
    </row>
    <row r="635" spans="1:281">
      <c r="A635" s="295"/>
      <c r="IU635" s="335"/>
      <c r="IV635" s="335"/>
      <c r="IW635" s="335"/>
      <c r="JS635" s="333"/>
      <c r="JT635" s="333"/>
      <c r="JU635" s="333"/>
    </row>
    <row r="636" spans="1:281">
      <c r="A636" s="295"/>
      <c r="IU636" s="335"/>
      <c r="IV636" s="335"/>
      <c r="IW636" s="335"/>
      <c r="JS636" s="333"/>
      <c r="JT636" s="333"/>
      <c r="JU636" s="333"/>
    </row>
    <row r="637" spans="1:281">
      <c r="A637" s="295"/>
      <c r="IU637" s="335"/>
      <c r="IV637" s="335"/>
      <c r="IW637" s="335"/>
      <c r="JS637" s="333"/>
      <c r="JT637" s="333"/>
      <c r="JU637" s="333"/>
    </row>
    <row r="638" spans="1:281">
      <c r="A638" s="295"/>
      <c r="IU638" s="335"/>
      <c r="IV638" s="335"/>
      <c r="IW638" s="335"/>
      <c r="JS638" s="333"/>
      <c r="JT638" s="333"/>
      <c r="JU638" s="333"/>
    </row>
    <row r="639" spans="1:281">
      <c r="A639" s="295"/>
      <c r="IU639" s="335"/>
      <c r="IV639" s="335"/>
      <c r="IW639" s="335"/>
      <c r="JS639" s="333"/>
      <c r="JT639" s="333"/>
      <c r="JU639" s="333"/>
    </row>
    <row r="640" spans="1:281">
      <c r="A640" s="295"/>
      <c r="IU640" s="335"/>
      <c r="IV640" s="335"/>
      <c r="IW640" s="335"/>
      <c r="JS640" s="333"/>
      <c r="JT640" s="333"/>
      <c r="JU640" s="333"/>
    </row>
    <row r="641" spans="1:281">
      <c r="A641" s="295"/>
      <c r="IU641" s="335"/>
      <c r="IV641" s="335"/>
      <c r="IW641" s="335"/>
      <c r="JS641" s="333"/>
      <c r="JT641" s="333"/>
      <c r="JU641" s="333"/>
    </row>
    <row r="642" spans="1:281">
      <c r="A642" s="295"/>
      <c r="IU642" s="335"/>
      <c r="IV642" s="335"/>
      <c r="IW642" s="335"/>
      <c r="JS642" s="333"/>
      <c r="JT642" s="333"/>
      <c r="JU642" s="333"/>
    </row>
    <row r="643" spans="1:281">
      <c r="A643" s="295"/>
      <c r="IU643" s="335"/>
      <c r="IV643" s="335"/>
      <c r="IW643" s="335"/>
      <c r="JS643" s="333"/>
      <c r="JT643" s="333"/>
      <c r="JU643" s="333"/>
    </row>
    <row r="644" spans="1:281">
      <c r="A644" s="295"/>
      <c r="IU644" s="335"/>
      <c r="IV644" s="335"/>
      <c r="IW644" s="335"/>
      <c r="JS644" s="333"/>
      <c r="JT644" s="333"/>
      <c r="JU644" s="333"/>
    </row>
    <row r="645" spans="1:281">
      <c r="A645" s="295"/>
      <c r="IU645" s="335"/>
      <c r="IV645" s="335"/>
      <c r="IW645" s="335"/>
      <c r="JS645" s="333"/>
      <c r="JT645" s="333"/>
      <c r="JU645" s="333"/>
    </row>
    <row r="646" spans="1:281">
      <c r="A646" s="295"/>
      <c r="IU646" s="335"/>
      <c r="IV646" s="335"/>
      <c r="IW646" s="335"/>
      <c r="JS646" s="333"/>
      <c r="JT646" s="333"/>
      <c r="JU646" s="333"/>
    </row>
    <row r="647" spans="1:281">
      <c r="A647" s="295"/>
      <c r="IU647" s="335"/>
      <c r="IV647" s="335"/>
      <c r="IW647" s="335"/>
      <c r="JS647" s="333"/>
      <c r="JT647" s="333"/>
      <c r="JU647" s="333"/>
    </row>
    <row r="648" spans="1:281">
      <c r="A648" s="295"/>
      <c r="IU648" s="335"/>
      <c r="IV648" s="335"/>
      <c r="IW648" s="335"/>
      <c r="JS648" s="333"/>
      <c r="JT648" s="333"/>
      <c r="JU648" s="333"/>
    </row>
    <row r="649" spans="1:281">
      <c r="A649" s="295"/>
      <c r="IU649" s="335"/>
      <c r="IV649" s="335"/>
      <c r="IW649" s="335"/>
      <c r="JS649" s="333"/>
      <c r="JT649" s="333"/>
      <c r="JU649" s="333"/>
    </row>
    <row r="650" spans="1:281">
      <c r="A650" s="295"/>
      <c r="IU650" s="335"/>
      <c r="IV650" s="335"/>
      <c r="IW650" s="335"/>
      <c r="JS650" s="333"/>
      <c r="JT650" s="333"/>
      <c r="JU650" s="333"/>
    </row>
    <row r="651" spans="1:281">
      <c r="A651" s="295"/>
      <c r="IU651" s="335"/>
      <c r="IV651" s="335"/>
      <c r="IW651" s="335"/>
      <c r="JS651" s="333"/>
      <c r="JT651" s="333"/>
      <c r="JU651" s="333"/>
    </row>
    <row r="652" spans="1:281">
      <c r="A652" s="295"/>
      <c r="IU652" s="335"/>
      <c r="IV652" s="335"/>
      <c r="IW652" s="335"/>
      <c r="JS652" s="333"/>
      <c r="JT652" s="333"/>
      <c r="JU652" s="333"/>
    </row>
    <row r="653" spans="1:281">
      <c r="A653" s="295"/>
      <c r="IU653" s="335"/>
      <c r="IV653" s="335"/>
      <c r="IW653" s="335"/>
      <c r="JS653" s="333"/>
      <c r="JT653" s="333"/>
      <c r="JU653" s="333"/>
    </row>
    <row r="654" spans="1:281">
      <c r="A654" s="295"/>
      <c r="IU654" s="335"/>
      <c r="IV654" s="335"/>
      <c r="IW654" s="335"/>
      <c r="JS654" s="333"/>
      <c r="JT654" s="333"/>
      <c r="JU654" s="333"/>
    </row>
    <row r="655" spans="1:281">
      <c r="A655" s="295"/>
      <c r="IU655" s="335"/>
      <c r="IV655" s="335"/>
      <c r="IW655" s="335"/>
      <c r="JS655" s="333"/>
      <c r="JT655" s="333"/>
      <c r="JU655" s="333"/>
    </row>
    <row r="656" spans="1:281">
      <c r="A656" s="295"/>
      <c r="IU656" s="335"/>
      <c r="IV656" s="335"/>
      <c r="IW656" s="335"/>
      <c r="JS656" s="333"/>
      <c r="JT656" s="333"/>
      <c r="JU656" s="333"/>
    </row>
    <row r="657" spans="1:281">
      <c r="A657" s="295"/>
      <c r="IU657" s="335"/>
      <c r="IV657" s="335"/>
      <c r="IW657" s="335"/>
      <c r="JS657" s="333"/>
      <c r="JT657" s="333"/>
      <c r="JU657" s="333"/>
    </row>
    <row r="658" spans="1:281">
      <c r="A658" s="295"/>
      <c r="IU658" s="335"/>
      <c r="IV658" s="335"/>
      <c r="IW658" s="335"/>
      <c r="JS658" s="333"/>
      <c r="JT658" s="333"/>
      <c r="JU658" s="333"/>
    </row>
    <row r="659" spans="1:281">
      <c r="A659" s="295"/>
      <c r="IU659" s="335"/>
      <c r="IV659" s="335"/>
      <c r="IW659" s="335"/>
      <c r="JS659" s="333"/>
      <c r="JT659" s="333"/>
      <c r="JU659" s="333"/>
    </row>
    <row r="660" spans="1:281">
      <c r="A660" s="295"/>
      <c r="IU660" s="335"/>
      <c r="IV660" s="335"/>
      <c r="IW660" s="335"/>
      <c r="JS660" s="333"/>
      <c r="JT660" s="333"/>
      <c r="JU660" s="333"/>
    </row>
    <row r="661" spans="1:281">
      <c r="A661" s="295"/>
      <c r="IU661" s="335"/>
      <c r="IV661" s="335"/>
      <c r="IW661" s="335"/>
      <c r="JS661" s="333"/>
      <c r="JT661" s="333"/>
      <c r="JU661" s="333"/>
    </row>
    <row r="662" spans="1:281">
      <c r="A662" s="295"/>
      <c r="IU662" s="335"/>
      <c r="IV662" s="335"/>
      <c r="IW662" s="335"/>
      <c r="JS662" s="333"/>
      <c r="JT662" s="333"/>
      <c r="JU662" s="333"/>
    </row>
    <row r="663" spans="1:281">
      <c r="A663" s="295"/>
      <c r="IU663" s="335"/>
      <c r="IV663" s="335"/>
      <c r="IW663" s="335"/>
      <c r="JS663" s="333"/>
      <c r="JT663" s="333"/>
      <c r="JU663" s="333"/>
    </row>
    <row r="664" spans="1:281">
      <c r="A664" s="295"/>
      <c r="IU664" s="335"/>
      <c r="IV664" s="335"/>
      <c r="IW664" s="335"/>
      <c r="JS664" s="333"/>
      <c r="JT664" s="333"/>
      <c r="JU664" s="333"/>
    </row>
    <row r="665" spans="1:281">
      <c r="A665" s="295"/>
      <c r="IU665" s="335"/>
      <c r="IV665" s="335"/>
      <c r="IW665" s="335"/>
      <c r="JS665" s="333"/>
      <c r="JT665" s="333"/>
      <c r="JU665" s="333"/>
    </row>
    <row r="666" spans="1:281">
      <c r="A666" s="295"/>
      <c r="IU666" s="335"/>
      <c r="IV666" s="335"/>
      <c r="IW666" s="335"/>
      <c r="JS666" s="333"/>
      <c r="JT666" s="333"/>
      <c r="JU666" s="333"/>
    </row>
    <row r="667" spans="1:281">
      <c r="A667" s="295"/>
      <c r="IU667" s="335"/>
      <c r="IV667" s="335"/>
      <c r="IW667" s="335"/>
      <c r="JS667" s="333"/>
      <c r="JT667" s="333"/>
      <c r="JU667" s="333"/>
    </row>
    <row r="668" spans="1:281">
      <c r="A668" s="295"/>
      <c r="IU668" s="335"/>
      <c r="IV668" s="335"/>
      <c r="IW668" s="335"/>
      <c r="JS668" s="333"/>
      <c r="JT668" s="333"/>
      <c r="JU668" s="333"/>
    </row>
    <row r="669" spans="1:281">
      <c r="A669" s="295"/>
      <c r="IU669" s="335"/>
      <c r="IV669" s="335"/>
      <c r="IW669" s="335"/>
      <c r="JS669" s="333"/>
      <c r="JT669" s="333"/>
      <c r="JU669" s="333"/>
    </row>
    <row r="670" spans="1:281">
      <c r="A670" s="295"/>
      <c r="IU670" s="335"/>
      <c r="IV670" s="335"/>
      <c r="IW670" s="335"/>
      <c r="JS670" s="333"/>
      <c r="JT670" s="333"/>
      <c r="JU670" s="333"/>
    </row>
    <row r="671" spans="1:281">
      <c r="A671" s="295"/>
      <c r="IU671" s="335"/>
      <c r="IV671" s="335"/>
      <c r="IW671" s="335"/>
      <c r="JS671" s="333"/>
      <c r="JT671" s="333"/>
      <c r="JU671" s="333"/>
    </row>
    <row r="672" spans="1:281">
      <c r="A672" s="295"/>
      <c r="IU672" s="335"/>
      <c r="IV672" s="335"/>
      <c r="IW672" s="335"/>
      <c r="JS672" s="333"/>
      <c r="JT672" s="333"/>
      <c r="JU672" s="333"/>
    </row>
    <row r="673" spans="1:281">
      <c r="A673" s="295"/>
      <c r="IU673" s="335"/>
      <c r="IV673" s="335"/>
      <c r="IW673" s="335"/>
      <c r="JS673" s="333"/>
      <c r="JT673" s="333"/>
      <c r="JU673" s="333"/>
    </row>
    <row r="674" spans="1:281">
      <c r="A674" s="295"/>
      <c r="IU674" s="335"/>
      <c r="IV674" s="335"/>
      <c r="IW674" s="335"/>
      <c r="JS674" s="333"/>
      <c r="JT674" s="333"/>
      <c r="JU674" s="333"/>
    </row>
    <row r="675" spans="1:281">
      <c r="A675" s="295"/>
      <c r="IU675" s="335"/>
      <c r="IV675" s="335"/>
      <c r="IW675" s="335"/>
      <c r="JS675" s="333"/>
      <c r="JT675" s="333"/>
      <c r="JU675" s="333"/>
    </row>
    <row r="676" spans="1:281">
      <c r="A676" s="295"/>
      <c r="IU676" s="335"/>
      <c r="IV676" s="335"/>
      <c r="IW676" s="335"/>
      <c r="JS676" s="333"/>
      <c r="JT676" s="333"/>
      <c r="JU676" s="333"/>
    </row>
    <row r="677" spans="1:281">
      <c r="A677" s="295"/>
      <c r="IU677" s="335"/>
      <c r="IV677" s="335"/>
      <c r="IW677" s="335"/>
      <c r="JS677" s="333"/>
      <c r="JT677" s="333"/>
      <c r="JU677" s="333"/>
    </row>
    <row r="678" spans="1:281">
      <c r="A678" s="295"/>
      <c r="IU678" s="335"/>
      <c r="IV678" s="335"/>
      <c r="IW678" s="335"/>
      <c r="JS678" s="333"/>
      <c r="JT678" s="333"/>
      <c r="JU678" s="333"/>
    </row>
    <row r="679" spans="1:281">
      <c r="A679" s="295"/>
      <c r="IU679" s="335"/>
      <c r="IV679" s="335"/>
      <c r="IW679" s="335"/>
      <c r="JS679" s="333"/>
      <c r="JT679" s="333"/>
      <c r="JU679" s="333"/>
    </row>
    <row r="680" spans="1:281">
      <c r="A680" s="295"/>
      <c r="IU680" s="335"/>
      <c r="IV680" s="335"/>
      <c r="IW680" s="335"/>
      <c r="JS680" s="333"/>
      <c r="JT680" s="333"/>
      <c r="JU680" s="333"/>
    </row>
    <row r="681" spans="1:281">
      <c r="A681" s="295"/>
      <c r="IU681" s="335"/>
      <c r="IV681" s="335"/>
      <c r="IW681" s="335"/>
      <c r="JS681" s="333"/>
      <c r="JT681" s="333"/>
      <c r="JU681" s="333"/>
    </row>
    <row r="682" spans="1:281">
      <c r="A682" s="295"/>
      <c r="IU682" s="335"/>
      <c r="IV682" s="335"/>
      <c r="IW682" s="335"/>
      <c r="JS682" s="333"/>
      <c r="JT682" s="333"/>
      <c r="JU682" s="333"/>
    </row>
    <row r="683" spans="1:281">
      <c r="A683" s="295"/>
      <c r="IU683" s="335"/>
      <c r="IV683" s="335"/>
      <c r="IW683" s="335"/>
      <c r="JS683" s="333"/>
      <c r="JT683" s="333"/>
      <c r="JU683" s="333"/>
    </row>
    <row r="684" spans="1:281">
      <c r="A684" s="295"/>
      <c r="IU684" s="335"/>
      <c r="IV684" s="335"/>
      <c r="IW684" s="335"/>
      <c r="JS684" s="333"/>
      <c r="JT684" s="333"/>
      <c r="JU684" s="333"/>
    </row>
    <row r="685" spans="1:281">
      <c r="A685" s="295"/>
      <c r="IU685" s="335"/>
      <c r="IV685" s="335"/>
      <c r="IW685" s="335"/>
      <c r="JS685" s="333"/>
      <c r="JT685" s="333"/>
      <c r="JU685" s="333"/>
    </row>
    <row r="686" spans="1:281">
      <c r="A686" s="295"/>
      <c r="IU686" s="335"/>
      <c r="IV686" s="335"/>
      <c r="IW686" s="335"/>
      <c r="JS686" s="333"/>
      <c r="JT686" s="333"/>
      <c r="JU686" s="333"/>
    </row>
    <row r="687" spans="1:281">
      <c r="A687" s="295"/>
      <c r="IU687" s="335"/>
      <c r="IV687" s="335"/>
      <c r="IW687" s="335"/>
      <c r="JS687" s="333"/>
      <c r="JT687" s="333"/>
      <c r="JU687" s="333"/>
    </row>
    <row r="688" spans="1:281">
      <c r="A688" s="295"/>
      <c r="IU688" s="335"/>
      <c r="IV688" s="335"/>
      <c r="IW688" s="335"/>
      <c r="JS688" s="333"/>
      <c r="JT688" s="333"/>
      <c r="JU688" s="333"/>
    </row>
    <row r="689" spans="1:281">
      <c r="A689" s="295"/>
      <c r="IU689" s="335"/>
      <c r="IV689" s="335"/>
      <c r="IW689" s="335"/>
      <c r="JS689" s="333"/>
      <c r="JT689" s="333"/>
      <c r="JU689" s="333"/>
    </row>
    <row r="690" spans="1:281">
      <c r="A690" s="295"/>
      <c r="IU690" s="335"/>
      <c r="IV690" s="335"/>
      <c r="IW690" s="335"/>
      <c r="JS690" s="333"/>
      <c r="JT690" s="333"/>
      <c r="JU690" s="333"/>
    </row>
    <row r="691" spans="1:281">
      <c r="A691" s="295"/>
      <c r="IU691" s="335"/>
      <c r="IV691" s="335"/>
      <c r="IW691" s="335"/>
      <c r="JS691" s="333"/>
      <c r="JT691" s="333"/>
      <c r="JU691" s="333"/>
    </row>
    <row r="692" spans="1:281">
      <c r="A692" s="295"/>
      <c r="IU692" s="335"/>
      <c r="IV692" s="335"/>
      <c r="IW692" s="335"/>
      <c r="JS692" s="333"/>
      <c r="JT692" s="333"/>
      <c r="JU692" s="333"/>
    </row>
    <row r="693" spans="1:281">
      <c r="A693" s="295"/>
      <c r="IU693" s="335"/>
      <c r="IV693" s="335"/>
      <c r="IW693" s="335"/>
      <c r="JS693" s="333"/>
      <c r="JT693" s="333"/>
      <c r="JU693" s="333"/>
    </row>
    <row r="694" spans="1:281">
      <c r="A694" s="295"/>
      <c r="IU694" s="335"/>
      <c r="IV694" s="335"/>
      <c r="IW694" s="335"/>
      <c r="JS694" s="333"/>
      <c r="JT694" s="333"/>
      <c r="JU694" s="333"/>
    </row>
    <row r="695" spans="1:281">
      <c r="A695" s="295"/>
      <c r="IU695" s="335"/>
      <c r="IV695" s="335"/>
      <c r="IW695" s="335"/>
      <c r="JS695" s="333"/>
      <c r="JT695" s="333"/>
      <c r="JU695" s="333"/>
    </row>
    <row r="696" spans="1:281">
      <c r="A696" s="295"/>
      <c r="IU696" s="335"/>
      <c r="IV696" s="335"/>
      <c r="IW696" s="335"/>
      <c r="JS696" s="333"/>
      <c r="JT696" s="333"/>
      <c r="JU696" s="333"/>
    </row>
    <row r="697" spans="1:281">
      <c r="A697" s="295"/>
      <c r="IU697" s="335"/>
      <c r="IV697" s="335"/>
      <c r="IW697" s="335"/>
      <c r="JS697" s="333"/>
      <c r="JT697" s="333"/>
      <c r="JU697" s="333"/>
    </row>
    <row r="698" spans="1:281">
      <c r="A698" s="295"/>
      <c r="IU698" s="335"/>
      <c r="IV698" s="335"/>
      <c r="IW698" s="335"/>
      <c r="JS698" s="333"/>
      <c r="JT698" s="333"/>
      <c r="JU698" s="333"/>
    </row>
    <row r="699" spans="1:281">
      <c r="A699" s="295"/>
      <c r="IU699" s="335"/>
      <c r="IV699" s="335"/>
      <c r="IW699" s="335"/>
      <c r="JS699" s="333"/>
      <c r="JT699" s="333"/>
      <c r="JU699" s="333"/>
    </row>
    <row r="700" spans="1:281">
      <c r="A700" s="295"/>
      <c r="IU700" s="335"/>
      <c r="IV700" s="335"/>
      <c r="IW700" s="335"/>
      <c r="JS700" s="333"/>
      <c r="JT700" s="333"/>
      <c r="JU700" s="333"/>
    </row>
    <row r="701" spans="1:281">
      <c r="A701" s="295"/>
      <c r="IU701" s="335"/>
      <c r="IV701" s="335"/>
      <c r="IW701" s="335"/>
      <c r="JS701" s="333"/>
      <c r="JT701" s="333"/>
      <c r="JU701" s="333"/>
    </row>
    <row r="702" spans="1:281">
      <c r="A702" s="295"/>
      <c r="IU702" s="335"/>
      <c r="IV702" s="335"/>
      <c r="IW702" s="335"/>
      <c r="JS702" s="333"/>
      <c r="JT702" s="333"/>
      <c r="JU702" s="333"/>
    </row>
    <row r="703" spans="1:281">
      <c r="A703" s="295"/>
      <c r="IU703" s="335"/>
      <c r="IV703" s="335"/>
      <c r="IW703" s="335"/>
      <c r="JS703" s="333"/>
      <c r="JT703" s="333"/>
      <c r="JU703" s="333"/>
    </row>
    <row r="704" spans="1:281">
      <c r="A704" s="295"/>
      <c r="IU704" s="335"/>
      <c r="IV704" s="335"/>
      <c r="IW704" s="335"/>
      <c r="JS704" s="333"/>
      <c r="JT704" s="333"/>
      <c r="JU704" s="333"/>
    </row>
    <row r="705" spans="1:281">
      <c r="A705" s="295"/>
      <c r="IU705" s="335"/>
      <c r="IV705" s="335"/>
      <c r="IW705" s="335"/>
      <c r="JS705" s="333"/>
      <c r="JT705" s="333"/>
      <c r="JU705" s="333"/>
    </row>
    <row r="706" spans="1:281">
      <c r="A706" s="295"/>
      <c r="IU706" s="335"/>
      <c r="IV706" s="335"/>
      <c r="IW706" s="335"/>
      <c r="JS706" s="333"/>
      <c r="JT706" s="333"/>
      <c r="JU706" s="333"/>
    </row>
    <row r="707" spans="1:281">
      <c r="A707" s="295"/>
      <c r="IU707" s="335"/>
      <c r="IV707" s="335"/>
      <c r="IW707" s="335"/>
      <c r="JS707" s="333"/>
      <c r="JT707" s="333"/>
      <c r="JU707" s="333"/>
    </row>
    <row r="708" spans="1:281">
      <c r="A708" s="295"/>
      <c r="IU708" s="335"/>
      <c r="IV708" s="335"/>
      <c r="IW708" s="335"/>
      <c r="JS708" s="333"/>
      <c r="JT708" s="333"/>
      <c r="JU708" s="333"/>
    </row>
    <row r="709" spans="1:281">
      <c r="A709" s="295"/>
      <c r="IU709" s="335"/>
      <c r="IV709" s="335"/>
      <c r="IW709" s="335"/>
      <c r="JS709" s="333"/>
      <c r="JT709" s="333"/>
      <c r="JU709" s="333"/>
    </row>
    <row r="710" spans="1:281">
      <c r="A710" s="295"/>
      <c r="IU710" s="335"/>
      <c r="IV710" s="335"/>
      <c r="IW710" s="335"/>
      <c r="JS710" s="333"/>
      <c r="JT710" s="333"/>
      <c r="JU710" s="333"/>
    </row>
    <row r="711" spans="1:281">
      <c r="A711" s="295"/>
      <c r="IU711" s="335"/>
      <c r="IV711" s="335"/>
      <c r="IW711" s="335"/>
      <c r="JS711" s="333"/>
      <c r="JT711" s="333"/>
      <c r="JU711" s="333"/>
    </row>
    <row r="712" spans="1:281">
      <c r="A712" s="295"/>
      <c r="IU712" s="335"/>
      <c r="IV712" s="335"/>
      <c r="IW712" s="335"/>
      <c r="JS712" s="333"/>
      <c r="JT712" s="333"/>
      <c r="JU712" s="333"/>
    </row>
    <row r="713" spans="1:281">
      <c r="A713" s="295"/>
      <c r="IU713" s="335"/>
      <c r="IV713" s="335"/>
      <c r="IW713" s="335"/>
      <c r="JS713" s="333"/>
      <c r="JT713" s="333"/>
      <c r="JU713" s="333"/>
    </row>
    <row r="714" spans="1:281">
      <c r="A714" s="295"/>
      <c r="IU714" s="335"/>
      <c r="IV714" s="335"/>
      <c r="IW714" s="335"/>
      <c r="JS714" s="333"/>
      <c r="JT714" s="333"/>
      <c r="JU714" s="333"/>
    </row>
    <row r="715" spans="1:281">
      <c r="A715" s="295"/>
      <c r="IU715" s="335"/>
      <c r="IV715" s="335"/>
      <c r="IW715" s="335"/>
      <c r="JS715" s="333"/>
      <c r="JT715" s="333"/>
      <c r="JU715" s="333"/>
    </row>
    <row r="716" spans="1:281">
      <c r="A716" s="295"/>
      <c r="IU716" s="335"/>
      <c r="IV716" s="335"/>
      <c r="IW716" s="335"/>
      <c r="JS716" s="333"/>
      <c r="JT716" s="333"/>
      <c r="JU716" s="333"/>
    </row>
    <row r="717" spans="1:281">
      <c r="A717" s="295"/>
      <c r="IU717" s="335"/>
      <c r="IV717" s="335"/>
      <c r="IW717" s="335"/>
      <c r="JS717" s="333"/>
      <c r="JT717" s="333"/>
      <c r="JU717" s="333"/>
    </row>
    <row r="718" spans="1:281">
      <c r="A718" s="295"/>
      <c r="IU718" s="335"/>
      <c r="IV718" s="335"/>
      <c r="IW718" s="335"/>
      <c r="JS718" s="333"/>
      <c r="JT718" s="333"/>
      <c r="JU718" s="333"/>
    </row>
    <row r="719" spans="1:281">
      <c r="A719" s="295"/>
      <c r="IU719" s="335"/>
      <c r="IV719" s="335"/>
      <c r="IW719" s="335"/>
      <c r="JS719" s="333"/>
      <c r="JT719" s="333"/>
      <c r="JU719" s="333"/>
    </row>
    <row r="720" spans="1:281">
      <c r="A720" s="295"/>
      <c r="IU720" s="335"/>
      <c r="IV720" s="335"/>
      <c r="IW720" s="335"/>
      <c r="JS720" s="333"/>
      <c r="JT720" s="333"/>
      <c r="JU720" s="333"/>
    </row>
    <row r="721" spans="1:281">
      <c r="A721" s="295"/>
      <c r="IU721" s="335"/>
      <c r="IV721" s="335"/>
      <c r="IW721" s="335"/>
      <c r="JS721" s="333"/>
      <c r="JT721" s="333"/>
      <c r="JU721" s="333"/>
    </row>
    <row r="722" spans="1:281">
      <c r="A722" s="295"/>
      <c r="IU722" s="335"/>
      <c r="IV722" s="335"/>
      <c r="IW722" s="335"/>
      <c r="JS722" s="333"/>
      <c r="JT722" s="333"/>
      <c r="JU722" s="333"/>
    </row>
    <row r="723" spans="1:281">
      <c r="A723" s="295"/>
      <c r="IU723" s="335"/>
      <c r="IV723" s="335"/>
      <c r="IW723" s="335"/>
      <c r="JS723" s="333"/>
      <c r="JT723" s="333"/>
      <c r="JU723" s="333"/>
    </row>
    <row r="724" spans="1:281">
      <c r="A724" s="295"/>
      <c r="IU724" s="335"/>
      <c r="IV724" s="335"/>
      <c r="IW724" s="335"/>
      <c r="JS724" s="333"/>
      <c r="JT724" s="333"/>
      <c r="JU724" s="333"/>
    </row>
    <row r="725" spans="1:281">
      <c r="A725" s="295"/>
      <c r="IU725" s="335"/>
      <c r="IV725" s="335"/>
      <c r="IW725" s="335"/>
      <c r="JS725" s="333"/>
      <c r="JT725" s="333"/>
      <c r="JU725" s="333"/>
    </row>
    <row r="726" spans="1:281">
      <c r="A726" s="295"/>
      <c r="IU726" s="335"/>
      <c r="IV726" s="335"/>
      <c r="IW726" s="335"/>
      <c r="JS726" s="333"/>
      <c r="JT726" s="333"/>
      <c r="JU726" s="333"/>
    </row>
    <row r="727" spans="1:281">
      <c r="A727" s="295"/>
      <c r="IU727" s="335"/>
      <c r="IV727" s="335"/>
      <c r="IW727" s="335"/>
      <c r="JS727" s="333"/>
      <c r="JT727" s="333"/>
      <c r="JU727" s="333"/>
    </row>
    <row r="728" spans="1:281">
      <c r="A728" s="295"/>
      <c r="IU728" s="335"/>
      <c r="IV728" s="335"/>
      <c r="IW728" s="335"/>
      <c r="JS728" s="333"/>
      <c r="JT728" s="333"/>
      <c r="JU728" s="333"/>
    </row>
    <row r="729" spans="1:281">
      <c r="A729" s="295"/>
      <c r="IU729" s="335"/>
      <c r="IV729" s="335"/>
      <c r="IW729" s="335"/>
      <c r="JS729" s="333"/>
      <c r="JT729" s="333"/>
      <c r="JU729" s="333"/>
    </row>
    <row r="730" spans="1:281">
      <c r="A730" s="295"/>
      <c r="IU730" s="335"/>
      <c r="IV730" s="335"/>
      <c r="IW730" s="335"/>
      <c r="JS730" s="333"/>
      <c r="JT730" s="333"/>
      <c r="JU730" s="333"/>
    </row>
    <row r="731" spans="1:281">
      <c r="A731" s="295"/>
      <c r="IU731" s="335"/>
      <c r="IV731" s="335"/>
      <c r="IW731" s="335"/>
      <c r="JS731" s="333"/>
      <c r="JT731" s="333"/>
      <c r="JU731" s="333"/>
    </row>
    <row r="732" spans="1:281">
      <c r="A732" s="295"/>
      <c r="IU732" s="335"/>
      <c r="IV732" s="335"/>
      <c r="IW732" s="335"/>
      <c r="JS732" s="333"/>
      <c r="JT732" s="333"/>
      <c r="JU732" s="333"/>
    </row>
    <row r="733" spans="1:281">
      <c r="A733" s="295"/>
      <c r="IU733" s="335"/>
      <c r="IV733" s="335"/>
      <c r="IW733" s="335"/>
      <c r="JS733" s="333"/>
      <c r="JT733" s="333"/>
      <c r="JU733" s="333"/>
    </row>
    <row r="734" spans="1:281">
      <c r="A734" s="295"/>
      <c r="IU734" s="335"/>
      <c r="IV734" s="335"/>
      <c r="IW734" s="335"/>
      <c r="JS734" s="333"/>
      <c r="JT734" s="333"/>
      <c r="JU734" s="333"/>
    </row>
    <row r="735" spans="1:281">
      <c r="A735" s="295"/>
      <c r="IU735" s="335"/>
      <c r="IV735" s="335"/>
      <c r="IW735" s="335"/>
      <c r="JS735" s="333"/>
      <c r="JT735" s="333"/>
      <c r="JU735" s="333"/>
    </row>
    <row r="736" spans="1:281">
      <c r="A736" s="295"/>
      <c r="IU736" s="335"/>
      <c r="IV736" s="335"/>
      <c r="IW736" s="335"/>
      <c r="JS736" s="333"/>
      <c r="JT736" s="333"/>
      <c r="JU736" s="333"/>
    </row>
    <row r="737" spans="1:281">
      <c r="A737" s="295"/>
      <c r="IU737" s="335"/>
      <c r="IV737" s="335"/>
      <c r="IW737" s="335"/>
      <c r="JS737" s="333"/>
      <c r="JT737" s="333"/>
      <c r="JU737" s="333"/>
    </row>
    <row r="738" spans="1:281">
      <c r="A738" s="295"/>
      <c r="IU738" s="335"/>
      <c r="IV738" s="335"/>
      <c r="IW738" s="335"/>
      <c r="JS738" s="333"/>
      <c r="JT738" s="333"/>
      <c r="JU738" s="333"/>
    </row>
    <row r="739" spans="1:281">
      <c r="A739" s="295"/>
      <c r="IU739" s="335"/>
      <c r="IV739" s="335"/>
      <c r="IW739" s="335"/>
      <c r="JS739" s="333"/>
      <c r="JT739" s="333"/>
      <c r="JU739" s="333"/>
    </row>
    <row r="740" spans="1:281">
      <c r="A740" s="295"/>
      <c r="IU740" s="335"/>
      <c r="IV740" s="335"/>
      <c r="IW740" s="335"/>
      <c r="JS740" s="333"/>
      <c r="JT740" s="333"/>
      <c r="JU740" s="333"/>
    </row>
    <row r="741" spans="1:281">
      <c r="A741" s="295"/>
      <c r="IU741" s="335"/>
      <c r="IV741" s="335"/>
      <c r="IW741" s="335"/>
      <c r="JS741" s="333"/>
      <c r="JT741" s="333"/>
      <c r="JU741" s="333"/>
    </row>
    <row r="742" spans="1:281">
      <c r="A742" s="295"/>
      <c r="IU742" s="335"/>
      <c r="IV742" s="335"/>
      <c r="IW742" s="335"/>
      <c r="JS742" s="333"/>
      <c r="JT742" s="333"/>
      <c r="JU742" s="333"/>
    </row>
    <row r="743" spans="1:281">
      <c r="A743" s="295"/>
      <c r="IU743" s="335"/>
      <c r="IV743" s="335"/>
      <c r="IW743" s="335"/>
      <c r="JS743" s="333"/>
      <c r="JT743" s="333"/>
      <c r="JU743" s="333"/>
    </row>
    <row r="744" spans="1:281">
      <c r="A744" s="295"/>
      <c r="IU744" s="335"/>
      <c r="IV744" s="335"/>
      <c r="IW744" s="335"/>
      <c r="JS744" s="333"/>
      <c r="JT744" s="333"/>
      <c r="JU744" s="333"/>
    </row>
    <row r="745" spans="1:281">
      <c r="A745" s="295"/>
      <c r="IU745" s="335"/>
      <c r="IV745" s="335"/>
      <c r="IW745" s="335"/>
      <c r="JS745" s="333"/>
      <c r="JT745" s="333"/>
      <c r="JU745" s="333"/>
    </row>
    <row r="746" spans="1:281">
      <c r="A746" s="295"/>
      <c r="IU746" s="335"/>
      <c r="IV746" s="335"/>
      <c r="IW746" s="335"/>
      <c r="JS746" s="333"/>
      <c r="JT746" s="333"/>
      <c r="JU746" s="333"/>
    </row>
    <row r="747" spans="1:281">
      <c r="A747" s="295"/>
      <c r="IU747" s="335"/>
      <c r="IV747" s="335"/>
      <c r="IW747" s="335"/>
      <c r="JS747" s="333"/>
      <c r="JT747" s="333"/>
      <c r="JU747" s="333"/>
    </row>
    <row r="748" spans="1:281">
      <c r="A748" s="295"/>
      <c r="IU748" s="335"/>
      <c r="IV748" s="335"/>
      <c r="IW748" s="335"/>
      <c r="JS748" s="333"/>
      <c r="JT748" s="333"/>
      <c r="JU748" s="333"/>
    </row>
    <row r="749" spans="1:281">
      <c r="A749" s="295"/>
      <c r="IU749" s="335"/>
      <c r="IV749" s="335"/>
      <c r="IW749" s="335"/>
      <c r="JS749" s="333"/>
      <c r="JT749" s="333"/>
      <c r="JU749" s="333"/>
    </row>
    <row r="750" spans="1:281">
      <c r="A750" s="295"/>
      <c r="IU750" s="335"/>
      <c r="IV750" s="335"/>
      <c r="IW750" s="335"/>
      <c r="JS750" s="333"/>
      <c r="JT750" s="333"/>
      <c r="JU750" s="333"/>
    </row>
    <row r="751" spans="1:281">
      <c r="A751" s="295"/>
      <c r="IU751" s="335"/>
      <c r="IV751" s="335"/>
      <c r="IW751" s="335"/>
      <c r="JS751" s="333"/>
      <c r="JT751" s="333"/>
      <c r="JU751" s="333"/>
    </row>
    <row r="752" spans="1:281">
      <c r="A752" s="295"/>
      <c r="IU752" s="335"/>
      <c r="IV752" s="335"/>
      <c r="IW752" s="335"/>
      <c r="JS752" s="333"/>
      <c r="JT752" s="333"/>
      <c r="JU752" s="333"/>
    </row>
    <row r="753" spans="1:281">
      <c r="A753" s="295"/>
      <c r="IU753" s="335"/>
      <c r="IV753" s="335"/>
      <c r="IW753" s="335"/>
      <c r="JS753" s="333"/>
      <c r="JT753" s="333"/>
      <c r="JU753" s="333"/>
    </row>
    <row r="754" spans="1:281">
      <c r="A754" s="295"/>
      <c r="IU754" s="335"/>
      <c r="IV754" s="335"/>
      <c r="IW754" s="335"/>
    </row>
    <row r="755" spans="1:281">
      <c r="A755" s="295"/>
      <c r="IU755" s="335"/>
      <c r="IV755" s="335"/>
      <c r="IW755" s="335"/>
    </row>
    <row r="756" spans="1:281">
      <c r="A756" s="295"/>
      <c r="IU756" s="335"/>
      <c r="IV756" s="335"/>
      <c r="IW756" s="335"/>
    </row>
    <row r="757" spans="1:281">
      <c r="A757" s="295"/>
      <c r="IU757" s="335"/>
      <c r="IV757" s="335"/>
      <c r="IW757" s="335"/>
    </row>
    <row r="758" spans="1:281">
      <c r="A758" s="295"/>
      <c r="IU758" s="335"/>
      <c r="IV758" s="335"/>
      <c r="IW758" s="335"/>
    </row>
    <row r="759" spans="1:281">
      <c r="A759" s="295"/>
      <c r="IU759" s="335"/>
      <c r="IV759" s="335"/>
      <c r="IW759" s="335"/>
    </row>
    <row r="760" spans="1:281">
      <c r="A760" s="295"/>
      <c r="IU760" s="335"/>
      <c r="IV760" s="335"/>
      <c r="IW760" s="335"/>
    </row>
    <row r="761" spans="1:281">
      <c r="A761" s="295"/>
      <c r="IU761" s="335"/>
      <c r="IV761" s="335"/>
      <c r="IW761" s="335"/>
    </row>
    <row r="762" spans="1:281">
      <c r="A762" s="295"/>
      <c r="IU762" s="335"/>
      <c r="IV762" s="335"/>
      <c r="IW762" s="335"/>
    </row>
    <row r="763" spans="1:281">
      <c r="A763" s="295"/>
      <c r="IU763" s="335"/>
      <c r="IV763" s="335"/>
      <c r="IW763" s="335"/>
    </row>
    <row r="764" spans="1:281">
      <c r="A764" s="295"/>
      <c r="IU764" s="335"/>
      <c r="IV764" s="335"/>
      <c r="IW764" s="335"/>
    </row>
    <row r="765" spans="1:281">
      <c r="A765" s="295"/>
      <c r="IU765" s="335"/>
      <c r="IV765" s="335"/>
      <c r="IW765" s="335"/>
    </row>
    <row r="766" spans="1:281">
      <c r="A766" s="295"/>
      <c r="IU766" s="335"/>
      <c r="IV766" s="335"/>
      <c r="IW766" s="335"/>
    </row>
    <row r="767" spans="1:281">
      <c r="A767" s="295"/>
      <c r="IU767" s="335"/>
      <c r="IV767" s="335"/>
      <c r="IW767" s="335"/>
    </row>
    <row r="768" spans="1:281">
      <c r="A768" s="295"/>
      <c r="IU768" s="335"/>
      <c r="IV768" s="335"/>
      <c r="IW768" s="335"/>
    </row>
    <row r="769" spans="1:257">
      <c r="A769" s="295"/>
      <c r="IU769" s="335"/>
      <c r="IV769" s="335"/>
      <c r="IW769" s="335"/>
    </row>
    <row r="770" spans="1:257">
      <c r="A770" s="295"/>
      <c r="IU770" s="335"/>
      <c r="IV770" s="335"/>
      <c r="IW770" s="335"/>
    </row>
    <row r="771" spans="1:257">
      <c r="A771" s="295"/>
      <c r="IU771" s="335"/>
      <c r="IV771" s="335"/>
      <c r="IW771" s="335"/>
    </row>
    <row r="772" spans="1:257">
      <c r="A772" s="295"/>
      <c r="IU772" s="335"/>
      <c r="IV772" s="335"/>
      <c r="IW772" s="335"/>
    </row>
    <row r="773" spans="1:257">
      <c r="A773" s="295"/>
      <c r="IU773" s="335"/>
      <c r="IV773" s="335"/>
      <c r="IW773" s="335"/>
    </row>
    <row r="774" spans="1:257">
      <c r="A774" s="295"/>
      <c r="IU774" s="335"/>
      <c r="IV774" s="335"/>
      <c r="IW774" s="335"/>
    </row>
    <row r="775" spans="1:257">
      <c r="A775" s="295"/>
      <c r="IU775" s="335"/>
      <c r="IV775" s="335"/>
      <c r="IW775" s="335"/>
    </row>
    <row r="776" spans="1:257">
      <c r="A776" s="295"/>
      <c r="IU776" s="335"/>
      <c r="IV776" s="335"/>
      <c r="IW776" s="335"/>
    </row>
    <row r="777" spans="1:257">
      <c r="A777" s="295"/>
      <c r="IU777" s="335"/>
      <c r="IV777" s="335"/>
      <c r="IW777" s="335"/>
    </row>
    <row r="778" spans="1:257">
      <c r="A778" s="295"/>
      <c r="IU778" s="335"/>
      <c r="IV778" s="335"/>
      <c r="IW778" s="335"/>
    </row>
    <row r="779" spans="1:257">
      <c r="A779" s="295"/>
      <c r="IU779" s="335"/>
      <c r="IV779" s="335"/>
      <c r="IW779" s="335"/>
    </row>
    <row r="780" spans="1:257">
      <c r="A780" s="295"/>
      <c r="IU780" s="335"/>
      <c r="IV780" s="335"/>
      <c r="IW780" s="335"/>
    </row>
    <row r="781" spans="1:257">
      <c r="A781" s="295"/>
      <c r="IU781" s="335"/>
      <c r="IV781" s="335"/>
      <c r="IW781" s="335"/>
    </row>
    <row r="782" spans="1:257">
      <c r="A782" s="295"/>
      <c r="IU782" s="335"/>
      <c r="IV782" s="335"/>
      <c r="IW782" s="335"/>
    </row>
    <row r="783" spans="1:257">
      <c r="A783" s="295"/>
      <c r="IU783" s="335"/>
      <c r="IV783" s="335"/>
      <c r="IW783" s="335"/>
    </row>
    <row r="784" spans="1:257">
      <c r="A784" s="295"/>
      <c r="IU784" s="335"/>
      <c r="IV784" s="335"/>
      <c r="IW784" s="335"/>
    </row>
    <row r="785" spans="1:257">
      <c r="A785" s="295"/>
      <c r="IU785" s="335"/>
      <c r="IV785" s="335"/>
      <c r="IW785" s="335"/>
    </row>
    <row r="786" spans="1:257">
      <c r="A786" s="295"/>
      <c r="IU786" s="335"/>
      <c r="IV786" s="335"/>
      <c r="IW786" s="335"/>
    </row>
    <row r="787" spans="1:257">
      <c r="A787" s="295"/>
      <c r="IU787" s="335"/>
      <c r="IV787" s="335"/>
      <c r="IW787" s="335"/>
    </row>
    <row r="788" spans="1:257">
      <c r="A788" s="295"/>
      <c r="IU788" s="335"/>
      <c r="IV788" s="335"/>
      <c r="IW788" s="335"/>
    </row>
    <row r="789" spans="1:257">
      <c r="A789" s="295"/>
      <c r="IU789" s="335"/>
      <c r="IV789" s="335"/>
      <c r="IW789" s="335"/>
    </row>
    <row r="790" spans="1:257">
      <c r="A790" s="295"/>
      <c r="IU790" s="335"/>
      <c r="IV790" s="335"/>
      <c r="IW790" s="335"/>
    </row>
    <row r="791" spans="1:257">
      <c r="A791" s="295"/>
      <c r="IU791" s="335"/>
      <c r="IV791" s="335"/>
      <c r="IW791" s="335"/>
    </row>
    <row r="792" spans="1:257">
      <c r="A792" s="295"/>
      <c r="IU792" s="335"/>
      <c r="IV792" s="335"/>
      <c r="IW792" s="335"/>
    </row>
    <row r="793" spans="1:257">
      <c r="A793" s="295"/>
      <c r="IU793" s="335"/>
      <c r="IV793" s="335"/>
      <c r="IW793" s="335"/>
    </row>
    <row r="794" spans="1:257">
      <c r="A794" s="295"/>
      <c r="IU794" s="335"/>
      <c r="IV794" s="335"/>
      <c r="IW794" s="335"/>
    </row>
    <row r="795" spans="1:257">
      <c r="A795" s="295"/>
      <c r="IU795" s="335"/>
      <c r="IV795" s="335"/>
      <c r="IW795" s="335"/>
    </row>
    <row r="796" spans="1:257">
      <c r="A796" s="295"/>
      <c r="IU796" s="335"/>
      <c r="IV796" s="335"/>
      <c r="IW796" s="335"/>
    </row>
    <row r="797" spans="1:257">
      <c r="A797" s="295"/>
      <c r="IU797" s="335"/>
      <c r="IV797" s="335"/>
      <c r="IW797" s="335"/>
    </row>
    <row r="798" spans="1:257">
      <c r="A798" s="295"/>
      <c r="IU798" s="335"/>
      <c r="IV798" s="335"/>
      <c r="IW798" s="335"/>
    </row>
    <row r="799" spans="1:257">
      <c r="A799" s="295"/>
      <c r="IU799" s="335"/>
      <c r="IV799" s="335"/>
      <c r="IW799" s="335"/>
    </row>
    <row r="800" spans="1:257">
      <c r="A800" s="295"/>
      <c r="IU800" s="335"/>
      <c r="IV800" s="335"/>
      <c r="IW800" s="335"/>
    </row>
    <row r="801" spans="1:257">
      <c r="A801" s="295"/>
      <c r="IU801" s="335"/>
      <c r="IV801" s="335"/>
      <c r="IW801" s="335"/>
    </row>
    <row r="802" spans="1:257">
      <c r="A802" s="295"/>
      <c r="IU802" s="335"/>
      <c r="IV802" s="335"/>
      <c r="IW802" s="335"/>
    </row>
    <row r="803" spans="1:257">
      <c r="A803" s="295"/>
      <c r="IU803" s="335"/>
      <c r="IV803" s="335"/>
      <c r="IW803" s="335"/>
    </row>
    <row r="804" spans="1:257">
      <c r="A804" s="295"/>
      <c r="IU804" s="335"/>
      <c r="IV804" s="335"/>
      <c r="IW804" s="335"/>
    </row>
    <row r="805" spans="1:257">
      <c r="A805" s="295"/>
      <c r="IU805" s="335"/>
      <c r="IV805" s="335"/>
      <c r="IW805" s="335"/>
    </row>
    <row r="806" spans="1:257">
      <c r="A806" s="295"/>
      <c r="IU806" s="335"/>
      <c r="IV806" s="335"/>
      <c r="IW806" s="335"/>
    </row>
    <row r="807" spans="1:257">
      <c r="A807" s="295"/>
      <c r="IU807" s="335"/>
      <c r="IV807" s="335"/>
      <c r="IW807" s="335"/>
    </row>
    <row r="808" spans="1:257">
      <c r="A808" s="295"/>
      <c r="IU808" s="335"/>
      <c r="IV808" s="335"/>
      <c r="IW808" s="335"/>
    </row>
    <row r="809" spans="1:257">
      <c r="A809" s="295"/>
      <c r="IU809" s="335"/>
      <c r="IV809" s="335"/>
      <c r="IW809" s="335"/>
    </row>
    <row r="810" spans="1:257">
      <c r="A810" s="295"/>
      <c r="IU810" s="335"/>
      <c r="IV810" s="335"/>
      <c r="IW810" s="335"/>
    </row>
    <row r="811" spans="1:257">
      <c r="A811" s="295"/>
      <c r="IU811" s="335"/>
      <c r="IV811" s="335"/>
      <c r="IW811" s="335"/>
    </row>
    <row r="812" spans="1:257">
      <c r="A812" s="295"/>
      <c r="IU812" s="335"/>
      <c r="IV812" s="335"/>
      <c r="IW812" s="335"/>
    </row>
    <row r="813" spans="1:257">
      <c r="A813" s="295"/>
      <c r="IU813" s="335"/>
      <c r="IV813" s="335"/>
      <c r="IW813" s="335"/>
    </row>
    <row r="814" spans="1:257">
      <c r="A814" s="295"/>
      <c r="IU814" s="335"/>
      <c r="IV814" s="335"/>
      <c r="IW814" s="335"/>
    </row>
    <row r="815" spans="1:257">
      <c r="A815" s="295"/>
      <c r="IU815" s="335"/>
      <c r="IV815" s="335"/>
      <c r="IW815" s="335"/>
    </row>
    <row r="816" spans="1:257">
      <c r="A816" s="295"/>
      <c r="IU816" s="335"/>
      <c r="IV816" s="335"/>
      <c r="IW816" s="335"/>
    </row>
    <row r="817" spans="1:257">
      <c r="A817" s="295"/>
      <c r="IU817" s="335"/>
      <c r="IV817" s="335"/>
      <c r="IW817" s="335"/>
    </row>
    <row r="818" spans="1:257">
      <c r="A818" s="295"/>
      <c r="IU818" s="335"/>
      <c r="IV818" s="335"/>
      <c r="IW818" s="335"/>
    </row>
    <row r="819" spans="1:257">
      <c r="A819" s="295"/>
      <c r="IU819" s="335"/>
      <c r="IV819" s="335"/>
      <c r="IW819" s="335"/>
    </row>
    <row r="820" spans="1:257">
      <c r="A820" s="295"/>
      <c r="IU820" s="335"/>
      <c r="IV820" s="335"/>
      <c r="IW820" s="335"/>
    </row>
    <row r="821" spans="1:257">
      <c r="A821" s="295"/>
      <c r="IU821" s="335"/>
      <c r="IV821" s="335"/>
      <c r="IW821" s="335"/>
    </row>
    <row r="822" spans="1:257">
      <c r="A822" s="295"/>
      <c r="IU822" s="335"/>
      <c r="IV822" s="335"/>
      <c r="IW822" s="335"/>
    </row>
    <row r="823" spans="1:257">
      <c r="A823" s="295"/>
      <c r="IU823" s="335"/>
      <c r="IV823" s="335"/>
      <c r="IW823" s="335"/>
    </row>
    <row r="824" spans="1:257">
      <c r="A824" s="295"/>
      <c r="IU824" s="335"/>
      <c r="IV824" s="335"/>
      <c r="IW824" s="335"/>
    </row>
    <row r="825" spans="1:257">
      <c r="A825" s="295"/>
      <c r="IU825" s="335"/>
      <c r="IV825" s="335"/>
      <c r="IW825" s="335"/>
    </row>
    <row r="826" spans="1:257">
      <c r="A826" s="295"/>
      <c r="IU826" s="335"/>
      <c r="IV826" s="335"/>
      <c r="IW826" s="335"/>
    </row>
    <row r="827" spans="1:257">
      <c r="A827" s="295"/>
      <c r="IU827" s="335"/>
      <c r="IV827" s="335"/>
      <c r="IW827" s="335"/>
    </row>
    <row r="828" spans="1:257">
      <c r="A828" s="295"/>
      <c r="IU828" s="335"/>
      <c r="IV828" s="335"/>
      <c r="IW828" s="335"/>
    </row>
    <row r="829" spans="1:257">
      <c r="A829" s="295"/>
      <c r="IU829" s="335"/>
      <c r="IV829" s="335"/>
      <c r="IW829" s="335"/>
    </row>
    <row r="830" spans="1:257">
      <c r="A830" s="295"/>
      <c r="IU830" s="335"/>
      <c r="IV830" s="335"/>
      <c r="IW830" s="335"/>
    </row>
    <row r="831" spans="1:257">
      <c r="A831" s="295"/>
      <c r="IU831" s="335"/>
      <c r="IV831" s="335"/>
      <c r="IW831" s="335"/>
    </row>
    <row r="832" spans="1:257">
      <c r="A832" s="295"/>
      <c r="IU832" s="335"/>
      <c r="IV832" s="335"/>
      <c r="IW832" s="335"/>
    </row>
    <row r="833" spans="1:257">
      <c r="A833" s="295"/>
      <c r="IU833" s="335"/>
      <c r="IV833" s="335"/>
      <c r="IW833" s="335"/>
    </row>
    <row r="834" spans="1:257">
      <c r="A834" s="295"/>
      <c r="IU834" s="335"/>
      <c r="IV834" s="335"/>
      <c r="IW834" s="335"/>
    </row>
    <row r="835" spans="1:257">
      <c r="A835" s="295"/>
      <c r="IU835" s="335"/>
      <c r="IV835" s="335"/>
      <c r="IW835" s="335"/>
    </row>
    <row r="836" spans="1:257">
      <c r="A836" s="295"/>
      <c r="IU836" s="335"/>
      <c r="IV836" s="335"/>
      <c r="IW836" s="335"/>
    </row>
    <row r="837" spans="1:257">
      <c r="A837" s="295"/>
      <c r="IU837" s="335"/>
      <c r="IV837" s="335"/>
      <c r="IW837" s="335"/>
    </row>
    <row r="838" spans="1:257">
      <c r="A838" s="295"/>
      <c r="IU838" s="335"/>
      <c r="IV838" s="335"/>
      <c r="IW838" s="335"/>
    </row>
    <row r="839" spans="1:257">
      <c r="A839" s="295"/>
      <c r="IU839" s="335"/>
      <c r="IV839" s="335"/>
      <c r="IW839" s="335"/>
    </row>
    <row r="840" spans="1:257">
      <c r="A840" s="295"/>
      <c r="IU840" s="335"/>
      <c r="IV840" s="335"/>
      <c r="IW840" s="335"/>
    </row>
    <row r="841" spans="1:257">
      <c r="A841" s="295"/>
      <c r="IU841" s="335"/>
      <c r="IV841" s="335"/>
      <c r="IW841" s="335"/>
    </row>
    <row r="842" spans="1:257">
      <c r="A842" s="295"/>
      <c r="IU842" s="335"/>
      <c r="IV842" s="335"/>
      <c r="IW842" s="335"/>
    </row>
    <row r="843" spans="1:257">
      <c r="A843" s="295"/>
      <c r="IU843" s="335"/>
      <c r="IV843" s="335"/>
      <c r="IW843" s="335"/>
    </row>
    <row r="844" spans="1:257">
      <c r="A844" s="295"/>
      <c r="IU844" s="335"/>
      <c r="IV844" s="335"/>
      <c r="IW844" s="335"/>
    </row>
    <row r="845" spans="1:257">
      <c r="A845" s="295"/>
      <c r="IU845" s="335"/>
      <c r="IV845" s="335"/>
      <c r="IW845" s="335"/>
    </row>
    <row r="846" spans="1:257">
      <c r="A846" s="295"/>
      <c r="IU846" s="335"/>
      <c r="IV846" s="335"/>
      <c r="IW846" s="335"/>
    </row>
    <row r="847" spans="1:257">
      <c r="A847" s="295"/>
      <c r="IU847" s="335"/>
      <c r="IV847" s="335"/>
      <c r="IW847" s="335"/>
    </row>
    <row r="848" spans="1:257">
      <c r="A848" s="295"/>
      <c r="IU848" s="335"/>
      <c r="IV848" s="335"/>
      <c r="IW848" s="335"/>
    </row>
    <row r="849" spans="1:257">
      <c r="A849" s="295"/>
      <c r="IU849" s="335"/>
      <c r="IV849" s="335"/>
      <c r="IW849" s="335"/>
    </row>
    <row r="850" spans="1:257">
      <c r="A850" s="295"/>
      <c r="IU850" s="335"/>
      <c r="IV850" s="335"/>
      <c r="IW850" s="335"/>
    </row>
    <row r="851" spans="1:257">
      <c r="A851" s="295"/>
      <c r="IU851" s="335"/>
      <c r="IV851" s="335"/>
      <c r="IW851" s="335"/>
    </row>
    <row r="852" spans="1:257">
      <c r="A852" s="295"/>
      <c r="IU852" s="335"/>
      <c r="IV852" s="335"/>
      <c r="IW852" s="335"/>
    </row>
    <row r="853" spans="1:257">
      <c r="A853" s="295"/>
      <c r="IU853" s="335"/>
      <c r="IV853" s="335"/>
      <c r="IW853" s="335"/>
    </row>
    <row r="854" spans="1:257">
      <c r="A854" s="295"/>
      <c r="IU854" s="335"/>
      <c r="IV854" s="335"/>
      <c r="IW854" s="335"/>
    </row>
    <row r="855" spans="1:257">
      <c r="A855" s="295"/>
      <c r="IU855" s="335"/>
      <c r="IV855" s="335"/>
      <c r="IW855" s="335"/>
    </row>
    <row r="856" spans="1:257">
      <c r="A856" s="295"/>
      <c r="IU856" s="335"/>
      <c r="IV856" s="335"/>
      <c r="IW856" s="335"/>
    </row>
    <row r="857" spans="1:257">
      <c r="A857" s="295"/>
      <c r="IU857" s="335"/>
      <c r="IV857" s="335"/>
      <c r="IW857" s="335"/>
    </row>
    <row r="858" spans="1:257">
      <c r="A858" s="295"/>
      <c r="IU858" s="335"/>
      <c r="IV858" s="335"/>
      <c r="IW858" s="335"/>
    </row>
    <row r="859" spans="1:257">
      <c r="A859" s="295"/>
      <c r="IU859" s="335"/>
      <c r="IV859" s="335"/>
      <c r="IW859" s="335"/>
    </row>
    <row r="860" spans="1:257">
      <c r="A860" s="295"/>
      <c r="IU860" s="335"/>
      <c r="IV860" s="335"/>
      <c r="IW860" s="335"/>
    </row>
    <row r="861" spans="1:257">
      <c r="A861" s="295"/>
      <c r="IU861" s="335"/>
      <c r="IV861" s="335"/>
      <c r="IW861" s="335"/>
    </row>
    <row r="862" spans="1:257">
      <c r="A862" s="295"/>
      <c r="IU862" s="335"/>
      <c r="IV862" s="335"/>
      <c r="IW862" s="335"/>
    </row>
    <row r="863" spans="1:257">
      <c r="A863" s="295"/>
      <c r="IU863" s="335"/>
      <c r="IV863" s="335"/>
      <c r="IW863" s="335"/>
    </row>
    <row r="864" spans="1:257">
      <c r="A864" s="295"/>
      <c r="IU864" s="335"/>
      <c r="IV864" s="335"/>
      <c r="IW864" s="335"/>
    </row>
    <row r="865" spans="1:257">
      <c r="A865" s="295"/>
      <c r="IU865" s="335"/>
      <c r="IV865" s="335"/>
      <c r="IW865" s="335"/>
    </row>
    <row r="866" spans="1:257">
      <c r="A866" s="295"/>
      <c r="IU866" s="335"/>
      <c r="IV866" s="335"/>
      <c r="IW866" s="335"/>
    </row>
    <row r="867" spans="1:257">
      <c r="A867" s="295"/>
      <c r="IU867" s="335"/>
      <c r="IV867" s="335"/>
      <c r="IW867" s="335"/>
    </row>
    <row r="868" spans="1:257">
      <c r="A868" s="295"/>
      <c r="IU868" s="335"/>
      <c r="IV868" s="335"/>
      <c r="IW868" s="335"/>
    </row>
    <row r="869" spans="1:257">
      <c r="A869" s="295"/>
      <c r="IU869" s="335"/>
      <c r="IV869" s="335"/>
      <c r="IW869" s="335"/>
    </row>
    <row r="870" spans="1:257">
      <c r="A870" s="295"/>
      <c r="IU870" s="335"/>
      <c r="IV870" s="335"/>
      <c r="IW870" s="335"/>
    </row>
    <row r="871" spans="1:257">
      <c r="A871" s="295"/>
      <c r="IU871" s="335"/>
      <c r="IV871" s="335"/>
      <c r="IW871" s="335"/>
    </row>
    <row r="872" spans="1:257">
      <c r="A872" s="295"/>
      <c r="IU872" s="335"/>
      <c r="IV872" s="335"/>
      <c r="IW872" s="335"/>
    </row>
    <row r="873" spans="1:257">
      <c r="A873" s="295"/>
      <c r="IU873" s="335"/>
      <c r="IV873" s="335"/>
      <c r="IW873" s="335"/>
    </row>
    <row r="874" spans="1:257">
      <c r="A874" s="295"/>
      <c r="IU874" s="335"/>
      <c r="IV874" s="335"/>
      <c r="IW874" s="335"/>
    </row>
    <row r="875" spans="1:257">
      <c r="A875" s="295"/>
      <c r="IU875" s="335"/>
      <c r="IV875" s="335"/>
      <c r="IW875" s="335"/>
    </row>
    <row r="876" spans="1:257">
      <c r="A876" s="295"/>
      <c r="IU876" s="335"/>
      <c r="IV876" s="335"/>
      <c r="IW876" s="335"/>
    </row>
    <row r="877" spans="1:257">
      <c r="A877" s="295"/>
      <c r="IU877" s="335"/>
      <c r="IV877" s="335"/>
      <c r="IW877" s="335"/>
    </row>
    <row r="878" spans="1:257">
      <c r="A878" s="295"/>
      <c r="IU878" s="335"/>
      <c r="IV878" s="335"/>
      <c r="IW878" s="335"/>
    </row>
    <row r="879" spans="1:257">
      <c r="A879" s="295"/>
      <c r="IU879" s="335"/>
      <c r="IV879" s="335"/>
      <c r="IW879" s="335"/>
    </row>
    <row r="880" spans="1:257">
      <c r="A880" s="295"/>
      <c r="IU880" s="335"/>
      <c r="IV880" s="335"/>
      <c r="IW880" s="335"/>
    </row>
    <row r="881" spans="1:257">
      <c r="A881" s="295"/>
      <c r="IU881" s="335"/>
      <c r="IV881" s="335"/>
      <c r="IW881" s="335"/>
    </row>
    <row r="882" spans="1:257">
      <c r="A882" s="295"/>
      <c r="IU882" s="335"/>
      <c r="IV882" s="335"/>
      <c r="IW882" s="335"/>
    </row>
    <row r="883" spans="1:257">
      <c r="A883" s="295"/>
      <c r="IU883" s="335"/>
      <c r="IV883" s="335"/>
      <c r="IW883" s="335"/>
    </row>
    <row r="884" spans="1:257">
      <c r="A884" s="295"/>
      <c r="IU884" s="335"/>
      <c r="IV884" s="335"/>
      <c r="IW884" s="335"/>
    </row>
    <row r="885" spans="1:257">
      <c r="A885" s="295"/>
      <c r="IU885" s="335"/>
      <c r="IV885" s="335"/>
      <c r="IW885" s="335"/>
    </row>
    <row r="886" spans="1:257">
      <c r="A886" s="295"/>
      <c r="IU886" s="335"/>
      <c r="IV886" s="335"/>
      <c r="IW886" s="335"/>
    </row>
    <row r="887" spans="1:257">
      <c r="A887" s="295"/>
      <c r="IU887" s="335"/>
      <c r="IV887" s="335"/>
      <c r="IW887" s="335"/>
    </row>
    <row r="888" spans="1:257">
      <c r="A888" s="295"/>
      <c r="IU888" s="335"/>
      <c r="IV888" s="335"/>
      <c r="IW888" s="335"/>
    </row>
    <row r="889" spans="1:257">
      <c r="A889" s="295"/>
      <c r="IU889" s="335"/>
      <c r="IV889" s="335"/>
      <c r="IW889" s="335"/>
    </row>
    <row r="890" spans="1:257">
      <c r="A890" s="295"/>
      <c r="IU890" s="335"/>
      <c r="IV890" s="335"/>
      <c r="IW890" s="335"/>
    </row>
    <row r="891" spans="1:257">
      <c r="A891" s="295"/>
      <c r="IU891" s="335"/>
      <c r="IV891" s="335"/>
      <c r="IW891" s="335"/>
    </row>
    <row r="892" spans="1:257">
      <c r="A892" s="295"/>
      <c r="IU892" s="335"/>
      <c r="IV892" s="335"/>
      <c r="IW892" s="335"/>
    </row>
    <row r="893" spans="1:257">
      <c r="A893" s="295"/>
      <c r="IU893" s="335"/>
      <c r="IV893" s="335"/>
      <c r="IW893" s="335"/>
    </row>
    <row r="894" spans="1:257">
      <c r="A894" s="295"/>
      <c r="IU894" s="335"/>
      <c r="IV894" s="335"/>
      <c r="IW894" s="335"/>
    </row>
    <row r="895" spans="1:257">
      <c r="A895" s="295"/>
      <c r="IU895" s="335"/>
      <c r="IV895" s="335"/>
      <c r="IW895" s="335"/>
    </row>
    <row r="896" spans="1:257">
      <c r="A896" s="295"/>
      <c r="IU896" s="335"/>
      <c r="IV896" s="335"/>
      <c r="IW896" s="335"/>
    </row>
    <row r="897" spans="1:257">
      <c r="A897" s="295"/>
      <c r="IU897" s="335"/>
      <c r="IV897" s="335"/>
      <c r="IW897" s="335"/>
    </row>
    <row r="898" spans="1:257">
      <c r="A898" s="295"/>
      <c r="IU898" s="335"/>
      <c r="IV898" s="335"/>
      <c r="IW898" s="335"/>
    </row>
    <row r="899" spans="1:257">
      <c r="A899" s="295"/>
      <c r="IU899" s="335"/>
      <c r="IV899" s="335"/>
      <c r="IW899" s="335"/>
    </row>
    <row r="900" spans="1:257">
      <c r="A900" s="295"/>
      <c r="IU900" s="335"/>
      <c r="IV900" s="335"/>
      <c r="IW900" s="335"/>
    </row>
    <row r="901" spans="1:257">
      <c r="A901" s="295"/>
      <c r="IU901" s="335"/>
      <c r="IV901" s="335"/>
      <c r="IW901" s="335"/>
    </row>
    <row r="902" spans="1:257">
      <c r="A902" s="295"/>
      <c r="IU902" s="335"/>
      <c r="IV902" s="335"/>
      <c r="IW902" s="335"/>
    </row>
    <row r="903" spans="1:257">
      <c r="A903" s="295"/>
      <c r="IU903" s="335"/>
      <c r="IV903" s="335"/>
      <c r="IW903" s="335"/>
    </row>
    <row r="904" spans="1:257">
      <c r="A904" s="295"/>
      <c r="IU904" s="335"/>
      <c r="IV904" s="335"/>
      <c r="IW904" s="335"/>
    </row>
    <row r="905" spans="1:257">
      <c r="A905" s="295"/>
      <c r="IU905" s="335"/>
      <c r="IV905" s="335"/>
      <c r="IW905" s="335"/>
    </row>
    <row r="906" spans="1:257">
      <c r="A906" s="295"/>
      <c r="IU906" s="335"/>
      <c r="IV906" s="335"/>
      <c r="IW906" s="335"/>
    </row>
    <row r="907" spans="1:257">
      <c r="A907" s="295"/>
      <c r="IU907" s="335"/>
      <c r="IV907" s="335"/>
      <c r="IW907" s="335"/>
    </row>
    <row r="908" spans="1:257">
      <c r="A908" s="295"/>
      <c r="IU908" s="335"/>
      <c r="IV908" s="335"/>
      <c r="IW908" s="335"/>
    </row>
    <row r="909" spans="1:257">
      <c r="A909" s="295"/>
      <c r="IU909" s="335"/>
      <c r="IV909" s="335"/>
      <c r="IW909" s="335"/>
    </row>
    <row r="910" spans="1:257">
      <c r="A910" s="295"/>
      <c r="IU910" s="335"/>
      <c r="IV910" s="335"/>
      <c r="IW910" s="335"/>
    </row>
    <row r="911" spans="1:257">
      <c r="A911" s="295"/>
      <c r="IU911" s="335"/>
      <c r="IV911" s="335"/>
      <c r="IW911" s="335"/>
    </row>
    <row r="912" spans="1:257">
      <c r="A912" s="295"/>
      <c r="IU912" s="335"/>
      <c r="IV912" s="335"/>
      <c r="IW912" s="335"/>
    </row>
    <row r="913" spans="1:257">
      <c r="A913" s="295"/>
      <c r="IU913" s="335"/>
      <c r="IV913" s="335"/>
      <c r="IW913" s="335"/>
    </row>
    <row r="914" spans="1:257">
      <c r="A914" s="295"/>
      <c r="IU914" s="335"/>
      <c r="IV914" s="335"/>
      <c r="IW914" s="335"/>
    </row>
    <row r="915" spans="1:257">
      <c r="A915" s="295"/>
      <c r="IU915" s="335"/>
      <c r="IV915" s="335"/>
      <c r="IW915" s="335"/>
    </row>
    <row r="916" spans="1:257">
      <c r="A916" s="295"/>
      <c r="IU916" s="335"/>
      <c r="IV916" s="335"/>
      <c r="IW916" s="335"/>
    </row>
    <row r="917" spans="1:257">
      <c r="A917" s="295"/>
      <c r="IU917" s="335"/>
      <c r="IV917" s="335"/>
      <c r="IW917" s="335"/>
    </row>
    <row r="918" spans="1:257">
      <c r="A918" s="295"/>
      <c r="IU918" s="335"/>
      <c r="IV918" s="335"/>
      <c r="IW918" s="335"/>
    </row>
    <row r="919" spans="1:257">
      <c r="A919" s="295"/>
      <c r="IU919" s="335"/>
      <c r="IV919" s="335"/>
      <c r="IW919" s="335"/>
    </row>
    <row r="920" spans="1:257">
      <c r="A920" s="295"/>
      <c r="IU920" s="335"/>
      <c r="IV920" s="335"/>
      <c r="IW920" s="335"/>
    </row>
    <row r="921" spans="1:257">
      <c r="A921" s="295"/>
      <c r="IU921" s="335"/>
      <c r="IV921" s="335"/>
      <c r="IW921" s="335"/>
    </row>
    <row r="922" spans="1:257">
      <c r="A922" s="295"/>
      <c r="IU922" s="335"/>
      <c r="IV922" s="335"/>
      <c r="IW922" s="335"/>
    </row>
    <row r="923" spans="1:257">
      <c r="A923" s="295"/>
      <c r="IU923" s="335"/>
      <c r="IV923" s="335"/>
      <c r="IW923" s="335"/>
    </row>
    <row r="924" spans="1:257">
      <c r="A924" s="295"/>
      <c r="IU924" s="335"/>
      <c r="IV924" s="335"/>
      <c r="IW924" s="335"/>
    </row>
    <row r="925" spans="1:257">
      <c r="A925" s="295"/>
      <c r="IU925" s="335"/>
      <c r="IV925" s="335"/>
      <c r="IW925" s="335"/>
    </row>
    <row r="926" spans="1:257">
      <c r="A926" s="295"/>
      <c r="IU926" s="335"/>
      <c r="IV926" s="335"/>
      <c r="IW926" s="335"/>
    </row>
    <row r="927" spans="1:257">
      <c r="A927" s="295"/>
      <c r="IU927" s="335"/>
      <c r="IV927" s="335"/>
      <c r="IW927" s="335"/>
    </row>
    <row r="928" spans="1:257">
      <c r="A928" s="295"/>
      <c r="IU928" s="335"/>
      <c r="IV928" s="335"/>
      <c r="IW928" s="335"/>
    </row>
    <row r="929" spans="1:257">
      <c r="A929" s="295"/>
      <c r="IU929" s="335"/>
      <c r="IV929" s="335"/>
      <c r="IW929" s="335"/>
    </row>
    <row r="930" spans="1:257">
      <c r="A930" s="295"/>
      <c r="IU930" s="335"/>
      <c r="IV930" s="335"/>
      <c r="IW930" s="335"/>
    </row>
    <row r="931" spans="1:257">
      <c r="A931" s="295"/>
      <c r="IU931" s="335"/>
      <c r="IV931" s="335"/>
      <c r="IW931" s="335"/>
    </row>
    <row r="932" spans="1:257">
      <c r="A932" s="295"/>
      <c r="IU932" s="335"/>
      <c r="IV932" s="335"/>
      <c r="IW932" s="335"/>
    </row>
    <row r="933" spans="1:257">
      <c r="A933" s="295"/>
      <c r="IU933" s="335"/>
      <c r="IV933" s="335"/>
      <c r="IW933" s="335"/>
    </row>
    <row r="934" spans="1:257">
      <c r="A934" s="295"/>
      <c r="IU934" s="335"/>
      <c r="IV934" s="335"/>
      <c r="IW934" s="335"/>
    </row>
    <row r="935" spans="1:257">
      <c r="A935" s="295"/>
      <c r="IU935" s="335"/>
      <c r="IV935" s="335"/>
      <c r="IW935" s="335"/>
    </row>
    <row r="936" spans="1:257">
      <c r="A936" s="295"/>
      <c r="IU936" s="335"/>
      <c r="IV936" s="335"/>
      <c r="IW936" s="335"/>
    </row>
    <row r="937" spans="1:257">
      <c r="A937" s="295"/>
      <c r="IU937" s="335"/>
      <c r="IV937" s="335"/>
      <c r="IW937" s="335"/>
    </row>
    <row r="938" spans="1:257">
      <c r="A938" s="295"/>
      <c r="IU938" s="335"/>
      <c r="IV938" s="335"/>
      <c r="IW938" s="335"/>
    </row>
    <row r="939" spans="1:257">
      <c r="A939" s="295"/>
      <c r="IU939" s="335"/>
      <c r="IV939" s="335"/>
      <c r="IW939" s="335"/>
    </row>
    <row r="940" spans="1:257">
      <c r="A940" s="295"/>
      <c r="IU940" s="335"/>
      <c r="IV940" s="335"/>
      <c r="IW940" s="335"/>
    </row>
    <row r="941" spans="1:257">
      <c r="A941" s="295"/>
      <c r="IU941" s="335"/>
      <c r="IV941" s="335"/>
      <c r="IW941" s="335"/>
    </row>
    <row r="942" spans="1:257">
      <c r="A942" s="295"/>
      <c r="IU942" s="335"/>
      <c r="IV942" s="335"/>
      <c r="IW942" s="335"/>
    </row>
    <row r="943" spans="1:257">
      <c r="A943" s="295"/>
      <c r="IU943" s="335"/>
      <c r="IV943" s="335"/>
      <c r="IW943" s="335"/>
    </row>
    <row r="944" spans="1:257">
      <c r="A944" s="295"/>
      <c r="IU944" s="335"/>
      <c r="IV944" s="335"/>
      <c r="IW944" s="335"/>
    </row>
    <row r="945" spans="1:257">
      <c r="A945" s="295"/>
      <c r="IU945" s="335"/>
      <c r="IV945" s="335"/>
      <c r="IW945" s="335"/>
    </row>
    <row r="946" spans="1:257">
      <c r="A946" s="295"/>
      <c r="IU946" s="335"/>
      <c r="IV946" s="335"/>
      <c r="IW946" s="335"/>
    </row>
    <row r="947" spans="1:257">
      <c r="A947" s="295"/>
      <c r="IU947" s="335"/>
      <c r="IV947" s="335"/>
      <c r="IW947" s="335"/>
    </row>
    <row r="948" spans="1:257">
      <c r="A948" s="295"/>
      <c r="IU948" s="335"/>
      <c r="IV948" s="335"/>
      <c r="IW948" s="335"/>
    </row>
    <row r="949" spans="1:257">
      <c r="A949" s="295"/>
      <c r="IU949" s="335"/>
      <c r="IV949" s="335"/>
      <c r="IW949" s="335"/>
    </row>
    <row r="950" spans="1:257">
      <c r="A950" s="295"/>
      <c r="IU950" s="335"/>
      <c r="IV950" s="335"/>
      <c r="IW950" s="335"/>
    </row>
    <row r="951" spans="1:257">
      <c r="A951" s="295"/>
      <c r="IU951" s="335"/>
      <c r="IV951" s="335"/>
      <c r="IW951" s="335"/>
    </row>
    <row r="952" spans="1:257">
      <c r="A952" s="295"/>
      <c r="IU952" s="335"/>
      <c r="IV952" s="335"/>
      <c r="IW952" s="335"/>
    </row>
    <row r="953" spans="1:257">
      <c r="A953" s="295"/>
      <c r="IU953" s="335"/>
      <c r="IV953" s="335"/>
      <c r="IW953" s="335"/>
    </row>
    <row r="954" spans="1:257">
      <c r="A954" s="295"/>
      <c r="IU954" s="335"/>
      <c r="IV954" s="335"/>
      <c r="IW954" s="335"/>
    </row>
    <row r="955" spans="1:257">
      <c r="A955" s="295"/>
      <c r="IU955" s="335"/>
      <c r="IV955" s="335"/>
      <c r="IW955" s="335"/>
    </row>
    <row r="956" spans="1:257">
      <c r="A956" s="295"/>
      <c r="IU956" s="335"/>
      <c r="IV956" s="335"/>
      <c r="IW956" s="335"/>
    </row>
    <row r="957" spans="1:257">
      <c r="A957" s="295"/>
      <c r="IU957" s="335"/>
      <c r="IV957" s="335"/>
      <c r="IW957" s="335"/>
    </row>
    <row r="958" spans="1:257">
      <c r="A958" s="295"/>
      <c r="IU958" s="335"/>
      <c r="IV958" s="335"/>
      <c r="IW958" s="335"/>
    </row>
    <row r="959" spans="1:257">
      <c r="A959" s="295"/>
      <c r="IU959" s="335"/>
      <c r="IV959" s="335"/>
      <c r="IW959" s="335"/>
    </row>
    <row r="960" spans="1:257">
      <c r="A960" s="295"/>
      <c r="IU960" s="335"/>
      <c r="IV960" s="335"/>
      <c r="IW960" s="335"/>
    </row>
    <row r="961" spans="1:257">
      <c r="A961" s="295"/>
      <c r="IU961" s="335"/>
      <c r="IV961" s="335"/>
      <c r="IW961" s="335"/>
    </row>
    <row r="962" spans="1:257">
      <c r="A962" s="295"/>
      <c r="IU962" s="335"/>
      <c r="IV962" s="335"/>
      <c r="IW962" s="335"/>
    </row>
    <row r="963" spans="1:257">
      <c r="A963" s="295"/>
      <c r="IU963" s="335"/>
      <c r="IV963" s="335"/>
      <c r="IW963" s="335"/>
    </row>
    <row r="964" spans="1:257">
      <c r="A964" s="295"/>
      <c r="IU964" s="335"/>
      <c r="IV964" s="335"/>
      <c r="IW964" s="335"/>
    </row>
    <row r="965" spans="1:257">
      <c r="A965" s="295"/>
      <c r="IU965" s="335"/>
      <c r="IV965" s="335"/>
      <c r="IW965" s="335"/>
    </row>
    <row r="966" spans="1:257">
      <c r="A966" s="295"/>
      <c r="IU966" s="335"/>
      <c r="IV966" s="335"/>
      <c r="IW966" s="335"/>
    </row>
    <row r="967" spans="1:257">
      <c r="A967" s="295"/>
      <c r="IU967" s="335"/>
      <c r="IV967" s="335"/>
      <c r="IW967" s="335"/>
    </row>
    <row r="968" spans="1:257">
      <c r="A968" s="295"/>
      <c r="IU968" s="335"/>
      <c r="IV968" s="335"/>
      <c r="IW968" s="335"/>
    </row>
    <row r="969" spans="1:257">
      <c r="A969" s="295"/>
      <c r="IU969" s="335"/>
      <c r="IV969" s="335"/>
      <c r="IW969" s="335"/>
    </row>
    <row r="970" spans="1:257">
      <c r="A970" s="295"/>
      <c r="IU970" s="335"/>
      <c r="IV970" s="335"/>
      <c r="IW970" s="335"/>
    </row>
    <row r="971" spans="1:257">
      <c r="A971" s="295"/>
      <c r="IU971" s="335"/>
      <c r="IV971" s="335"/>
      <c r="IW971" s="335"/>
    </row>
    <row r="972" spans="1:257">
      <c r="A972" s="295"/>
      <c r="IU972" s="335"/>
      <c r="IV972" s="335"/>
      <c r="IW972" s="335"/>
    </row>
    <row r="973" spans="1:257">
      <c r="A973" s="295"/>
      <c r="IU973" s="335"/>
      <c r="IV973" s="335"/>
      <c r="IW973" s="335"/>
    </row>
    <row r="974" spans="1:257">
      <c r="A974" s="295"/>
      <c r="IU974" s="335"/>
      <c r="IV974" s="335"/>
      <c r="IW974" s="335"/>
    </row>
    <row r="975" spans="1:257">
      <c r="A975" s="295"/>
      <c r="IU975" s="335"/>
      <c r="IV975" s="335"/>
      <c r="IW975" s="335"/>
    </row>
    <row r="976" spans="1:257">
      <c r="A976" s="295"/>
      <c r="IU976" s="335"/>
      <c r="IV976" s="335"/>
      <c r="IW976" s="335"/>
    </row>
    <row r="977" spans="1:257">
      <c r="A977" s="295"/>
      <c r="IU977" s="335"/>
      <c r="IV977" s="335"/>
      <c r="IW977" s="335"/>
    </row>
    <row r="978" spans="1:257">
      <c r="A978" s="295"/>
      <c r="IU978" s="335"/>
      <c r="IV978" s="335"/>
      <c r="IW978" s="335"/>
    </row>
    <row r="979" spans="1:257">
      <c r="A979" s="295"/>
      <c r="IU979" s="335"/>
      <c r="IV979" s="335"/>
      <c r="IW979" s="335"/>
    </row>
    <row r="980" spans="1:257">
      <c r="A980" s="295"/>
      <c r="IU980" s="335"/>
      <c r="IV980" s="335"/>
      <c r="IW980" s="335"/>
    </row>
    <row r="981" spans="1:257">
      <c r="A981" s="295"/>
      <c r="IU981" s="335"/>
      <c r="IV981" s="335"/>
      <c r="IW981" s="335"/>
    </row>
    <row r="982" spans="1:257">
      <c r="A982" s="295"/>
      <c r="IU982" s="335"/>
      <c r="IV982" s="335"/>
      <c r="IW982" s="335"/>
    </row>
    <row r="983" spans="1:257">
      <c r="A983" s="295"/>
      <c r="IU983" s="335"/>
      <c r="IV983" s="335"/>
      <c r="IW983" s="335"/>
    </row>
    <row r="984" spans="1:257">
      <c r="A984" s="295"/>
      <c r="IU984" s="335"/>
      <c r="IV984" s="335"/>
      <c r="IW984" s="335"/>
    </row>
    <row r="985" spans="1:257">
      <c r="A985" s="295"/>
      <c r="IU985" s="335"/>
      <c r="IV985" s="335"/>
      <c r="IW985" s="335"/>
    </row>
    <row r="986" spans="1:257">
      <c r="A986" s="295"/>
      <c r="IU986" s="335"/>
      <c r="IV986" s="335"/>
      <c r="IW986" s="335"/>
    </row>
    <row r="987" spans="1:257">
      <c r="A987" s="295"/>
      <c r="IU987" s="335"/>
      <c r="IV987" s="335"/>
      <c r="IW987" s="335"/>
    </row>
    <row r="988" spans="1:257">
      <c r="A988" s="295"/>
      <c r="IU988" s="335"/>
      <c r="IV988" s="335"/>
      <c r="IW988" s="335"/>
    </row>
    <row r="989" spans="1:257">
      <c r="A989" s="295"/>
      <c r="IU989" s="335"/>
      <c r="IV989" s="335"/>
      <c r="IW989" s="335"/>
    </row>
    <row r="990" spans="1:257">
      <c r="A990" s="295"/>
      <c r="IU990" s="335"/>
      <c r="IV990" s="335"/>
      <c r="IW990" s="335"/>
    </row>
    <row r="991" spans="1:257">
      <c r="A991" s="295"/>
      <c r="IU991" s="335"/>
      <c r="IV991" s="335"/>
      <c r="IW991" s="335"/>
    </row>
    <row r="992" spans="1:257">
      <c r="A992" s="295"/>
      <c r="IU992" s="335"/>
      <c r="IV992" s="335"/>
      <c r="IW992" s="335"/>
    </row>
    <row r="993" spans="1:257">
      <c r="A993" s="295"/>
      <c r="IU993" s="335"/>
      <c r="IV993" s="335"/>
      <c r="IW993" s="335"/>
    </row>
    <row r="994" spans="1:257">
      <c r="A994" s="295"/>
      <c r="IU994" s="335"/>
      <c r="IV994" s="335"/>
      <c r="IW994" s="335"/>
    </row>
    <row r="995" spans="1:257">
      <c r="A995" s="295"/>
      <c r="IU995" s="335"/>
      <c r="IV995" s="335"/>
      <c r="IW995" s="335"/>
    </row>
    <row r="996" spans="1:257">
      <c r="A996" s="295"/>
      <c r="IU996" s="335"/>
      <c r="IV996" s="335"/>
      <c r="IW996" s="335"/>
    </row>
    <row r="997" spans="1:257">
      <c r="A997" s="295"/>
      <c r="IU997" s="335"/>
      <c r="IV997" s="335"/>
      <c r="IW997" s="335"/>
    </row>
    <row r="998" spans="1:257">
      <c r="A998" s="295"/>
      <c r="IU998" s="335"/>
      <c r="IV998" s="335"/>
      <c r="IW998" s="335"/>
    </row>
    <row r="999" spans="1:257">
      <c r="A999" s="295"/>
      <c r="IU999" s="335"/>
      <c r="IV999" s="335"/>
      <c r="IW999" s="335"/>
    </row>
    <row r="1000" spans="1:257">
      <c r="A1000" s="295"/>
      <c r="IU1000" s="335"/>
      <c r="IV1000" s="335"/>
      <c r="IW1000" s="335"/>
    </row>
    <row r="1001" spans="1:257">
      <c r="A1001" s="295"/>
      <c r="IU1001" s="335"/>
      <c r="IV1001" s="335"/>
      <c r="IW1001" s="335"/>
    </row>
    <row r="1002" spans="1:257">
      <c r="A1002" s="295"/>
      <c r="IU1002" s="335"/>
      <c r="IV1002" s="335"/>
      <c r="IW1002" s="335"/>
    </row>
    <row r="1003" spans="1:257">
      <c r="A1003" s="295"/>
      <c r="IU1003" s="335"/>
      <c r="IV1003" s="335"/>
      <c r="IW1003" s="335"/>
    </row>
    <row r="1004" spans="1:257">
      <c r="A1004" s="295"/>
      <c r="IU1004" s="335"/>
      <c r="IV1004" s="335"/>
      <c r="IW1004" s="335"/>
    </row>
    <row r="1005" spans="1:257">
      <c r="A1005" s="295"/>
      <c r="IU1005" s="335"/>
      <c r="IV1005" s="335"/>
      <c r="IW1005" s="335"/>
    </row>
    <row r="1006" spans="1:257">
      <c r="A1006" s="295"/>
      <c r="IU1006" s="335"/>
      <c r="IV1006" s="335"/>
      <c r="IW1006" s="335"/>
    </row>
    <row r="1007" spans="1:257">
      <c r="A1007" s="295"/>
      <c r="IU1007" s="335"/>
      <c r="IV1007" s="335"/>
      <c r="IW1007" s="335"/>
    </row>
    <row r="1008" spans="1:257">
      <c r="A1008" s="295"/>
      <c r="IU1008" s="335"/>
      <c r="IV1008" s="335"/>
      <c r="IW1008" s="335"/>
    </row>
    <row r="1009" spans="1:257">
      <c r="A1009" s="295"/>
      <c r="IU1009" s="335"/>
      <c r="IV1009" s="335"/>
      <c r="IW1009" s="335"/>
    </row>
    <row r="1010" spans="1:257">
      <c r="A1010" s="295"/>
      <c r="IU1010" s="335"/>
      <c r="IV1010" s="335"/>
      <c r="IW1010" s="335"/>
    </row>
    <row r="1011" spans="1:257">
      <c r="A1011" s="295"/>
      <c r="IU1011" s="335"/>
      <c r="IV1011" s="335"/>
      <c r="IW1011" s="335"/>
    </row>
    <row r="1012" spans="1:257">
      <c r="A1012" s="295"/>
      <c r="IU1012" s="335"/>
      <c r="IV1012" s="335"/>
      <c r="IW1012" s="335"/>
    </row>
    <row r="1013" spans="1:257">
      <c r="A1013" s="295"/>
      <c r="IU1013" s="335"/>
      <c r="IV1013" s="335"/>
      <c r="IW1013" s="335"/>
    </row>
    <row r="1014" spans="1:257">
      <c r="A1014" s="295"/>
      <c r="IU1014" s="335"/>
      <c r="IV1014" s="335"/>
      <c r="IW1014" s="335"/>
    </row>
    <row r="1015" spans="1:257">
      <c r="A1015" s="295"/>
      <c r="IU1015" s="335"/>
      <c r="IV1015" s="335"/>
      <c r="IW1015" s="335"/>
    </row>
    <row r="1016" spans="1:257">
      <c r="A1016" s="295"/>
      <c r="IU1016" s="335"/>
      <c r="IV1016" s="335"/>
      <c r="IW1016" s="335"/>
    </row>
    <row r="1017" spans="1:257">
      <c r="A1017" s="295"/>
      <c r="IU1017" s="335"/>
      <c r="IV1017" s="335"/>
      <c r="IW1017" s="335"/>
    </row>
    <row r="1018" spans="1:257">
      <c r="A1018" s="295"/>
      <c r="IU1018" s="335"/>
      <c r="IV1018" s="335"/>
      <c r="IW1018" s="335"/>
    </row>
    <row r="1019" spans="1:257">
      <c r="A1019" s="295"/>
      <c r="IU1019" s="335"/>
      <c r="IV1019" s="335"/>
      <c r="IW1019" s="335"/>
    </row>
    <row r="1020" spans="1:257">
      <c r="A1020" s="295"/>
      <c r="IU1020" s="335"/>
      <c r="IV1020" s="335"/>
      <c r="IW1020" s="335"/>
    </row>
    <row r="1021" spans="1:257">
      <c r="A1021" s="295"/>
      <c r="IU1021" s="335"/>
      <c r="IV1021" s="335"/>
      <c r="IW1021" s="335"/>
    </row>
    <row r="1022" spans="1:257">
      <c r="A1022" s="295"/>
      <c r="IU1022" s="335"/>
      <c r="IV1022" s="335"/>
      <c r="IW1022" s="335"/>
    </row>
    <row r="1023" spans="1:257">
      <c r="A1023" s="295"/>
      <c r="IU1023" s="335"/>
      <c r="IV1023" s="335"/>
      <c r="IW1023" s="335"/>
    </row>
    <row r="1024" spans="1:257">
      <c r="A1024" s="295"/>
      <c r="IU1024" s="335"/>
      <c r="IV1024" s="335"/>
      <c r="IW1024" s="335"/>
    </row>
    <row r="1025" spans="1:257">
      <c r="A1025" s="295"/>
      <c r="IU1025" s="335"/>
      <c r="IV1025" s="335"/>
      <c r="IW1025" s="335"/>
    </row>
    <row r="1026" spans="1:257">
      <c r="A1026" s="295"/>
      <c r="IU1026" s="335"/>
      <c r="IV1026" s="335"/>
      <c r="IW1026" s="335"/>
    </row>
    <row r="1027" spans="1:257">
      <c r="A1027" s="295"/>
      <c r="IU1027" s="335"/>
      <c r="IV1027" s="335"/>
      <c r="IW1027" s="335"/>
    </row>
    <row r="1028" spans="1:257">
      <c r="A1028" s="295"/>
      <c r="IU1028" s="335"/>
      <c r="IV1028" s="335"/>
      <c r="IW1028" s="335"/>
    </row>
    <row r="1029" spans="1:257">
      <c r="A1029" s="295"/>
      <c r="IU1029" s="335"/>
      <c r="IV1029" s="335"/>
      <c r="IW1029" s="335"/>
    </row>
    <row r="1030" spans="1:257">
      <c r="A1030" s="295"/>
      <c r="IU1030" s="335"/>
      <c r="IV1030" s="335"/>
      <c r="IW1030" s="335"/>
    </row>
    <row r="1031" spans="1:257">
      <c r="A1031" s="295"/>
      <c r="IU1031" s="335"/>
      <c r="IV1031" s="335"/>
      <c r="IW1031" s="335"/>
    </row>
    <row r="1032" spans="1:257">
      <c r="A1032" s="295"/>
      <c r="IU1032" s="335"/>
      <c r="IV1032" s="335"/>
      <c r="IW1032" s="335"/>
    </row>
    <row r="1033" spans="1:257">
      <c r="A1033" s="295"/>
      <c r="IU1033" s="335"/>
      <c r="IV1033" s="335"/>
      <c r="IW1033" s="335"/>
    </row>
    <row r="1034" spans="1:257">
      <c r="A1034" s="295"/>
      <c r="IU1034" s="335"/>
      <c r="IV1034" s="335"/>
      <c r="IW1034" s="335"/>
    </row>
    <row r="1035" spans="1:257">
      <c r="A1035" s="295"/>
      <c r="IU1035" s="335"/>
      <c r="IV1035" s="335"/>
      <c r="IW1035" s="335"/>
    </row>
    <row r="1036" spans="1:257">
      <c r="A1036" s="295"/>
      <c r="IU1036" s="335"/>
      <c r="IV1036" s="335"/>
      <c r="IW1036" s="335"/>
    </row>
    <row r="1037" spans="1:257">
      <c r="A1037" s="295"/>
      <c r="IU1037" s="335"/>
      <c r="IV1037" s="335"/>
      <c r="IW1037" s="335"/>
    </row>
    <row r="1038" spans="1:257">
      <c r="A1038" s="295"/>
      <c r="IU1038" s="335"/>
      <c r="IV1038" s="335"/>
      <c r="IW1038" s="335"/>
    </row>
    <row r="1039" spans="1:257">
      <c r="A1039" s="295"/>
      <c r="IU1039" s="335"/>
      <c r="IV1039" s="335"/>
      <c r="IW1039" s="335"/>
    </row>
    <row r="1040" spans="1:257">
      <c r="A1040" s="295"/>
      <c r="IU1040" s="335"/>
      <c r="IV1040" s="335"/>
      <c r="IW1040" s="335"/>
    </row>
    <row r="1041" spans="1:257">
      <c r="A1041" s="295"/>
      <c r="IU1041" s="335"/>
      <c r="IV1041" s="335"/>
      <c r="IW1041" s="335"/>
    </row>
    <row r="1042" spans="1:257">
      <c r="A1042" s="295"/>
      <c r="IU1042" s="335"/>
      <c r="IV1042" s="335"/>
      <c r="IW1042" s="335"/>
    </row>
    <row r="1043" spans="1:257">
      <c r="A1043" s="295"/>
      <c r="IU1043" s="335"/>
      <c r="IV1043" s="335"/>
      <c r="IW1043" s="335"/>
    </row>
    <row r="1044" spans="1:257">
      <c r="A1044" s="295"/>
      <c r="IU1044" s="335"/>
      <c r="IV1044" s="335"/>
      <c r="IW1044" s="335"/>
    </row>
    <row r="1045" spans="1:257">
      <c r="A1045" s="295"/>
      <c r="IU1045" s="335"/>
      <c r="IV1045" s="335"/>
      <c r="IW1045" s="335"/>
    </row>
    <row r="1046" spans="1:257">
      <c r="A1046" s="295"/>
      <c r="IU1046" s="335"/>
      <c r="IV1046" s="335"/>
      <c r="IW1046" s="335"/>
    </row>
    <row r="1047" spans="1:257">
      <c r="A1047" s="295"/>
      <c r="IU1047" s="335"/>
      <c r="IV1047" s="335"/>
      <c r="IW1047" s="335"/>
    </row>
    <row r="1048" spans="1:257">
      <c r="A1048" s="295"/>
      <c r="IU1048" s="335"/>
      <c r="IV1048" s="335"/>
      <c r="IW1048" s="335"/>
    </row>
    <row r="1049" spans="1:257">
      <c r="A1049" s="295"/>
      <c r="IU1049" s="335"/>
      <c r="IV1049" s="335"/>
      <c r="IW1049" s="335"/>
    </row>
    <row r="1050" spans="1:257">
      <c r="A1050" s="295"/>
      <c r="IU1050" s="335"/>
      <c r="IV1050" s="335"/>
      <c r="IW1050" s="335"/>
    </row>
    <row r="1051" spans="1:257">
      <c r="A1051" s="295"/>
      <c r="IU1051" s="335"/>
      <c r="IV1051" s="335"/>
      <c r="IW1051" s="335"/>
    </row>
    <row r="1052" spans="1:257">
      <c r="A1052" s="295"/>
      <c r="IU1052" s="335"/>
      <c r="IV1052" s="335"/>
      <c r="IW1052" s="335"/>
    </row>
    <row r="1053" spans="1:257">
      <c r="A1053" s="295"/>
      <c r="IU1053" s="335"/>
      <c r="IV1053" s="335"/>
      <c r="IW1053" s="335"/>
    </row>
  </sheetData>
  <pageMargins left="0.75" right="0.34" top="0.18" bottom="0.22" header="0.21" footer="0.22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0" tint="-0.249977111117893"/>
    <outlinePr summaryBelow="0" summaryRight="0"/>
  </sheetPr>
  <dimension ref="A2:JS93"/>
  <sheetViews>
    <sheetView showGridLines="0" zoomScaleNormal="100" workbookViewId="0">
      <pane xSplit="6" ySplit="9" topLeftCell="G10" activePane="bottomRight" state="frozen"/>
      <selection activeCell="C51" sqref="C51"/>
      <selection pane="topRight" activeCell="C51" sqref="C51"/>
      <selection pane="bottomLeft" activeCell="C51" sqref="C51"/>
      <selection pane="bottomRight" activeCell="C4" sqref="C4"/>
    </sheetView>
  </sheetViews>
  <sheetFormatPr defaultColWidth="9.140625" defaultRowHeight="12.75"/>
  <cols>
    <col min="1" max="1" width="2.7109375" style="135" customWidth="1"/>
    <col min="2" max="2" width="4.7109375" style="136" customWidth="1"/>
    <col min="3" max="3" width="36.7109375" style="135" customWidth="1"/>
    <col min="4" max="4" width="12.7109375" style="136" customWidth="1"/>
    <col min="5" max="5" width="12.7109375" style="135" customWidth="1"/>
    <col min="6" max="6" width="2.7109375" style="135" customWidth="1"/>
    <col min="7" max="9" width="14.7109375" style="135" customWidth="1"/>
    <col min="10" max="11" width="2.7109375" style="135" customWidth="1"/>
    <col min="12" max="14" width="14.7109375" style="135" customWidth="1"/>
    <col min="15" max="16" width="2.7109375" style="135" customWidth="1"/>
    <col min="17" max="19" width="14.7109375" style="135" customWidth="1"/>
    <col min="20" max="21" width="2.7109375" style="135" customWidth="1"/>
    <col min="22" max="24" width="14.7109375" style="135" customWidth="1"/>
    <col min="25" max="26" width="2.7109375" style="135" customWidth="1"/>
    <col min="27" max="29" width="14.7109375" style="135" customWidth="1"/>
    <col min="30" max="31" width="2.7109375" style="135" customWidth="1"/>
    <col min="32" max="34" width="14.7109375" style="135" customWidth="1"/>
    <col min="35" max="36" width="2.7109375" style="135" customWidth="1"/>
    <col min="37" max="39" width="14.7109375" style="135" customWidth="1"/>
    <col min="40" max="41" width="2.7109375" style="135" customWidth="1"/>
    <col min="42" max="44" width="14.7109375" style="135" customWidth="1"/>
    <col min="45" max="46" width="2.7109375" style="135" customWidth="1"/>
    <col min="47" max="49" width="14.7109375" style="156" customWidth="1"/>
    <col min="50" max="51" width="2.7109375" style="135" customWidth="1"/>
    <col min="52" max="54" width="14.7109375" style="156" customWidth="1"/>
    <col min="55" max="56" width="2.7109375" style="135" customWidth="1"/>
    <col min="57" max="59" width="14.7109375" style="156" customWidth="1"/>
    <col min="60" max="61" width="2.7109375" style="135" customWidth="1"/>
    <col min="62" max="64" width="14.7109375" style="156" customWidth="1"/>
    <col min="65" max="66" width="2.7109375" style="135" customWidth="1"/>
    <col min="67" max="69" width="14.7109375" style="156" customWidth="1"/>
    <col min="70" max="94" width="9.85546875" style="156" customWidth="1"/>
    <col min="95" max="95" width="9.5703125" style="135" customWidth="1"/>
    <col min="96" max="96" width="10.5703125" style="135" customWidth="1"/>
    <col min="97" max="97" width="11" style="135" customWidth="1"/>
    <col min="98" max="98" width="9.85546875" style="156" customWidth="1"/>
    <col min="99" max="99" width="9.5703125" style="135" customWidth="1"/>
    <col min="100" max="100" width="10.5703125" style="135" customWidth="1"/>
    <col min="101" max="101" width="11" style="135" customWidth="1"/>
    <col min="102" max="102" width="9.85546875" style="156" customWidth="1"/>
    <col min="103" max="103" width="9.5703125" style="135" customWidth="1"/>
    <col min="104" max="104" width="10.5703125" style="135" customWidth="1"/>
    <col min="105" max="105" width="11" style="135" customWidth="1"/>
    <col min="106" max="106" width="9.85546875" style="156" customWidth="1"/>
    <col min="107" max="107" width="9.5703125" style="135" customWidth="1"/>
    <col min="108" max="108" width="10.5703125" style="135" customWidth="1"/>
    <col min="109" max="109" width="11" style="135" customWidth="1"/>
    <col min="110" max="110" width="9.85546875" style="156" customWidth="1"/>
    <col min="111" max="111" width="9.5703125" style="135" customWidth="1"/>
    <col min="112" max="112" width="10.5703125" style="135" customWidth="1"/>
    <col min="113" max="113" width="11" style="135" customWidth="1"/>
    <col min="114" max="114" width="9.85546875" style="156" customWidth="1"/>
    <col min="115" max="115" width="9.5703125" style="135" customWidth="1"/>
    <col min="116" max="116" width="10.5703125" style="135" customWidth="1"/>
    <col min="117" max="117" width="11" style="135" customWidth="1"/>
    <col min="118" max="118" width="9.85546875" style="156" customWidth="1"/>
    <col min="119" max="119" width="9.5703125" style="135" customWidth="1"/>
    <col min="120" max="120" width="10.5703125" style="135" customWidth="1"/>
    <col min="121" max="121" width="11" style="135" customWidth="1"/>
    <col min="122" max="122" width="9.85546875" style="156" customWidth="1"/>
    <col min="123" max="123" width="9.5703125" style="135" customWidth="1"/>
    <col min="124" max="124" width="10.5703125" style="135" customWidth="1"/>
    <col min="125" max="125" width="11" style="135" customWidth="1"/>
    <col min="126" max="126" width="9.85546875" style="156" customWidth="1"/>
    <col min="127" max="127" width="9.5703125" style="135" customWidth="1"/>
    <col min="128" max="128" width="10.5703125" style="135" customWidth="1"/>
    <col min="129" max="129" width="11" style="135" customWidth="1"/>
    <col min="130" max="130" width="9.85546875" style="156" customWidth="1"/>
    <col min="131" max="131" width="9.5703125" style="135" customWidth="1"/>
    <col min="132" max="132" width="10.5703125" style="135" customWidth="1"/>
    <col min="133" max="133" width="11" style="135" customWidth="1"/>
    <col min="134" max="134" width="9.85546875" style="156" customWidth="1"/>
    <col min="135" max="135" width="9.5703125" style="135" customWidth="1"/>
    <col min="136" max="136" width="10.5703125" style="135" customWidth="1"/>
    <col min="137" max="137" width="11" style="135" customWidth="1"/>
    <col min="138" max="138" width="9.85546875" style="156" customWidth="1"/>
    <col min="139" max="139" width="9.5703125" style="135" customWidth="1"/>
    <col min="140" max="140" width="10.5703125" style="135" customWidth="1"/>
    <col min="141" max="141" width="11" style="135" customWidth="1"/>
    <col min="142" max="142" width="9.85546875" style="156" customWidth="1"/>
    <col min="143" max="143" width="9.5703125" style="135" customWidth="1"/>
    <col min="144" max="144" width="10.5703125" style="135" customWidth="1"/>
    <col min="145" max="145" width="11" style="135" customWidth="1"/>
    <col min="146" max="146" width="9.85546875" style="156" customWidth="1"/>
    <col min="147" max="147" width="9.5703125" style="135" customWidth="1"/>
    <col min="148" max="148" width="10.5703125" style="135" customWidth="1"/>
    <col min="149" max="149" width="11" style="135" customWidth="1"/>
    <col min="150" max="150" width="9.85546875" style="156" customWidth="1"/>
    <col min="151" max="151" width="9.5703125" style="135" customWidth="1"/>
    <col min="152" max="152" width="10.5703125" style="135" customWidth="1"/>
    <col min="153" max="153" width="11" style="135" customWidth="1"/>
    <col min="154" max="154" width="9.85546875" style="156" customWidth="1"/>
    <col min="155" max="155" width="9.5703125" style="135" customWidth="1"/>
    <col min="156" max="156" width="10.5703125" style="135" customWidth="1"/>
    <col min="157" max="157" width="11" style="135" customWidth="1"/>
    <col min="158" max="158" width="9.85546875" style="156" customWidth="1"/>
    <col min="159" max="159" width="9.5703125" style="135" customWidth="1"/>
    <col min="160" max="160" width="10.5703125" style="135" customWidth="1"/>
    <col min="161" max="161" width="11" style="135" customWidth="1"/>
    <col min="162" max="162" width="9.85546875" style="156" customWidth="1"/>
    <col min="163" max="163" width="9.5703125" style="135" customWidth="1"/>
    <col min="164" max="164" width="10.5703125" style="135" customWidth="1"/>
    <col min="165" max="165" width="11" style="135" customWidth="1"/>
    <col min="166" max="166" width="9.85546875" style="156" customWidth="1"/>
    <col min="167" max="167" width="9.5703125" style="135" customWidth="1"/>
    <col min="168" max="168" width="10.5703125" style="135" customWidth="1"/>
    <col min="169" max="169" width="11" style="135" customWidth="1"/>
    <col min="170" max="170" width="9.85546875" style="156" customWidth="1"/>
    <col min="171" max="171" width="9.5703125" style="135" customWidth="1"/>
    <col min="172" max="172" width="10.5703125" style="135" customWidth="1"/>
    <col min="173" max="173" width="11" style="135" customWidth="1"/>
    <col min="174" max="174" width="9.85546875" style="156" customWidth="1"/>
    <col min="175" max="175" width="9.5703125" style="135" customWidth="1"/>
    <col min="176" max="176" width="10.5703125" style="135" customWidth="1"/>
    <col min="177" max="177" width="11" style="135" customWidth="1"/>
    <col min="178" max="178" width="9.140625" style="135"/>
    <col min="179" max="179" width="9.5703125" style="135" customWidth="1"/>
    <col min="180" max="180" width="10.5703125" style="135" customWidth="1"/>
    <col min="181" max="181" width="11" style="135" customWidth="1"/>
    <col min="182" max="182" width="9.140625" style="135"/>
    <col min="183" max="183" width="9.5703125" style="135" customWidth="1"/>
    <col min="184" max="184" width="10.5703125" style="135" customWidth="1"/>
    <col min="185" max="185" width="11" style="135" customWidth="1"/>
    <col min="186" max="186" width="9.140625" style="135"/>
    <col min="187" max="187" width="9.5703125" style="135" customWidth="1"/>
    <col min="188" max="188" width="10.5703125" style="135" customWidth="1"/>
    <col min="189" max="189" width="11" style="135" customWidth="1"/>
    <col min="190" max="190" width="9.140625" style="135"/>
    <col min="191" max="191" width="9.5703125" style="135" customWidth="1"/>
    <col min="192" max="192" width="10.5703125" style="135" customWidth="1"/>
    <col min="193" max="193" width="11" style="135" customWidth="1"/>
    <col min="194" max="194" width="9.140625" style="135"/>
    <col min="195" max="195" width="9.5703125" style="135" customWidth="1"/>
    <col min="196" max="196" width="10.5703125" style="135" customWidth="1"/>
    <col min="197" max="197" width="11" style="135" customWidth="1"/>
    <col min="198" max="198" width="9.140625" style="135"/>
    <col min="199" max="199" width="9.5703125" style="135" customWidth="1"/>
    <col min="200" max="200" width="10.5703125" style="135" customWidth="1"/>
    <col min="201" max="201" width="11" style="135" customWidth="1"/>
    <col min="202" max="202" width="9.140625" style="135"/>
    <col min="203" max="203" width="9.5703125" style="135" customWidth="1"/>
    <col min="204" max="204" width="10.5703125" style="135" customWidth="1"/>
    <col min="205" max="205" width="11" style="135" customWidth="1"/>
    <col min="206" max="206" width="9.140625" style="135"/>
    <col min="207" max="207" width="9.5703125" style="135" customWidth="1"/>
    <col min="208" max="208" width="10.5703125" style="135" customWidth="1"/>
    <col min="209" max="209" width="11" style="135" customWidth="1"/>
    <col min="210" max="210" width="9.140625" style="135"/>
    <col min="211" max="211" width="9.5703125" style="135" customWidth="1"/>
    <col min="212" max="212" width="10.5703125" style="135" customWidth="1"/>
    <col min="213" max="213" width="11" style="135" customWidth="1"/>
    <col min="214" max="214" width="9.140625" style="135"/>
    <col min="215" max="215" width="9.5703125" style="135" customWidth="1"/>
    <col min="216" max="216" width="10.5703125" style="135" customWidth="1"/>
    <col min="217" max="217" width="11" style="135" customWidth="1"/>
    <col min="218" max="218" width="9.140625" style="135"/>
    <col min="219" max="219" width="9.5703125" style="135" customWidth="1"/>
    <col min="220" max="220" width="10.5703125" style="135" customWidth="1"/>
    <col min="221" max="221" width="11" style="135" customWidth="1"/>
    <col min="222" max="222" width="9.140625" style="135"/>
    <col min="223" max="223" width="9.5703125" style="135" customWidth="1"/>
    <col min="224" max="224" width="10.5703125" style="135" customWidth="1"/>
    <col min="225" max="225" width="11" style="135" customWidth="1"/>
    <col min="226" max="226" width="9.140625" style="135"/>
    <col min="227" max="227" width="9.5703125" style="135" customWidth="1"/>
    <col min="228" max="228" width="10.5703125" style="135" customWidth="1"/>
    <col min="229" max="229" width="11" style="135" customWidth="1"/>
    <col min="230" max="231" width="4" style="135" customWidth="1"/>
    <col min="232" max="232" width="9.140625" style="145"/>
    <col min="233" max="16384" width="9.140625" style="135"/>
  </cols>
  <sheetData>
    <row r="2" spans="2:232" s="549" customFormat="1">
      <c r="B2" s="548"/>
      <c r="C2" s="549" t="s">
        <v>8</v>
      </c>
      <c r="D2" s="548" t="s">
        <v>292</v>
      </c>
      <c r="E2" s="550" t="s">
        <v>330</v>
      </c>
      <c r="F2" s="550"/>
      <c r="G2" s="551">
        <v>2024</v>
      </c>
      <c r="H2" s="552">
        <f>G2</f>
        <v>2024</v>
      </c>
      <c r="I2" s="552">
        <f>H2</f>
        <v>2024</v>
      </c>
      <c r="J2" s="550"/>
      <c r="K2" s="550"/>
      <c r="L2" s="551">
        <v>2024</v>
      </c>
      <c r="M2" s="552">
        <f>L2</f>
        <v>2024</v>
      </c>
      <c r="N2" s="552">
        <f>M2</f>
        <v>2024</v>
      </c>
      <c r="O2" s="550"/>
      <c r="P2" s="550"/>
      <c r="Q2" s="551">
        <v>2024</v>
      </c>
      <c r="R2" s="552">
        <f>Q2</f>
        <v>2024</v>
      </c>
      <c r="S2" s="552">
        <f>R2</f>
        <v>2024</v>
      </c>
      <c r="T2" s="550"/>
      <c r="U2" s="550"/>
      <c r="V2" s="551">
        <v>2024</v>
      </c>
      <c r="W2" s="552">
        <f>V2</f>
        <v>2024</v>
      </c>
      <c r="X2" s="552">
        <f>W2</f>
        <v>2024</v>
      </c>
      <c r="Y2" s="550"/>
      <c r="Z2" s="550"/>
      <c r="AA2" s="551">
        <v>2023</v>
      </c>
      <c r="AB2" s="552">
        <f>AA2</f>
        <v>2023</v>
      </c>
      <c r="AC2" s="552">
        <f>AB2</f>
        <v>2023</v>
      </c>
      <c r="AD2" s="550"/>
      <c r="AE2" s="550"/>
      <c r="AF2" s="551">
        <v>2023</v>
      </c>
      <c r="AG2" s="552">
        <f>AF2</f>
        <v>2023</v>
      </c>
      <c r="AH2" s="552">
        <f>AG2</f>
        <v>2023</v>
      </c>
      <c r="AI2" s="550"/>
      <c r="AJ2" s="550"/>
      <c r="AK2" s="551">
        <v>2023</v>
      </c>
      <c r="AL2" s="552">
        <f>AK2</f>
        <v>2023</v>
      </c>
      <c r="AM2" s="552">
        <f>AL2</f>
        <v>2023</v>
      </c>
      <c r="AN2" s="550"/>
      <c r="AO2" s="550"/>
      <c r="AP2" s="551">
        <v>2023</v>
      </c>
      <c r="AQ2" s="552">
        <f>AP2</f>
        <v>2023</v>
      </c>
      <c r="AR2" s="552">
        <f>AQ2</f>
        <v>2023</v>
      </c>
      <c r="AS2" s="550"/>
      <c r="AT2" s="550"/>
      <c r="AU2" s="551">
        <v>2022</v>
      </c>
      <c r="AV2" s="552">
        <f>AU2</f>
        <v>2022</v>
      </c>
      <c r="AW2" s="552">
        <f>AV2</f>
        <v>2022</v>
      </c>
      <c r="AX2" s="550"/>
      <c r="AY2" s="550"/>
      <c r="AZ2" s="551">
        <v>2022</v>
      </c>
      <c r="BA2" s="552">
        <f>AZ2</f>
        <v>2022</v>
      </c>
      <c r="BB2" s="552">
        <f>BA2</f>
        <v>2022</v>
      </c>
      <c r="BC2" s="550"/>
      <c r="BD2" s="550"/>
      <c r="BE2" s="551">
        <v>2022</v>
      </c>
      <c r="BF2" s="552">
        <f>BE2</f>
        <v>2022</v>
      </c>
      <c r="BG2" s="552">
        <f>BF2</f>
        <v>2022</v>
      </c>
      <c r="BH2" s="550"/>
      <c r="BI2" s="550"/>
      <c r="BJ2" s="551">
        <v>2022</v>
      </c>
      <c r="BK2" s="552">
        <f>BJ2</f>
        <v>2022</v>
      </c>
      <c r="BL2" s="552">
        <f>BK2</f>
        <v>2022</v>
      </c>
      <c r="BM2" s="550"/>
      <c r="BN2" s="550"/>
      <c r="BO2" s="551">
        <v>2021</v>
      </c>
      <c r="BP2" s="552">
        <f>BO2</f>
        <v>2021</v>
      </c>
      <c r="BQ2" s="552">
        <f>BP2</f>
        <v>2021</v>
      </c>
      <c r="BR2" s="552" t="s">
        <v>50</v>
      </c>
      <c r="BS2" s="551">
        <v>2021</v>
      </c>
      <c r="BT2" s="552">
        <f>BS2</f>
        <v>2021</v>
      </c>
      <c r="BU2" s="552">
        <f>BT2</f>
        <v>2021</v>
      </c>
      <c r="BV2" s="552" t="s">
        <v>50</v>
      </c>
      <c r="BW2" s="551">
        <v>2021</v>
      </c>
      <c r="BX2" s="552">
        <f>BW2</f>
        <v>2021</v>
      </c>
      <c r="BY2" s="552">
        <f>BX2</f>
        <v>2021</v>
      </c>
      <c r="BZ2" s="552" t="s">
        <v>50</v>
      </c>
      <c r="CA2" s="551">
        <v>2021</v>
      </c>
      <c r="CB2" s="552">
        <f>CA2</f>
        <v>2021</v>
      </c>
      <c r="CC2" s="552">
        <f>CB2</f>
        <v>2021</v>
      </c>
      <c r="CD2" s="552" t="s">
        <v>50</v>
      </c>
      <c r="CE2" s="551">
        <v>2020</v>
      </c>
      <c r="CF2" s="552">
        <f>CE2</f>
        <v>2020</v>
      </c>
      <c r="CG2" s="552">
        <f>CF2</f>
        <v>2020</v>
      </c>
      <c r="CH2" s="552" t="s">
        <v>50</v>
      </c>
      <c r="CI2" s="551">
        <v>2020</v>
      </c>
      <c r="CJ2" s="552">
        <f>CI2</f>
        <v>2020</v>
      </c>
      <c r="CK2" s="552">
        <f>CJ2</f>
        <v>2020</v>
      </c>
      <c r="CL2" s="552" t="s">
        <v>50</v>
      </c>
      <c r="CM2" s="551">
        <v>2020</v>
      </c>
      <c r="CN2" s="552">
        <f>CM2</f>
        <v>2020</v>
      </c>
      <c r="CO2" s="552">
        <f>CN2</f>
        <v>2020</v>
      </c>
      <c r="CP2" s="552" t="s">
        <v>50</v>
      </c>
      <c r="CQ2" s="551">
        <v>2020</v>
      </c>
      <c r="CR2" s="552">
        <f>CQ2</f>
        <v>2020</v>
      </c>
      <c r="CS2" s="552">
        <f>CR2</f>
        <v>2020</v>
      </c>
      <c r="CT2" s="552" t="s">
        <v>50</v>
      </c>
      <c r="CU2" s="551">
        <v>2019</v>
      </c>
      <c r="CV2" s="552">
        <f>CU2</f>
        <v>2019</v>
      </c>
      <c r="CW2" s="552">
        <f>CV2</f>
        <v>2019</v>
      </c>
      <c r="CX2" s="552" t="s">
        <v>50</v>
      </c>
      <c r="CY2" s="551">
        <v>2019</v>
      </c>
      <c r="CZ2" s="552">
        <f>CY2</f>
        <v>2019</v>
      </c>
      <c r="DA2" s="552">
        <f>CZ2</f>
        <v>2019</v>
      </c>
      <c r="DB2" s="552" t="s">
        <v>50</v>
      </c>
      <c r="DC2" s="551">
        <v>2019</v>
      </c>
      <c r="DD2" s="552">
        <f>DC2</f>
        <v>2019</v>
      </c>
      <c r="DE2" s="552">
        <f>DD2</f>
        <v>2019</v>
      </c>
      <c r="DF2" s="552" t="s">
        <v>50</v>
      </c>
      <c r="DG2" s="551">
        <v>2019</v>
      </c>
      <c r="DH2" s="552">
        <f>DG2</f>
        <v>2019</v>
      </c>
      <c r="DI2" s="552">
        <f>DH2</f>
        <v>2019</v>
      </c>
      <c r="DJ2" s="552" t="s">
        <v>50</v>
      </c>
      <c r="DK2" s="551">
        <v>2018</v>
      </c>
      <c r="DL2" s="552">
        <f>DK2</f>
        <v>2018</v>
      </c>
      <c r="DM2" s="552">
        <f>DL2</f>
        <v>2018</v>
      </c>
      <c r="DN2" s="552" t="s">
        <v>50</v>
      </c>
      <c r="DO2" s="551">
        <v>2018</v>
      </c>
      <c r="DP2" s="552">
        <f>DO2</f>
        <v>2018</v>
      </c>
      <c r="DQ2" s="552">
        <f>DP2</f>
        <v>2018</v>
      </c>
      <c r="DR2" s="552" t="s">
        <v>50</v>
      </c>
      <c r="DS2" s="551">
        <v>2018</v>
      </c>
      <c r="DT2" s="552">
        <f>DS2</f>
        <v>2018</v>
      </c>
      <c r="DU2" s="552">
        <f>DT2</f>
        <v>2018</v>
      </c>
      <c r="DV2" s="552" t="s">
        <v>50</v>
      </c>
      <c r="DW2" s="551">
        <v>2018</v>
      </c>
      <c r="DX2" s="552">
        <f>DW2</f>
        <v>2018</v>
      </c>
      <c r="DY2" s="552">
        <f>DX2</f>
        <v>2018</v>
      </c>
      <c r="DZ2" s="552" t="s">
        <v>50</v>
      </c>
      <c r="EA2" s="551">
        <v>2017</v>
      </c>
      <c r="EB2" s="552">
        <f>EA2</f>
        <v>2017</v>
      </c>
      <c r="EC2" s="552">
        <f>EB2</f>
        <v>2017</v>
      </c>
      <c r="ED2" s="552" t="s">
        <v>50</v>
      </c>
      <c r="EE2" s="551">
        <v>2017</v>
      </c>
      <c r="EF2" s="552">
        <f>EE2</f>
        <v>2017</v>
      </c>
      <c r="EG2" s="552">
        <f>EF2</f>
        <v>2017</v>
      </c>
      <c r="EH2" s="552" t="s">
        <v>50</v>
      </c>
      <c r="EI2" s="551">
        <v>2017</v>
      </c>
      <c r="EJ2" s="552">
        <f>EI2</f>
        <v>2017</v>
      </c>
      <c r="EK2" s="552">
        <f>EJ2</f>
        <v>2017</v>
      </c>
      <c r="EL2" s="552" t="s">
        <v>50</v>
      </c>
      <c r="EM2" s="551">
        <v>2017</v>
      </c>
      <c r="EN2" s="552">
        <f>EM2</f>
        <v>2017</v>
      </c>
      <c r="EO2" s="552">
        <f>EN2</f>
        <v>2017</v>
      </c>
      <c r="EP2" s="552" t="s">
        <v>50</v>
      </c>
      <c r="EQ2" s="551">
        <v>2016</v>
      </c>
      <c r="ER2" s="552">
        <f>EQ2</f>
        <v>2016</v>
      </c>
      <c r="ES2" s="552">
        <f>ER2</f>
        <v>2016</v>
      </c>
      <c r="ET2" s="552" t="s">
        <v>50</v>
      </c>
      <c r="EU2" s="551">
        <v>2016</v>
      </c>
      <c r="EV2" s="552">
        <f>EU2</f>
        <v>2016</v>
      </c>
      <c r="EW2" s="552">
        <f>EV2</f>
        <v>2016</v>
      </c>
      <c r="EX2" s="552" t="s">
        <v>50</v>
      </c>
      <c r="EY2" s="551">
        <v>2016</v>
      </c>
      <c r="EZ2" s="552">
        <f>EY2</f>
        <v>2016</v>
      </c>
      <c r="FA2" s="552">
        <f>EZ2</f>
        <v>2016</v>
      </c>
      <c r="FB2" s="552" t="s">
        <v>50</v>
      </c>
      <c r="FC2" s="551">
        <v>2016</v>
      </c>
      <c r="FD2" s="552">
        <f>FC2</f>
        <v>2016</v>
      </c>
      <c r="FE2" s="552">
        <f>FD2</f>
        <v>2016</v>
      </c>
      <c r="FF2" s="552" t="s">
        <v>50</v>
      </c>
      <c r="FG2" s="551">
        <v>2015</v>
      </c>
      <c r="FH2" s="552">
        <f>FG2</f>
        <v>2015</v>
      </c>
      <c r="FI2" s="552">
        <f>FH2</f>
        <v>2015</v>
      </c>
      <c r="FJ2" s="552" t="s">
        <v>50</v>
      </c>
      <c r="FK2" s="551">
        <v>2015</v>
      </c>
      <c r="FL2" s="552">
        <f>FK2</f>
        <v>2015</v>
      </c>
      <c r="FM2" s="552">
        <f>FL2</f>
        <v>2015</v>
      </c>
      <c r="FN2" s="552" t="s">
        <v>50</v>
      </c>
      <c r="FO2" s="551">
        <v>2015</v>
      </c>
      <c r="FP2" s="552">
        <f>FO2</f>
        <v>2015</v>
      </c>
      <c r="FQ2" s="552">
        <f>FP2</f>
        <v>2015</v>
      </c>
      <c r="FR2" s="552" t="s">
        <v>50</v>
      </c>
      <c r="FS2" s="551">
        <v>2015</v>
      </c>
      <c r="FT2" s="552">
        <f>FS2</f>
        <v>2015</v>
      </c>
      <c r="FU2" s="552">
        <f>FT2</f>
        <v>2015</v>
      </c>
      <c r="FW2" s="551">
        <v>2014</v>
      </c>
      <c r="FX2" s="552">
        <f>FW2</f>
        <v>2014</v>
      </c>
      <c r="FY2" s="552">
        <f>FX2</f>
        <v>2014</v>
      </c>
      <c r="GA2" s="551">
        <v>2014</v>
      </c>
      <c r="GB2" s="552">
        <f>GA2</f>
        <v>2014</v>
      </c>
      <c r="GC2" s="552">
        <f>GB2</f>
        <v>2014</v>
      </c>
      <c r="GE2" s="551">
        <v>2014</v>
      </c>
      <c r="GF2" s="552">
        <f>GE2</f>
        <v>2014</v>
      </c>
      <c r="GG2" s="552">
        <f>GF2</f>
        <v>2014</v>
      </c>
      <c r="GI2" s="551">
        <v>2014</v>
      </c>
      <c r="GJ2" s="552">
        <f>GI2</f>
        <v>2014</v>
      </c>
      <c r="GK2" s="552">
        <f>GJ2</f>
        <v>2014</v>
      </c>
      <c r="GM2" s="551">
        <v>2013</v>
      </c>
      <c r="GN2" s="552">
        <f>GM2</f>
        <v>2013</v>
      </c>
      <c r="GO2" s="552">
        <f>GN2</f>
        <v>2013</v>
      </c>
      <c r="GQ2" s="551">
        <v>2013</v>
      </c>
      <c r="GR2" s="552">
        <f>GQ2</f>
        <v>2013</v>
      </c>
      <c r="GS2" s="552">
        <f>GR2</f>
        <v>2013</v>
      </c>
      <c r="GU2" s="551">
        <v>2013</v>
      </c>
      <c r="GV2" s="552">
        <f>GU2</f>
        <v>2013</v>
      </c>
      <c r="GW2" s="552">
        <f>GV2</f>
        <v>2013</v>
      </c>
      <c r="GY2" s="551">
        <v>2013</v>
      </c>
      <c r="GZ2" s="552">
        <f>GY2</f>
        <v>2013</v>
      </c>
      <c r="HA2" s="552">
        <f>GZ2</f>
        <v>2013</v>
      </c>
      <c r="HC2" s="551">
        <v>2012</v>
      </c>
      <c r="HD2" s="552">
        <f>HC2</f>
        <v>2012</v>
      </c>
      <c r="HE2" s="552">
        <f>HD2</f>
        <v>2012</v>
      </c>
      <c r="HG2" s="551">
        <v>2012</v>
      </c>
      <c r="HH2" s="552">
        <f>HG2</f>
        <v>2012</v>
      </c>
      <c r="HI2" s="552">
        <f>HH2</f>
        <v>2012</v>
      </c>
      <c r="HK2" s="551">
        <v>2012</v>
      </c>
      <c r="HL2" s="552">
        <f>HK2</f>
        <v>2012</v>
      </c>
      <c r="HM2" s="552">
        <f>HL2</f>
        <v>2012</v>
      </c>
      <c r="HO2" s="551">
        <v>2012</v>
      </c>
      <c r="HP2" s="552">
        <f>HO2</f>
        <v>2012</v>
      </c>
      <c r="HQ2" s="552">
        <f>HP2</f>
        <v>2012</v>
      </c>
      <c r="HS2" s="551">
        <v>2011</v>
      </c>
      <c r="HT2" s="552">
        <f>HS2</f>
        <v>2011</v>
      </c>
      <c r="HU2" s="552">
        <f>HT2</f>
        <v>2011</v>
      </c>
      <c r="HX2" s="553" t="s">
        <v>328</v>
      </c>
    </row>
    <row r="3" spans="2:232" s="142" customFormat="1">
      <c r="B3" s="141"/>
      <c r="D3" s="141"/>
      <c r="E3" s="141"/>
      <c r="F3" s="141"/>
      <c r="G3" s="554">
        <v>4</v>
      </c>
      <c r="H3" s="154">
        <f>G3</f>
        <v>4</v>
      </c>
      <c r="I3" s="154">
        <f>H3</f>
        <v>4</v>
      </c>
      <c r="J3" s="141"/>
      <c r="K3" s="141"/>
      <c r="L3" s="554">
        <v>3</v>
      </c>
      <c r="M3" s="154">
        <f>L3</f>
        <v>3</v>
      </c>
      <c r="N3" s="154">
        <f>M3</f>
        <v>3</v>
      </c>
      <c r="O3" s="141"/>
      <c r="P3" s="141"/>
      <c r="Q3" s="554">
        <v>2</v>
      </c>
      <c r="R3" s="154">
        <f>Q3</f>
        <v>2</v>
      </c>
      <c r="S3" s="154">
        <f>R3</f>
        <v>2</v>
      </c>
      <c r="T3" s="141"/>
      <c r="U3" s="141"/>
      <c r="V3" s="554">
        <v>1</v>
      </c>
      <c r="W3" s="154">
        <f>V3</f>
        <v>1</v>
      </c>
      <c r="X3" s="154">
        <f>W3</f>
        <v>1</v>
      </c>
      <c r="Y3" s="141"/>
      <c r="Z3" s="141"/>
      <c r="AA3" s="554">
        <v>4</v>
      </c>
      <c r="AB3" s="154">
        <f>AA3</f>
        <v>4</v>
      </c>
      <c r="AC3" s="154">
        <f>AB3</f>
        <v>4</v>
      </c>
      <c r="AD3" s="141"/>
      <c r="AE3" s="141"/>
      <c r="AF3" s="554">
        <v>3</v>
      </c>
      <c r="AG3" s="154">
        <f>AF3</f>
        <v>3</v>
      </c>
      <c r="AH3" s="154">
        <f>AG3</f>
        <v>3</v>
      </c>
      <c r="AI3" s="141"/>
      <c r="AJ3" s="141"/>
      <c r="AK3" s="554">
        <v>2</v>
      </c>
      <c r="AL3" s="154">
        <f>AK3</f>
        <v>2</v>
      </c>
      <c r="AM3" s="154">
        <f>AL3</f>
        <v>2</v>
      </c>
      <c r="AN3" s="141"/>
      <c r="AO3" s="141"/>
      <c r="AP3" s="554">
        <v>1</v>
      </c>
      <c r="AQ3" s="154">
        <f>AP3</f>
        <v>1</v>
      </c>
      <c r="AR3" s="154">
        <f>AQ3</f>
        <v>1</v>
      </c>
      <c r="AS3" s="141"/>
      <c r="AT3" s="141"/>
      <c r="AU3" s="554">
        <v>4</v>
      </c>
      <c r="AV3" s="154">
        <f>AU3</f>
        <v>4</v>
      </c>
      <c r="AW3" s="154">
        <f>AV3</f>
        <v>4</v>
      </c>
      <c r="AX3" s="141"/>
      <c r="AY3" s="141"/>
      <c r="AZ3" s="554">
        <v>3</v>
      </c>
      <c r="BA3" s="154">
        <f>AZ3</f>
        <v>3</v>
      </c>
      <c r="BB3" s="154">
        <f>BA3</f>
        <v>3</v>
      </c>
      <c r="BC3" s="141"/>
      <c r="BD3" s="141"/>
      <c r="BE3" s="554">
        <v>2</v>
      </c>
      <c r="BF3" s="154">
        <f>BE3</f>
        <v>2</v>
      </c>
      <c r="BG3" s="154">
        <f>BF3</f>
        <v>2</v>
      </c>
      <c r="BH3" s="141"/>
      <c r="BI3" s="141"/>
      <c r="BJ3" s="554">
        <v>1</v>
      </c>
      <c r="BK3" s="154">
        <f>BJ3</f>
        <v>1</v>
      </c>
      <c r="BL3" s="154">
        <f>BK3</f>
        <v>1</v>
      </c>
      <c r="BM3" s="141"/>
      <c r="BN3" s="141"/>
      <c r="BO3" s="554">
        <v>4</v>
      </c>
      <c r="BP3" s="154">
        <f>BO3</f>
        <v>4</v>
      </c>
      <c r="BQ3" s="154">
        <f>BP3</f>
        <v>4</v>
      </c>
      <c r="BR3" s="154" t="s">
        <v>219</v>
      </c>
      <c r="BS3" s="554">
        <v>3</v>
      </c>
      <c r="BT3" s="154">
        <f>BS3</f>
        <v>3</v>
      </c>
      <c r="BU3" s="154">
        <f>BT3</f>
        <v>3</v>
      </c>
      <c r="BV3" s="154" t="s">
        <v>219</v>
      </c>
      <c r="BW3" s="554">
        <v>2</v>
      </c>
      <c r="BX3" s="154">
        <f>BW3</f>
        <v>2</v>
      </c>
      <c r="BY3" s="154">
        <f>BX3</f>
        <v>2</v>
      </c>
      <c r="BZ3" s="154" t="s">
        <v>219</v>
      </c>
      <c r="CA3" s="554">
        <v>1</v>
      </c>
      <c r="CB3" s="154">
        <f>CA3</f>
        <v>1</v>
      </c>
      <c r="CC3" s="154">
        <f>CB3</f>
        <v>1</v>
      </c>
      <c r="CD3" s="154" t="s">
        <v>219</v>
      </c>
      <c r="CE3" s="554">
        <v>4</v>
      </c>
      <c r="CF3" s="154">
        <f>CE3</f>
        <v>4</v>
      </c>
      <c r="CG3" s="154">
        <f>CF3</f>
        <v>4</v>
      </c>
      <c r="CH3" s="154" t="s">
        <v>219</v>
      </c>
      <c r="CI3" s="554">
        <v>3</v>
      </c>
      <c r="CJ3" s="154">
        <f>CI3</f>
        <v>3</v>
      </c>
      <c r="CK3" s="154">
        <f>CJ3</f>
        <v>3</v>
      </c>
      <c r="CL3" s="154" t="s">
        <v>219</v>
      </c>
      <c r="CM3" s="554">
        <v>2</v>
      </c>
      <c r="CN3" s="154">
        <f>CM3</f>
        <v>2</v>
      </c>
      <c r="CO3" s="154">
        <f>CN3</f>
        <v>2</v>
      </c>
      <c r="CP3" s="154" t="s">
        <v>219</v>
      </c>
      <c r="CQ3" s="554">
        <v>1</v>
      </c>
      <c r="CR3" s="154">
        <f>CQ3</f>
        <v>1</v>
      </c>
      <c r="CS3" s="154">
        <f>CR3</f>
        <v>1</v>
      </c>
      <c r="CT3" s="154" t="s">
        <v>219</v>
      </c>
      <c r="CU3" s="554">
        <v>4</v>
      </c>
      <c r="CV3" s="154">
        <f>CU3</f>
        <v>4</v>
      </c>
      <c r="CW3" s="154">
        <f>CV3</f>
        <v>4</v>
      </c>
      <c r="CX3" s="154" t="s">
        <v>219</v>
      </c>
      <c r="CY3" s="554">
        <v>3</v>
      </c>
      <c r="CZ3" s="154">
        <f>CY3</f>
        <v>3</v>
      </c>
      <c r="DA3" s="154">
        <f>CZ3</f>
        <v>3</v>
      </c>
      <c r="DB3" s="154" t="s">
        <v>219</v>
      </c>
      <c r="DC3" s="554">
        <v>2</v>
      </c>
      <c r="DD3" s="154">
        <f>DC3</f>
        <v>2</v>
      </c>
      <c r="DE3" s="154">
        <f>DD3</f>
        <v>2</v>
      </c>
      <c r="DF3" s="154" t="s">
        <v>219</v>
      </c>
      <c r="DG3" s="554">
        <v>1</v>
      </c>
      <c r="DH3" s="154">
        <f>DG3</f>
        <v>1</v>
      </c>
      <c r="DI3" s="154">
        <f>DH3</f>
        <v>1</v>
      </c>
      <c r="DJ3" s="154" t="s">
        <v>219</v>
      </c>
      <c r="DK3" s="554">
        <v>4</v>
      </c>
      <c r="DL3" s="154">
        <f>DK3</f>
        <v>4</v>
      </c>
      <c r="DM3" s="154">
        <f>DL3</f>
        <v>4</v>
      </c>
      <c r="DN3" s="154" t="s">
        <v>219</v>
      </c>
      <c r="DO3" s="554">
        <v>3</v>
      </c>
      <c r="DP3" s="154">
        <f>DO3</f>
        <v>3</v>
      </c>
      <c r="DQ3" s="154">
        <f>DP3</f>
        <v>3</v>
      </c>
      <c r="DR3" s="154" t="s">
        <v>219</v>
      </c>
      <c r="DS3" s="554">
        <v>2</v>
      </c>
      <c r="DT3" s="154">
        <f>DS3</f>
        <v>2</v>
      </c>
      <c r="DU3" s="154">
        <f>DT3</f>
        <v>2</v>
      </c>
      <c r="DV3" s="154" t="s">
        <v>219</v>
      </c>
      <c r="DW3" s="554">
        <v>1</v>
      </c>
      <c r="DX3" s="154">
        <f>DW3</f>
        <v>1</v>
      </c>
      <c r="DY3" s="154">
        <f>DX3</f>
        <v>1</v>
      </c>
      <c r="DZ3" s="154" t="s">
        <v>219</v>
      </c>
      <c r="EA3" s="554">
        <v>4</v>
      </c>
      <c r="EB3" s="154">
        <f>EA3</f>
        <v>4</v>
      </c>
      <c r="EC3" s="154">
        <f>EB3</f>
        <v>4</v>
      </c>
      <c r="ED3" s="154" t="s">
        <v>219</v>
      </c>
      <c r="EE3" s="554">
        <v>3</v>
      </c>
      <c r="EF3" s="154">
        <f>EE3</f>
        <v>3</v>
      </c>
      <c r="EG3" s="154">
        <f>EF3</f>
        <v>3</v>
      </c>
      <c r="EH3" s="154" t="s">
        <v>219</v>
      </c>
      <c r="EI3" s="554">
        <v>2</v>
      </c>
      <c r="EJ3" s="154">
        <f>EI3</f>
        <v>2</v>
      </c>
      <c r="EK3" s="154">
        <f>EJ3</f>
        <v>2</v>
      </c>
      <c r="EL3" s="154" t="s">
        <v>219</v>
      </c>
      <c r="EM3" s="554">
        <v>1</v>
      </c>
      <c r="EN3" s="154">
        <f>EM3</f>
        <v>1</v>
      </c>
      <c r="EO3" s="154">
        <f>EN3</f>
        <v>1</v>
      </c>
      <c r="EP3" s="154" t="s">
        <v>219</v>
      </c>
      <c r="EQ3" s="554">
        <v>4</v>
      </c>
      <c r="ER3" s="154">
        <f>EQ3</f>
        <v>4</v>
      </c>
      <c r="ES3" s="154">
        <f>ER3</f>
        <v>4</v>
      </c>
      <c r="ET3" s="154" t="s">
        <v>219</v>
      </c>
      <c r="EU3" s="554">
        <v>3</v>
      </c>
      <c r="EV3" s="154">
        <f>EU3</f>
        <v>3</v>
      </c>
      <c r="EW3" s="154">
        <f>EV3</f>
        <v>3</v>
      </c>
      <c r="EX3" s="154" t="s">
        <v>219</v>
      </c>
      <c r="EY3" s="554">
        <v>2</v>
      </c>
      <c r="EZ3" s="154">
        <f>EY3</f>
        <v>2</v>
      </c>
      <c r="FA3" s="154">
        <f>EZ3</f>
        <v>2</v>
      </c>
      <c r="FB3" s="154" t="s">
        <v>219</v>
      </c>
      <c r="FC3" s="554">
        <v>1</v>
      </c>
      <c r="FD3" s="154">
        <f>FC3</f>
        <v>1</v>
      </c>
      <c r="FE3" s="154">
        <f>FD3</f>
        <v>1</v>
      </c>
      <c r="FF3" s="154" t="s">
        <v>219</v>
      </c>
      <c r="FG3" s="554">
        <v>4</v>
      </c>
      <c r="FH3" s="154">
        <f>FG3</f>
        <v>4</v>
      </c>
      <c r="FI3" s="154">
        <f>FH3</f>
        <v>4</v>
      </c>
      <c r="FJ3" s="154" t="s">
        <v>219</v>
      </c>
      <c r="FK3" s="554">
        <v>3</v>
      </c>
      <c r="FL3" s="154">
        <f>FK3</f>
        <v>3</v>
      </c>
      <c r="FM3" s="154">
        <f>FL3</f>
        <v>3</v>
      </c>
      <c r="FN3" s="154" t="s">
        <v>219</v>
      </c>
      <c r="FO3" s="554">
        <v>2</v>
      </c>
      <c r="FP3" s="154">
        <f>FO3</f>
        <v>2</v>
      </c>
      <c r="FQ3" s="154">
        <f>FP3</f>
        <v>2</v>
      </c>
      <c r="FR3" s="154" t="s">
        <v>219</v>
      </c>
      <c r="FS3" s="554">
        <v>1</v>
      </c>
      <c r="FT3" s="154">
        <f>FS3</f>
        <v>1</v>
      </c>
      <c r="FU3" s="154">
        <f>FT3</f>
        <v>1</v>
      </c>
      <c r="FW3" s="554">
        <v>4</v>
      </c>
      <c r="FX3" s="154">
        <f>FW3</f>
        <v>4</v>
      </c>
      <c r="FY3" s="154">
        <f>FX3</f>
        <v>4</v>
      </c>
      <c r="GA3" s="554">
        <v>3</v>
      </c>
      <c r="GB3" s="154">
        <f>GA3</f>
        <v>3</v>
      </c>
      <c r="GC3" s="154">
        <f>GB3</f>
        <v>3</v>
      </c>
      <c r="GE3" s="554">
        <v>2</v>
      </c>
      <c r="GF3" s="154">
        <f>GE3</f>
        <v>2</v>
      </c>
      <c r="GG3" s="154">
        <f>GF3</f>
        <v>2</v>
      </c>
      <c r="GI3" s="554">
        <v>1</v>
      </c>
      <c r="GJ3" s="154">
        <f>GI3</f>
        <v>1</v>
      </c>
      <c r="GK3" s="154">
        <f>GJ3</f>
        <v>1</v>
      </c>
      <c r="GM3" s="554">
        <v>4</v>
      </c>
      <c r="GN3" s="154">
        <f>GM3</f>
        <v>4</v>
      </c>
      <c r="GO3" s="154">
        <f>GN3</f>
        <v>4</v>
      </c>
      <c r="GQ3" s="554">
        <v>3</v>
      </c>
      <c r="GR3" s="154">
        <f>GQ3</f>
        <v>3</v>
      </c>
      <c r="GS3" s="154">
        <f>GR3</f>
        <v>3</v>
      </c>
      <c r="GU3" s="554">
        <v>2</v>
      </c>
      <c r="GV3" s="154">
        <f>GU3</f>
        <v>2</v>
      </c>
      <c r="GW3" s="154">
        <f>GV3</f>
        <v>2</v>
      </c>
      <c r="GY3" s="554">
        <v>1</v>
      </c>
      <c r="GZ3" s="154">
        <f>GY3</f>
        <v>1</v>
      </c>
      <c r="HA3" s="154">
        <f>GZ3</f>
        <v>1</v>
      </c>
      <c r="HC3" s="554">
        <v>4</v>
      </c>
      <c r="HD3" s="154">
        <f>HC3</f>
        <v>4</v>
      </c>
      <c r="HE3" s="154">
        <f>HD3</f>
        <v>4</v>
      </c>
      <c r="HG3" s="554">
        <v>3</v>
      </c>
      <c r="HH3" s="154">
        <f>HG3</f>
        <v>3</v>
      </c>
      <c r="HI3" s="154">
        <f>HH3</f>
        <v>3</v>
      </c>
      <c r="HK3" s="554">
        <v>2</v>
      </c>
      <c r="HL3" s="154">
        <f>HK3</f>
        <v>2</v>
      </c>
      <c r="HM3" s="154">
        <f>HL3</f>
        <v>2</v>
      </c>
      <c r="HO3" s="554">
        <v>1</v>
      </c>
      <c r="HP3" s="154">
        <f>HO3</f>
        <v>1</v>
      </c>
      <c r="HQ3" s="154">
        <f>HP3</f>
        <v>1</v>
      </c>
      <c r="HS3" s="554">
        <v>4</v>
      </c>
      <c r="HT3" s="154">
        <f>HS3</f>
        <v>4</v>
      </c>
      <c r="HU3" s="154">
        <f>HT3</f>
        <v>4</v>
      </c>
      <c r="HX3" s="555"/>
    </row>
    <row r="4" spans="2:232" s="142" customFormat="1">
      <c r="B4" s="141"/>
      <c r="D4" s="141"/>
      <c r="E4" s="141"/>
      <c r="F4" s="141"/>
      <c r="G4" s="161" t="s">
        <v>221</v>
      </c>
      <c r="H4" s="161" t="s">
        <v>220</v>
      </c>
      <c r="I4" s="161" t="s">
        <v>343</v>
      </c>
      <c r="J4" s="141"/>
      <c r="K4" s="141"/>
      <c r="L4" s="161" t="s">
        <v>221</v>
      </c>
      <c r="M4" s="161" t="s">
        <v>220</v>
      </c>
      <c r="N4" s="161" t="s">
        <v>343</v>
      </c>
      <c r="O4" s="141"/>
      <c r="P4" s="141"/>
      <c r="Q4" s="161" t="s">
        <v>221</v>
      </c>
      <c r="R4" s="161" t="s">
        <v>220</v>
      </c>
      <c r="S4" s="161" t="s">
        <v>343</v>
      </c>
      <c r="T4" s="141"/>
      <c r="U4" s="141"/>
      <c r="V4" s="161" t="s">
        <v>221</v>
      </c>
      <c r="W4" s="161" t="s">
        <v>220</v>
      </c>
      <c r="X4" s="161" t="s">
        <v>343</v>
      </c>
      <c r="Y4" s="141"/>
      <c r="Z4" s="141"/>
      <c r="AA4" s="161" t="s">
        <v>221</v>
      </c>
      <c r="AB4" s="161" t="s">
        <v>220</v>
      </c>
      <c r="AC4" s="161" t="s">
        <v>343</v>
      </c>
      <c r="AD4" s="141"/>
      <c r="AE4" s="141"/>
      <c r="AF4" s="161" t="s">
        <v>221</v>
      </c>
      <c r="AG4" s="161" t="s">
        <v>220</v>
      </c>
      <c r="AH4" s="161" t="s">
        <v>343</v>
      </c>
      <c r="AI4" s="141"/>
      <c r="AJ4" s="141"/>
      <c r="AK4" s="161" t="s">
        <v>221</v>
      </c>
      <c r="AL4" s="161" t="s">
        <v>220</v>
      </c>
      <c r="AM4" s="161" t="s">
        <v>343</v>
      </c>
      <c r="AN4" s="141"/>
      <c r="AO4" s="141"/>
      <c r="AP4" s="161" t="s">
        <v>221</v>
      </c>
      <c r="AQ4" s="161" t="s">
        <v>220</v>
      </c>
      <c r="AR4" s="161" t="s">
        <v>343</v>
      </c>
      <c r="AS4" s="141"/>
      <c r="AT4" s="141"/>
      <c r="AU4" s="161" t="s">
        <v>221</v>
      </c>
      <c r="AV4" s="161" t="s">
        <v>220</v>
      </c>
      <c r="AW4" s="161" t="s">
        <v>343</v>
      </c>
      <c r="AX4" s="141"/>
      <c r="AY4" s="141"/>
      <c r="AZ4" s="161" t="s">
        <v>221</v>
      </c>
      <c r="BA4" s="161" t="s">
        <v>220</v>
      </c>
      <c r="BB4" s="161" t="s">
        <v>343</v>
      </c>
      <c r="BC4" s="141"/>
      <c r="BD4" s="141"/>
      <c r="BE4" s="161" t="s">
        <v>221</v>
      </c>
      <c r="BF4" s="161" t="s">
        <v>220</v>
      </c>
      <c r="BG4" s="161" t="s">
        <v>343</v>
      </c>
      <c r="BH4" s="141"/>
      <c r="BI4" s="141"/>
      <c r="BJ4" s="161" t="s">
        <v>221</v>
      </c>
      <c r="BK4" s="161" t="s">
        <v>220</v>
      </c>
      <c r="BL4" s="161" t="s">
        <v>343</v>
      </c>
      <c r="BM4" s="141"/>
      <c r="BN4" s="141"/>
      <c r="BO4" s="161" t="s">
        <v>221</v>
      </c>
      <c r="BP4" s="161" t="s">
        <v>220</v>
      </c>
      <c r="BQ4" s="161" t="s">
        <v>343</v>
      </c>
      <c r="BR4" s="154"/>
      <c r="BS4" s="161" t="s">
        <v>221</v>
      </c>
      <c r="BT4" s="161" t="s">
        <v>220</v>
      </c>
      <c r="BU4" s="161" t="s">
        <v>343</v>
      </c>
      <c r="BV4" s="154"/>
      <c r="BW4" s="161" t="s">
        <v>221</v>
      </c>
      <c r="BX4" s="161" t="s">
        <v>220</v>
      </c>
      <c r="BY4" s="161" t="s">
        <v>343</v>
      </c>
      <c r="BZ4" s="154"/>
      <c r="CA4" s="161" t="s">
        <v>221</v>
      </c>
      <c r="CB4" s="161" t="s">
        <v>220</v>
      </c>
      <c r="CC4" s="161" t="s">
        <v>343</v>
      </c>
      <c r="CD4" s="154"/>
      <c r="CE4" s="161" t="s">
        <v>221</v>
      </c>
      <c r="CF4" s="161" t="s">
        <v>220</v>
      </c>
      <c r="CG4" s="161" t="s">
        <v>343</v>
      </c>
      <c r="CH4" s="154"/>
      <c r="CI4" s="161" t="s">
        <v>221</v>
      </c>
      <c r="CJ4" s="161" t="s">
        <v>220</v>
      </c>
      <c r="CK4" s="161" t="s">
        <v>343</v>
      </c>
      <c r="CL4" s="154"/>
      <c r="CM4" s="161" t="s">
        <v>221</v>
      </c>
      <c r="CN4" s="161" t="s">
        <v>220</v>
      </c>
      <c r="CO4" s="161" t="s">
        <v>343</v>
      </c>
      <c r="CP4" s="154"/>
      <c r="CQ4" s="161" t="s">
        <v>221</v>
      </c>
      <c r="CR4" s="161" t="s">
        <v>220</v>
      </c>
      <c r="CS4" s="161" t="s">
        <v>343</v>
      </c>
      <c r="CT4" s="154"/>
      <c r="CU4" s="161" t="s">
        <v>221</v>
      </c>
      <c r="CV4" s="161" t="s">
        <v>220</v>
      </c>
      <c r="CW4" s="161" t="s">
        <v>343</v>
      </c>
      <c r="CX4" s="154"/>
      <c r="CY4" s="161" t="s">
        <v>221</v>
      </c>
      <c r="CZ4" s="161" t="s">
        <v>220</v>
      </c>
      <c r="DA4" s="161" t="s">
        <v>343</v>
      </c>
      <c r="DB4" s="154"/>
      <c r="DC4" s="161" t="s">
        <v>221</v>
      </c>
      <c r="DD4" s="161" t="s">
        <v>220</v>
      </c>
      <c r="DE4" s="161" t="s">
        <v>343</v>
      </c>
      <c r="DF4" s="154"/>
      <c r="DG4" s="161" t="s">
        <v>221</v>
      </c>
      <c r="DH4" s="161" t="s">
        <v>220</v>
      </c>
      <c r="DI4" s="161" t="s">
        <v>343</v>
      </c>
      <c r="DJ4" s="154"/>
      <c r="DK4" s="161" t="s">
        <v>221</v>
      </c>
      <c r="DL4" s="161" t="s">
        <v>220</v>
      </c>
      <c r="DM4" s="161" t="s">
        <v>343</v>
      </c>
      <c r="DN4" s="154"/>
      <c r="DO4" s="161" t="s">
        <v>221</v>
      </c>
      <c r="DP4" s="161" t="s">
        <v>220</v>
      </c>
      <c r="DQ4" s="161" t="s">
        <v>343</v>
      </c>
      <c r="DR4" s="154"/>
      <c r="DS4" s="161" t="s">
        <v>221</v>
      </c>
      <c r="DT4" s="161" t="s">
        <v>220</v>
      </c>
      <c r="DU4" s="161" t="s">
        <v>343</v>
      </c>
      <c r="DV4" s="154"/>
      <c r="DW4" s="161" t="s">
        <v>221</v>
      </c>
      <c r="DX4" s="161" t="s">
        <v>220</v>
      </c>
      <c r="DY4" s="161" t="s">
        <v>343</v>
      </c>
      <c r="DZ4" s="154"/>
      <c r="EA4" s="161" t="s">
        <v>221</v>
      </c>
      <c r="EB4" s="161" t="s">
        <v>220</v>
      </c>
      <c r="EC4" s="161" t="s">
        <v>343</v>
      </c>
      <c r="ED4" s="154"/>
      <c r="EE4" s="161" t="s">
        <v>221</v>
      </c>
      <c r="EF4" s="161" t="s">
        <v>220</v>
      </c>
      <c r="EG4" s="161" t="s">
        <v>343</v>
      </c>
      <c r="EH4" s="154"/>
      <c r="EI4" s="161" t="s">
        <v>221</v>
      </c>
      <c r="EJ4" s="161" t="s">
        <v>220</v>
      </c>
      <c r="EK4" s="161" t="s">
        <v>343</v>
      </c>
      <c r="EL4" s="154"/>
      <c r="EM4" s="161" t="s">
        <v>221</v>
      </c>
      <c r="EN4" s="161" t="s">
        <v>220</v>
      </c>
      <c r="EO4" s="161" t="s">
        <v>343</v>
      </c>
      <c r="EP4" s="154"/>
      <c r="EQ4" s="161" t="s">
        <v>221</v>
      </c>
      <c r="ER4" s="161" t="s">
        <v>220</v>
      </c>
      <c r="ES4" s="161" t="s">
        <v>343</v>
      </c>
      <c r="ET4" s="154"/>
      <c r="EU4" s="161" t="s">
        <v>221</v>
      </c>
      <c r="EV4" s="161" t="s">
        <v>220</v>
      </c>
      <c r="EW4" s="161" t="s">
        <v>343</v>
      </c>
      <c r="EX4" s="154"/>
      <c r="EY4" s="161" t="s">
        <v>221</v>
      </c>
      <c r="EZ4" s="161" t="s">
        <v>220</v>
      </c>
      <c r="FA4" s="161" t="s">
        <v>343</v>
      </c>
      <c r="FB4" s="154"/>
      <c r="FC4" s="161" t="s">
        <v>221</v>
      </c>
      <c r="FD4" s="161" t="s">
        <v>220</v>
      </c>
      <c r="FE4" s="161" t="s">
        <v>343</v>
      </c>
      <c r="FF4" s="154"/>
      <c r="FG4" s="161" t="s">
        <v>221</v>
      </c>
      <c r="FH4" s="161" t="s">
        <v>220</v>
      </c>
      <c r="FI4" s="161" t="s">
        <v>343</v>
      </c>
      <c r="FJ4" s="154"/>
      <c r="FK4" s="161" t="s">
        <v>221</v>
      </c>
      <c r="FL4" s="161" t="s">
        <v>220</v>
      </c>
      <c r="FM4" s="161" t="s">
        <v>343</v>
      </c>
      <c r="FN4" s="154"/>
      <c r="FO4" s="161" t="s">
        <v>221</v>
      </c>
      <c r="FP4" s="161" t="s">
        <v>220</v>
      </c>
      <c r="FQ4" s="161" t="s">
        <v>343</v>
      </c>
      <c r="FR4" s="154"/>
      <c r="FS4" s="161" t="s">
        <v>221</v>
      </c>
      <c r="FT4" s="161" t="s">
        <v>220</v>
      </c>
      <c r="FU4" s="161" t="s">
        <v>343</v>
      </c>
      <c r="FW4" s="161" t="s">
        <v>221</v>
      </c>
      <c r="FX4" s="161" t="s">
        <v>220</v>
      </c>
      <c r="FY4" s="161" t="s">
        <v>343</v>
      </c>
      <c r="GA4" s="161" t="s">
        <v>221</v>
      </c>
      <c r="GB4" s="161" t="s">
        <v>220</v>
      </c>
      <c r="GC4" s="161" t="s">
        <v>343</v>
      </c>
      <c r="GE4" s="161" t="s">
        <v>221</v>
      </c>
      <c r="GF4" s="161" t="s">
        <v>220</v>
      </c>
      <c r="GG4" s="161" t="s">
        <v>343</v>
      </c>
      <c r="GI4" s="161" t="s">
        <v>221</v>
      </c>
      <c r="GJ4" s="161" t="s">
        <v>220</v>
      </c>
      <c r="GK4" s="161" t="s">
        <v>343</v>
      </c>
      <c r="GM4" s="161" t="s">
        <v>221</v>
      </c>
      <c r="GN4" s="161" t="s">
        <v>220</v>
      </c>
      <c r="GO4" s="161" t="s">
        <v>343</v>
      </c>
      <c r="GQ4" s="161" t="s">
        <v>221</v>
      </c>
      <c r="GR4" s="161" t="s">
        <v>220</v>
      </c>
      <c r="GS4" s="161" t="s">
        <v>343</v>
      </c>
      <c r="GU4" s="161" t="s">
        <v>221</v>
      </c>
      <c r="GV4" s="161" t="s">
        <v>220</v>
      </c>
      <c r="GW4" s="161" t="s">
        <v>343</v>
      </c>
      <c r="GY4" s="161" t="s">
        <v>221</v>
      </c>
      <c r="GZ4" s="161" t="s">
        <v>220</v>
      </c>
      <c r="HA4" s="161" t="s">
        <v>343</v>
      </c>
      <c r="HC4" s="161" t="s">
        <v>221</v>
      </c>
      <c r="HD4" s="161" t="s">
        <v>220</v>
      </c>
      <c r="HE4" s="161" t="s">
        <v>343</v>
      </c>
      <c r="HG4" s="161" t="s">
        <v>221</v>
      </c>
      <c r="HH4" s="161" t="s">
        <v>220</v>
      </c>
      <c r="HI4" s="161" t="s">
        <v>343</v>
      </c>
      <c r="HK4" s="161" t="s">
        <v>221</v>
      </c>
      <c r="HL4" s="161" t="s">
        <v>220</v>
      </c>
      <c r="HM4" s="161" t="s">
        <v>343</v>
      </c>
      <c r="HO4" s="161" t="s">
        <v>221</v>
      </c>
      <c r="HP4" s="161" t="s">
        <v>220</v>
      </c>
      <c r="HQ4" s="161" t="s">
        <v>343</v>
      </c>
      <c r="HS4" s="161" t="s">
        <v>221</v>
      </c>
      <c r="HT4" s="161" t="s">
        <v>220</v>
      </c>
      <c r="HU4" s="161" t="s">
        <v>343</v>
      </c>
      <c r="HX4" s="145"/>
    </row>
    <row r="5" spans="2:232" s="557" customFormat="1" ht="25.5">
      <c r="B5" s="556"/>
      <c r="G5" s="558" t="str">
        <f>G2 &amp; "." &amp; G3 &amp; ":::" &amp; G4</f>
        <v>2024.4:::Price</v>
      </c>
      <c r="H5" s="558" t="str">
        <f>H2 &amp; "." &amp; H3 &amp; ":::" &amp; H4</f>
        <v>2024.4:::Shares</v>
      </c>
      <c r="I5" s="558" t="str">
        <f>I2 &amp; "." &amp; I3 &amp; ":::" &amp; I4</f>
        <v>2024.4:::Mkt_Cap</v>
      </c>
      <c r="L5" s="558" t="str">
        <f>L2 &amp; "." &amp; L3 &amp; ":::" &amp; L4</f>
        <v>2024.3:::Price</v>
      </c>
      <c r="M5" s="558" t="str">
        <f>M2 &amp; "." &amp; M3 &amp; ":::" &amp; M4</f>
        <v>2024.3:::Shares</v>
      </c>
      <c r="N5" s="558" t="str">
        <f>N2 &amp; "." &amp; N3 &amp; ":::" &amp; N4</f>
        <v>2024.3:::Mkt_Cap</v>
      </c>
      <c r="Q5" s="558" t="str">
        <f>Q2 &amp; "." &amp; Q3 &amp; ":::" &amp; Q4</f>
        <v>2024.2:::Price</v>
      </c>
      <c r="R5" s="558" t="str">
        <f>R2 &amp; "." &amp; R3 &amp; ":::" &amp; R4</f>
        <v>2024.2:::Shares</v>
      </c>
      <c r="S5" s="558" t="str">
        <f>S2 &amp; "." &amp; S3 &amp; ":::" &amp; S4</f>
        <v>2024.2:::Mkt_Cap</v>
      </c>
      <c r="V5" s="558" t="str">
        <f>V2 &amp; "." &amp; V3 &amp; ":::" &amp; V4</f>
        <v>2024.1:::Price</v>
      </c>
      <c r="W5" s="558" t="str">
        <f>W2 &amp; "." &amp; W3 &amp; ":::" &amp; W4</f>
        <v>2024.1:::Shares</v>
      </c>
      <c r="X5" s="558" t="str">
        <f>X2 &amp; "." &amp; X3 &amp; ":::" &amp; X4</f>
        <v>2024.1:::Mkt_Cap</v>
      </c>
      <c r="AA5" s="558" t="str">
        <f>AA2 &amp; "." &amp; AA3 &amp; ":::" &amp; AA4</f>
        <v>2023.4:::Price</v>
      </c>
      <c r="AB5" s="558" t="str">
        <f>AB2 &amp; "." &amp; AB3 &amp; ":::" &amp; AB4</f>
        <v>2023.4:::Shares</v>
      </c>
      <c r="AC5" s="558" t="str">
        <f>AC2 &amp; "." &amp; AC3 &amp; ":::" &amp; AC4</f>
        <v>2023.4:::Mkt_Cap</v>
      </c>
      <c r="AF5" s="558" t="str">
        <f>AF2 &amp; "." &amp; AF3 &amp; ":::" &amp; AF4</f>
        <v>2023.3:::Price</v>
      </c>
      <c r="AG5" s="558" t="str">
        <f>AG2 &amp; "." &amp; AG3 &amp; ":::" &amp; AG4</f>
        <v>2023.3:::Shares</v>
      </c>
      <c r="AH5" s="558" t="str">
        <f>AH2 &amp; "." &amp; AH3 &amp; ":::" &amp; AH4</f>
        <v>2023.3:::Mkt_Cap</v>
      </c>
      <c r="AK5" s="558" t="str">
        <f>AK2 &amp; "." &amp; AK3 &amp; ":::" &amp; AK4</f>
        <v>2023.2:::Price</v>
      </c>
      <c r="AL5" s="558" t="str">
        <f>AL2 &amp; "." &amp; AL3 &amp; ":::" &amp; AL4</f>
        <v>2023.2:::Shares</v>
      </c>
      <c r="AM5" s="558" t="str">
        <f>AM2 &amp; "." &amp; AM3 &amp; ":::" &amp; AM4</f>
        <v>2023.2:::Mkt_Cap</v>
      </c>
      <c r="AP5" s="558" t="str">
        <f>AP2 &amp; "." &amp; AP3 &amp; ":::" &amp; AP4</f>
        <v>2023.1:::Price</v>
      </c>
      <c r="AQ5" s="558" t="str">
        <f>AQ2 &amp; "." &amp; AQ3 &amp; ":::" &amp; AQ4</f>
        <v>2023.1:::Shares</v>
      </c>
      <c r="AR5" s="558" t="str">
        <f>AR2 &amp; "." &amp; AR3 &amp; ":::" &amp; AR4</f>
        <v>2023.1:::Mkt_Cap</v>
      </c>
      <c r="AU5" s="558" t="str">
        <f>AU2 &amp; "." &amp; AU3 &amp; ":::" &amp; AU4</f>
        <v>2022.4:::Price</v>
      </c>
      <c r="AV5" s="558" t="str">
        <f>AV2 &amp; "." &amp; AV3 &amp; ":::" &amp; AV4</f>
        <v>2022.4:::Shares</v>
      </c>
      <c r="AW5" s="558" t="str">
        <f>AW2 &amp; "." &amp; AW3 &amp; ":::" &amp; AW4</f>
        <v>2022.4:::Mkt_Cap</v>
      </c>
      <c r="AZ5" s="558" t="str">
        <f>AZ2 &amp; "." &amp; AZ3 &amp; ":::" &amp; AZ4</f>
        <v>2022.3:::Price</v>
      </c>
      <c r="BA5" s="558" t="str">
        <f>BA2 &amp; "." &amp; BA3 &amp; ":::" &amp; BA4</f>
        <v>2022.3:::Shares</v>
      </c>
      <c r="BB5" s="558" t="str">
        <f>BB2 &amp; "." &amp; BB3 &amp; ":::" &amp; BB4</f>
        <v>2022.3:::Mkt_Cap</v>
      </c>
      <c r="BE5" s="558" t="str">
        <f>BE2 &amp; "." &amp; BE3 &amp; ":::" &amp; BE4</f>
        <v>2022.2:::Price</v>
      </c>
      <c r="BF5" s="558" t="str">
        <f>BF2 &amp; "." &amp; BF3 &amp; ":::" &amp; BF4</f>
        <v>2022.2:::Shares</v>
      </c>
      <c r="BG5" s="558" t="str">
        <f>BG2 &amp; "." &amp; BG3 &amp; ":::" &amp; BG4</f>
        <v>2022.2:::Mkt_Cap</v>
      </c>
      <c r="BJ5" s="558" t="str">
        <f>BJ2 &amp; "." &amp; BJ3 &amp; ":::" &amp; BJ4</f>
        <v>2022.1:::Price</v>
      </c>
      <c r="BK5" s="558" t="str">
        <f>BK2 &amp; "." &amp; BK3 &amp; ":::" &amp; BK4</f>
        <v>2022.1:::Shares</v>
      </c>
      <c r="BL5" s="558" t="str">
        <f>BL2 &amp; "." &amp; BL3 &amp; ":::" &amp; BL4</f>
        <v>2022.1:::Mkt_Cap</v>
      </c>
      <c r="BO5" s="558" t="str">
        <f>BO2 &amp; "." &amp; BO3 &amp; ":::" &amp; BO4</f>
        <v>2021.4:::Price</v>
      </c>
      <c r="BP5" s="558" t="str">
        <f>BP2 &amp; "." &amp; BP3 &amp; ":::" &amp; BP4</f>
        <v>2021.4:::Shares</v>
      </c>
      <c r="BQ5" s="558" t="str">
        <f>BQ2 &amp; "." &amp; BQ3 &amp; ":::" &amp; BQ4</f>
        <v>2021.4:::Mkt_Cap</v>
      </c>
      <c r="BR5" s="558"/>
      <c r="BS5" s="558" t="str">
        <f>BS2 &amp; "." &amp; BS3 &amp; ":::" &amp; BS4</f>
        <v>2021.3:::Price</v>
      </c>
      <c r="BT5" s="558" t="str">
        <f>BT2 &amp; "." &amp; BT3 &amp; ":::" &amp; BT4</f>
        <v>2021.3:::Shares</v>
      </c>
      <c r="BU5" s="558" t="str">
        <f>BU2 &amp; "." &amp; BU3 &amp; ":::" &amp; BU4</f>
        <v>2021.3:::Mkt_Cap</v>
      </c>
      <c r="BV5" s="558"/>
      <c r="BW5" s="558" t="str">
        <f>BW2 &amp; "." &amp; BW3 &amp; ":::" &amp; BW4</f>
        <v>2021.2:::Price</v>
      </c>
      <c r="BX5" s="558" t="str">
        <f>BX2 &amp; "." &amp; BX3 &amp; ":::" &amp; BX4</f>
        <v>2021.2:::Shares</v>
      </c>
      <c r="BY5" s="558" t="str">
        <f>BY2 &amp; "." &amp; BY3 &amp; ":::" &amp; BY4</f>
        <v>2021.2:::Mkt_Cap</v>
      </c>
      <c r="BZ5" s="558"/>
      <c r="CA5" s="558" t="str">
        <f>CA2 &amp; "." &amp; CA3 &amp; ":::" &amp; CA4</f>
        <v>2021.1:::Price</v>
      </c>
      <c r="CB5" s="558" t="str">
        <f>CB2 &amp; "." &amp; CB3 &amp; ":::" &amp; CB4</f>
        <v>2021.1:::Shares</v>
      </c>
      <c r="CC5" s="558" t="str">
        <f>CC2 &amp; "." &amp; CC3 &amp; ":::" &amp; CC4</f>
        <v>2021.1:::Mkt_Cap</v>
      </c>
      <c r="CD5" s="558"/>
      <c r="CE5" s="558" t="str">
        <f>CE2 &amp; "." &amp; CE3 &amp; ":::" &amp; CE4</f>
        <v>2020.4:::Price</v>
      </c>
      <c r="CF5" s="558" t="str">
        <f>CF2 &amp; "." &amp; CF3 &amp; ":::" &amp; CF4</f>
        <v>2020.4:::Shares</v>
      </c>
      <c r="CG5" s="558" t="str">
        <f>CG2 &amp; "." &amp; CG3 &amp; ":::" &amp; CG4</f>
        <v>2020.4:::Mkt_Cap</v>
      </c>
      <c r="CH5" s="558"/>
      <c r="CI5" s="558" t="str">
        <f>CI2 &amp; "." &amp; CI3 &amp; ":::" &amp; CI4</f>
        <v>2020.3:::Price</v>
      </c>
      <c r="CJ5" s="558" t="str">
        <f>CJ2 &amp; "." &amp; CJ3 &amp; ":::" &amp; CJ4</f>
        <v>2020.3:::Shares</v>
      </c>
      <c r="CK5" s="558" t="str">
        <f>CK2 &amp; "." &amp; CK3 &amp; ":::" &amp; CK4</f>
        <v>2020.3:::Mkt_Cap</v>
      </c>
      <c r="CL5" s="558"/>
      <c r="CM5" s="558" t="str">
        <f>CM2 &amp; "." &amp; CM3 &amp; ":::" &amp; CM4</f>
        <v>2020.2:::Price</v>
      </c>
      <c r="CN5" s="558" t="str">
        <f>CN2 &amp; "." &amp; CN3 &amp; ":::" &amp; CN4</f>
        <v>2020.2:::Shares</v>
      </c>
      <c r="CO5" s="558" t="str">
        <f>CO2 &amp; "." &amp; CO3 &amp; ":::" &amp; CO4</f>
        <v>2020.2:::Mkt_Cap</v>
      </c>
      <c r="CP5" s="558"/>
      <c r="CQ5" s="559" t="str">
        <f>CQ2 &amp; "." &amp; CQ3 &amp; ":::" &amp; CQ4</f>
        <v>2020.1:::Price</v>
      </c>
      <c r="CR5" s="559" t="str">
        <f>CR2 &amp; "." &amp; CR3 &amp; ":::" &amp; CR4</f>
        <v>2020.1:::Shares</v>
      </c>
      <c r="CS5" s="559" t="str">
        <f>CS2 &amp; "." &amp; CS3 &amp; ":::" &amp; CS4</f>
        <v>2020.1:::Mkt_Cap</v>
      </c>
      <c r="CT5" s="558"/>
      <c r="CU5" s="559" t="str">
        <f>CU2 &amp; "." &amp; CU3 &amp; ":::" &amp; CU4</f>
        <v>2019.4:::Price</v>
      </c>
      <c r="CV5" s="559" t="str">
        <f>CV2 &amp; "." &amp; CV3 &amp; ":::" &amp; CV4</f>
        <v>2019.4:::Shares</v>
      </c>
      <c r="CW5" s="559" t="str">
        <f>CW2 &amp; "." &amp; CW3 &amp; ":::" &amp; CW4</f>
        <v>2019.4:::Mkt_Cap</v>
      </c>
      <c r="CX5" s="558"/>
      <c r="CY5" s="559" t="str">
        <f>CY2 &amp; "." &amp; CY3 &amp; ":::" &amp; CY4</f>
        <v>2019.3:::Price</v>
      </c>
      <c r="CZ5" s="559" t="str">
        <f>CZ2 &amp; "." &amp; CZ3 &amp; ":::" &amp; CZ4</f>
        <v>2019.3:::Shares</v>
      </c>
      <c r="DA5" s="559" t="str">
        <f>DA2 &amp; "." &amp; DA3 &amp; ":::" &amp; DA4</f>
        <v>2019.3:::Mkt_Cap</v>
      </c>
      <c r="DB5" s="558"/>
      <c r="DC5" s="559" t="str">
        <f>DC2 &amp; "." &amp; DC3 &amp; ":::" &amp; DC4</f>
        <v>2019.2:::Price</v>
      </c>
      <c r="DD5" s="559" t="str">
        <f>DD2 &amp; "." &amp; DD3 &amp; ":::" &amp; DD4</f>
        <v>2019.2:::Shares</v>
      </c>
      <c r="DE5" s="559" t="str">
        <f>DE2 &amp; "." &amp; DE3 &amp; ":::" &amp; DE4</f>
        <v>2019.2:::Mkt_Cap</v>
      </c>
      <c r="DF5" s="558"/>
      <c r="DG5" s="559" t="str">
        <f>DG2 &amp; "." &amp; DG3 &amp; ":::" &amp; DG4</f>
        <v>2019.1:::Price</v>
      </c>
      <c r="DH5" s="559" t="str">
        <f>DH2 &amp; "." &amp; DH3 &amp; ":::" &amp; DH4</f>
        <v>2019.1:::Shares</v>
      </c>
      <c r="DI5" s="559" t="str">
        <f>DI2 &amp; "." &amp; DI3 &amp; ":::" &amp; DI4</f>
        <v>2019.1:::Mkt_Cap</v>
      </c>
      <c r="DJ5" s="558"/>
      <c r="DK5" s="559" t="str">
        <f>DK2 &amp; "." &amp; DK3 &amp; ":::" &amp; DK4</f>
        <v>2018.4:::Price</v>
      </c>
      <c r="DL5" s="559" t="str">
        <f>DL2 &amp; "." &amp; DL3 &amp; ":::" &amp; DL4</f>
        <v>2018.4:::Shares</v>
      </c>
      <c r="DM5" s="559" t="str">
        <f>DM2 &amp; "." &amp; DM3 &amp; ":::" &amp; DM4</f>
        <v>2018.4:::Mkt_Cap</v>
      </c>
      <c r="DN5" s="558"/>
      <c r="DO5" s="559" t="str">
        <f>DO2 &amp; "." &amp; DO3 &amp; ":::" &amp; DO4</f>
        <v>2018.3:::Price</v>
      </c>
      <c r="DP5" s="559" t="str">
        <f>DP2 &amp; "." &amp; DP3 &amp; ":::" &amp; DP4</f>
        <v>2018.3:::Shares</v>
      </c>
      <c r="DQ5" s="559" t="str">
        <f>DQ2 &amp; "." &amp; DQ3 &amp; ":::" &amp; DQ4</f>
        <v>2018.3:::Mkt_Cap</v>
      </c>
      <c r="DR5" s="558"/>
      <c r="DS5" s="559" t="str">
        <f>DS2 &amp; "." &amp; DS3 &amp; ":::" &amp; DS4</f>
        <v>2018.2:::Price</v>
      </c>
      <c r="DT5" s="559" t="str">
        <f>DT2 &amp; "." &amp; DT3 &amp; ":::" &amp; DT4</f>
        <v>2018.2:::Shares</v>
      </c>
      <c r="DU5" s="559" t="str">
        <f>DU2 &amp; "." &amp; DU3 &amp; ":::" &amp; DU4</f>
        <v>2018.2:::Mkt_Cap</v>
      </c>
      <c r="DV5" s="558"/>
      <c r="DW5" s="559" t="str">
        <f>DW2 &amp; "." &amp; DW3 &amp; ":::" &amp; DW4</f>
        <v>2018.1:::Price</v>
      </c>
      <c r="DX5" s="559" t="str">
        <f>DX2 &amp; "." &amp; DX3 &amp; ":::" &amp; DX4</f>
        <v>2018.1:::Shares</v>
      </c>
      <c r="DY5" s="559" t="str">
        <f>DY2 &amp; "." &amp; DY3 &amp; ":::" &amp; DY4</f>
        <v>2018.1:::Mkt_Cap</v>
      </c>
      <c r="DZ5" s="558"/>
      <c r="EA5" s="559" t="str">
        <f>EA2 &amp; "." &amp; EA3 &amp; ":::" &amp; EA4</f>
        <v>2017.4:::Price</v>
      </c>
      <c r="EB5" s="559" t="str">
        <f>EB2 &amp; "." &amp; EB3 &amp; ":::" &amp; EB4</f>
        <v>2017.4:::Shares</v>
      </c>
      <c r="EC5" s="559" t="str">
        <f>EC2 &amp; "." &amp; EC3 &amp; ":::" &amp; EC4</f>
        <v>2017.4:::Mkt_Cap</v>
      </c>
      <c r="ED5" s="558"/>
      <c r="EE5" s="559" t="str">
        <f>EE2 &amp; "." &amp; EE3 &amp; ":::" &amp; EE4</f>
        <v>2017.3:::Price</v>
      </c>
      <c r="EF5" s="559" t="str">
        <f>EF2 &amp; "." &amp; EF3 &amp; ":::" &amp; EF4</f>
        <v>2017.3:::Shares</v>
      </c>
      <c r="EG5" s="559" t="str">
        <f>EG2 &amp; "." &amp; EG3 &amp; ":::" &amp; EG4</f>
        <v>2017.3:::Mkt_Cap</v>
      </c>
      <c r="EH5" s="558"/>
      <c r="EI5" s="559" t="str">
        <f>EI2 &amp; "." &amp; EI3 &amp; ":::" &amp; EI4</f>
        <v>2017.2:::Price</v>
      </c>
      <c r="EJ5" s="559" t="str">
        <f>EJ2 &amp; "." &amp; EJ3 &amp; ":::" &amp; EJ4</f>
        <v>2017.2:::Shares</v>
      </c>
      <c r="EK5" s="559" t="str">
        <f>EK2 &amp; "." &amp; EK3 &amp; ":::" &amp; EK4</f>
        <v>2017.2:::Mkt_Cap</v>
      </c>
      <c r="EL5" s="558"/>
      <c r="EM5" s="559" t="str">
        <f>EM2 &amp; "." &amp; EM3 &amp; ":::" &amp; EM4</f>
        <v>2017.1:::Price</v>
      </c>
      <c r="EN5" s="559" t="str">
        <f>EN2 &amp; "." &amp; EN3 &amp; ":::" &amp; EN4</f>
        <v>2017.1:::Shares</v>
      </c>
      <c r="EO5" s="559" t="str">
        <f>EO2 &amp; "." &amp; EO3 &amp; ":::" &amp; EO4</f>
        <v>2017.1:::Mkt_Cap</v>
      </c>
      <c r="EP5" s="558"/>
      <c r="EQ5" s="559" t="str">
        <f>EQ2 &amp; "." &amp; EQ3 &amp; ":::" &amp; EQ4</f>
        <v>2016.4:::Price</v>
      </c>
      <c r="ER5" s="559" t="str">
        <f>ER2 &amp; "." &amp; ER3 &amp; ":::" &amp; ER4</f>
        <v>2016.4:::Shares</v>
      </c>
      <c r="ES5" s="559" t="str">
        <f>ES2 &amp; "." &amp; ES3 &amp; ":::" &amp; ES4</f>
        <v>2016.4:::Mkt_Cap</v>
      </c>
      <c r="ET5" s="558"/>
      <c r="EU5" s="559" t="str">
        <f>EU2 &amp; "." &amp; EU3 &amp; ":::" &amp; EU4</f>
        <v>2016.3:::Price</v>
      </c>
      <c r="EV5" s="559" t="str">
        <f>EV2 &amp; "." &amp; EV3 &amp; ":::" &amp; EV4</f>
        <v>2016.3:::Shares</v>
      </c>
      <c r="EW5" s="559" t="str">
        <f>EW2 &amp; "." &amp; EW3 &amp; ":::" &amp; EW4</f>
        <v>2016.3:::Mkt_Cap</v>
      </c>
      <c r="EX5" s="558"/>
      <c r="EY5" s="559" t="str">
        <f>EY2 &amp; "." &amp; EY3 &amp; ":::" &amp; EY4</f>
        <v>2016.2:::Price</v>
      </c>
      <c r="EZ5" s="559" t="str">
        <f>EZ2 &amp; "." &amp; EZ3 &amp; ":::" &amp; EZ4</f>
        <v>2016.2:::Shares</v>
      </c>
      <c r="FA5" s="559" t="str">
        <f>FA2 &amp; "." &amp; FA3 &amp; ":::" &amp; FA4</f>
        <v>2016.2:::Mkt_Cap</v>
      </c>
      <c r="FB5" s="558"/>
      <c r="FC5" s="559" t="str">
        <f>FC2 &amp; "." &amp; FC3 &amp; ":::" &amp; FC4</f>
        <v>2016.1:::Price</v>
      </c>
      <c r="FD5" s="559" t="str">
        <f>FD2 &amp; "." &amp; FD3 &amp; ":::" &amp; FD4</f>
        <v>2016.1:::Shares</v>
      </c>
      <c r="FE5" s="559" t="str">
        <f>FE2 &amp; "." &amp; FE3 &amp; ":::" &amp; FE4</f>
        <v>2016.1:::Mkt_Cap</v>
      </c>
      <c r="FF5" s="558"/>
      <c r="FG5" s="559" t="str">
        <f>FG2 &amp; "." &amp; FG3 &amp; ":::" &amp; FG4</f>
        <v>2015.4:::Price</v>
      </c>
      <c r="FH5" s="559" t="str">
        <f>FH2 &amp; "." &amp; FH3 &amp; ":::" &amp; FH4</f>
        <v>2015.4:::Shares</v>
      </c>
      <c r="FI5" s="559" t="str">
        <f>FI2 &amp; "." &amp; FI3 &amp; ":::" &amp; FI4</f>
        <v>2015.4:::Mkt_Cap</v>
      </c>
      <c r="FJ5" s="558"/>
      <c r="FK5" s="559" t="str">
        <f>FK2 &amp; "." &amp; FK3 &amp; ":::" &amp; FK4</f>
        <v>2015.3:::Price</v>
      </c>
      <c r="FL5" s="559" t="str">
        <f>FL2 &amp; "." &amp; FL3 &amp; ":::" &amp; FL4</f>
        <v>2015.3:::Shares</v>
      </c>
      <c r="FM5" s="559" t="str">
        <f>FM2 &amp; "." &amp; FM3 &amp; ":::" &amp; FM4</f>
        <v>2015.3:::Mkt_Cap</v>
      </c>
      <c r="FN5" s="558"/>
      <c r="FO5" s="559" t="str">
        <f>FO2 &amp; "." &amp; FO3 &amp; ":::" &amp; FO4</f>
        <v>2015.2:::Price</v>
      </c>
      <c r="FP5" s="559" t="str">
        <f>FP2 &amp; "." &amp; FP3 &amp; ":::" &amp; FP4</f>
        <v>2015.2:::Shares</v>
      </c>
      <c r="FQ5" s="559" t="str">
        <f>FQ2 &amp; "." &amp; FQ3 &amp; ":::" &amp; FQ4</f>
        <v>2015.2:::Mkt_Cap</v>
      </c>
      <c r="FR5" s="558"/>
      <c r="FS5" s="559" t="str">
        <f>FS2 &amp; "." &amp; FS3 &amp; ":::" &amp; FS4</f>
        <v>2015.1:::Price</v>
      </c>
      <c r="FT5" s="559" t="str">
        <f>FT2 &amp; "." &amp; FT3 &amp; ":::" &amp; FT4</f>
        <v>2015.1:::Shares</v>
      </c>
      <c r="FU5" s="559" t="str">
        <f>FU2 &amp; "." &amp; FU3 &amp; ":::" &amp; FU4</f>
        <v>2015.1:::Mkt_Cap</v>
      </c>
      <c r="FW5" s="559" t="str">
        <f>FW2 &amp; "." &amp; FW3 &amp; ":::" &amp; FW4</f>
        <v>2014.4:::Price</v>
      </c>
      <c r="FX5" s="559" t="str">
        <f>FX2 &amp; "." &amp; FX3 &amp; ":::" &amp; FX4</f>
        <v>2014.4:::Shares</v>
      </c>
      <c r="FY5" s="559" t="str">
        <f>FY2 &amp; "." &amp; FY3 &amp; ":::" &amp; FY4</f>
        <v>2014.4:::Mkt_Cap</v>
      </c>
      <c r="GA5" s="559" t="str">
        <f>GA2 &amp; "." &amp; GA3 &amp; ":::" &amp; GA4</f>
        <v>2014.3:::Price</v>
      </c>
      <c r="GB5" s="559" t="str">
        <f>GB2 &amp; "." &amp; GB3 &amp; ":::" &amp; GB4</f>
        <v>2014.3:::Shares</v>
      </c>
      <c r="GC5" s="559" t="str">
        <f>GC2 &amp; "." &amp; GC3 &amp; ":::" &amp; GC4</f>
        <v>2014.3:::Mkt_Cap</v>
      </c>
      <c r="GE5" s="559" t="str">
        <f>GE2 &amp; "." &amp; GE3 &amp; ":::" &amp; GE4</f>
        <v>2014.2:::Price</v>
      </c>
      <c r="GF5" s="559" t="str">
        <f>GF2 &amp; "." &amp; GF3 &amp; ":::" &amp; GF4</f>
        <v>2014.2:::Shares</v>
      </c>
      <c r="GG5" s="559" t="str">
        <f>GG2 &amp; "." &amp; GG3 &amp; ":::" &amp; GG4</f>
        <v>2014.2:::Mkt_Cap</v>
      </c>
      <c r="GI5" s="559" t="str">
        <f>GI2 &amp; "." &amp; GI3 &amp; ":::" &amp; GI4</f>
        <v>2014.1:::Price</v>
      </c>
      <c r="GJ5" s="559" t="str">
        <f>GJ2 &amp; "." &amp; GJ3 &amp; ":::" &amp; GJ4</f>
        <v>2014.1:::Shares</v>
      </c>
      <c r="GK5" s="559" t="str">
        <f>GK2 &amp; "." &amp; GK3 &amp; ":::" &amp; GK4</f>
        <v>2014.1:::Mkt_Cap</v>
      </c>
      <c r="GM5" s="559" t="str">
        <f>GM2 &amp; "." &amp; GM3 &amp; ":::" &amp; GM4</f>
        <v>2013.4:::Price</v>
      </c>
      <c r="GN5" s="559" t="str">
        <f>GN2 &amp; "." &amp; GN3 &amp; ":::" &amp; GN4</f>
        <v>2013.4:::Shares</v>
      </c>
      <c r="GO5" s="559" t="str">
        <f>GO2 &amp; "." &amp; GO3 &amp; ":::" &amp; GO4</f>
        <v>2013.4:::Mkt_Cap</v>
      </c>
      <c r="GQ5" s="559" t="str">
        <f>GQ2 &amp; "." &amp; GQ3 &amp; ":::" &amp; GQ4</f>
        <v>2013.3:::Price</v>
      </c>
      <c r="GR5" s="559" t="str">
        <f>GR2 &amp; "." &amp; GR3 &amp; ":::" &amp; GR4</f>
        <v>2013.3:::Shares</v>
      </c>
      <c r="GS5" s="559" t="str">
        <f>GS2 &amp; "." &amp; GS3 &amp; ":::" &amp; GS4</f>
        <v>2013.3:::Mkt_Cap</v>
      </c>
      <c r="GU5" s="559" t="str">
        <f>GU2 &amp; "." &amp; GU3 &amp; ":::" &amp; GU4</f>
        <v>2013.2:::Price</v>
      </c>
      <c r="GV5" s="559" t="str">
        <f>GV2 &amp; "." &amp; GV3 &amp; ":::" &amp; GV4</f>
        <v>2013.2:::Shares</v>
      </c>
      <c r="GW5" s="559" t="str">
        <f>GW2 &amp; "." &amp; GW3 &amp; ":::" &amp; GW4</f>
        <v>2013.2:::Mkt_Cap</v>
      </c>
      <c r="GY5" s="559" t="str">
        <f>GY2 &amp; "." &amp; GY3 &amp; ":::" &amp; GY4</f>
        <v>2013.1:::Price</v>
      </c>
      <c r="GZ5" s="559" t="str">
        <f>GZ2 &amp; "." &amp; GZ3 &amp; ":::" &amp; GZ4</f>
        <v>2013.1:::Shares</v>
      </c>
      <c r="HA5" s="559" t="str">
        <f>HA2 &amp; "." &amp; HA3 &amp; ":::" &amp; HA4</f>
        <v>2013.1:::Mkt_Cap</v>
      </c>
      <c r="HC5" s="559" t="str">
        <f>HC2 &amp; "." &amp; HC3 &amp; ":::" &amp; HC4</f>
        <v>2012.4:::Price</v>
      </c>
      <c r="HD5" s="559" t="str">
        <f>HD2 &amp; "." &amp; HD3 &amp; ":::" &amp; HD4</f>
        <v>2012.4:::Shares</v>
      </c>
      <c r="HE5" s="559" t="str">
        <f>HE2 &amp; "." &amp; HE3 &amp; ":::" &amp; HE4</f>
        <v>2012.4:::Mkt_Cap</v>
      </c>
      <c r="HG5" s="559" t="str">
        <f>HG2 &amp; "." &amp; HG3 &amp; ":::" &amp; HG4</f>
        <v>2012.3:::Price</v>
      </c>
      <c r="HH5" s="559" t="str">
        <f>HH2 &amp; "." &amp; HH3 &amp; ":::" &amp; HH4</f>
        <v>2012.3:::Shares</v>
      </c>
      <c r="HI5" s="559" t="str">
        <f>HI2 &amp; "." &amp; HI3 &amp; ":::" &amp; HI4</f>
        <v>2012.3:::Mkt_Cap</v>
      </c>
      <c r="HK5" s="559" t="str">
        <f>HK2 &amp; "." &amp; HK3 &amp; ":::" &amp; HK4</f>
        <v>2012.2:::Price</v>
      </c>
      <c r="HL5" s="559" t="str">
        <f>HL2 &amp; "." &amp; HL3 &amp; ":::" &amp; HL4</f>
        <v>2012.2:::Shares</v>
      </c>
      <c r="HM5" s="559" t="str">
        <f>HM2 &amp; "." &amp; HM3 &amp; ":::" &amp; HM4</f>
        <v>2012.2:::Mkt_Cap</v>
      </c>
      <c r="HO5" s="559" t="str">
        <f>HO2 &amp; "." &amp; HO3 &amp; ":::" &amp; HO4</f>
        <v>2012.1:::Price</v>
      </c>
      <c r="HP5" s="559" t="str">
        <f>HP2 &amp; "." &amp; HP3 &amp; ":::" &amp; HP4</f>
        <v>2012.1:::Shares</v>
      </c>
      <c r="HQ5" s="559" t="str">
        <f>HQ2 &amp; "." &amp; HQ3 &amp; ":::" &amp; HQ4</f>
        <v>2012.1:::Mkt_Cap</v>
      </c>
      <c r="HS5" s="559" t="str">
        <f>HS2 &amp; "." &amp; HS3 &amp; ":::" &amp; HS4</f>
        <v>2011.4:::Price</v>
      </c>
      <c r="HT5" s="559" t="str">
        <f>HT2 &amp; "." &amp; HT3 &amp; ":::" &amp; HT4</f>
        <v>2011.4:::Shares</v>
      </c>
      <c r="HU5" s="559" t="str">
        <f>HU2 &amp; "." &amp; HU3 &amp; ":::" &amp; HU4</f>
        <v>2011.4:::Mkt_Cap</v>
      </c>
      <c r="HX5" s="560"/>
    </row>
    <row r="6" spans="2:232">
      <c r="C6" s="376" t="s">
        <v>339</v>
      </c>
      <c r="D6" s="157" t="str">
        <f>C6</f>
        <v>'CompanyList'!</v>
      </c>
      <c r="E6" s="157" t="str">
        <f>D6</f>
        <v>'CompanyList'!</v>
      </c>
      <c r="G6" s="158" t="s">
        <v>609</v>
      </c>
      <c r="H6" s="153" t="str">
        <f>G6</f>
        <v>'MASTER'!</v>
      </c>
      <c r="I6" s="156"/>
      <c r="L6" s="158" t="s">
        <v>609</v>
      </c>
      <c r="M6" s="153" t="str">
        <f>L6</f>
        <v>'MASTER'!</v>
      </c>
      <c r="N6" s="156"/>
      <c r="Q6" s="158" t="s">
        <v>609</v>
      </c>
      <c r="R6" s="153" t="str">
        <f>Q6</f>
        <v>'MASTER'!</v>
      </c>
      <c r="S6" s="156"/>
      <c r="V6" s="158" t="s">
        <v>609</v>
      </c>
      <c r="W6" s="153" t="str">
        <f>V6</f>
        <v>'MASTER'!</v>
      </c>
      <c r="X6" s="156"/>
      <c r="AA6" s="158" t="s">
        <v>609</v>
      </c>
      <c r="AB6" s="153" t="str">
        <f>AA6</f>
        <v>'MASTER'!</v>
      </c>
      <c r="AC6" s="156"/>
      <c r="AF6" s="158" t="s">
        <v>609</v>
      </c>
      <c r="AG6" s="153" t="str">
        <f>AF6</f>
        <v>'MASTER'!</v>
      </c>
      <c r="AH6" s="156"/>
      <c r="AK6" s="158" t="s">
        <v>609</v>
      </c>
      <c r="AL6" s="153" t="str">
        <f>AK6</f>
        <v>'MASTER'!</v>
      </c>
      <c r="AM6" s="156"/>
      <c r="AP6" s="158" t="s">
        <v>609</v>
      </c>
      <c r="AQ6" s="153" t="str">
        <f>AP6</f>
        <v>'MASTER'!</v>
      </c>
      <c r="AR6" s="156"/>
      <c r="AU6" s="158" t="s">
        <v>609</v>
      </c>
      <c r="AV6" s="153" t="str">
        <f>AU6</f>
        <v>'MASTER'!</v>
      </c>
      <c r="AZ6" s="158" t="s">
        <v>609</v>
      </c>
      <c r="BA6" s="153" t="str">
        <f>AZ6</f>
        <v>'MASTER'!</v>
      </c>
      <c r="BE6" s="158" t="s">
        <v>609</v>
      </c>
      <c r="BF6" s="153" t="str">
        <f>BE6</f>
        <v>'MASTER'!</v>
      </c>
      <c r="BJ6" s="158" t="s">
        <v>609</v>
      </c>
      <c r="BK6" s="153" t="str">
        <f>BJ6</f>
        <v>'MASTER'!</v>
      </c>
      <c r="BO6" s="158" t="s">
        <v>609</v>
      </c>
      <c r="BP6" s="153" t="str">
        <f>BO6</f>
        <v>'MASTER'!</v>
      </c>
      <c r="BS6" s="158" t="s">
        <v>609</v>
      </c>
      <c r="BT6" s="153" t="str">
        <f>BS6</f>
        <v>'MASTER'!</v>
      </c>
      <c r="BW6" s="158" t="s">
        <v>609</v>
      </c>
      <c r="BX6" s="153" t="str">
        <f>BW6</f>
        <v>'MASTER'!</v>
      </c>
      <c r="CA6" s="158" t="s">
        <v>609</v>
      </c>
      <c r="CB6" s="153" t="str">
        <f>CA6</f>
        <v>'MASTER'!</v>
      </c>
      <c r="CE6" s="158" t="s">
        <v>609</v>
      </c>
      <c r="CF6" s="153" t="str">
        <f>CE6</f>
        <v>'MASTER'!</v>
      </c>
      <c r="CI6" s="158" t="s">
        <v>609</v>
      </c>
      <c r="CJ6" s="153" t="str">
        <f>CI6</f>
        <v>'MASTER'!</v>
      </c>
      <c r="CM6" s="158" t="s">
        <v>609</v>
      </c>
      <c r="CN6" s="153" t="str">
        <f>CM6</f>
        <v>'MASTER'!</v>
      </c>
      <c r="CQ6" s="158" t="s">
        <v>609</v>
      </c>
      <c r="CR6" s="153" t="str">
        <f>CQ6</f>
        <v>'MASTER'!</v>
      </c>
      <c r="CS6" s="153"/>
      <c r="CU6" s="158" t="s">
        <v>609</v>
      </c>
      <c r="CV6" s="153" t="str">
        <f>CU6</f>
        <v>'MASTER'!</v>
      </c>
      <c r="CW6" s="153"/>
      <c r="CY6" s="158" t="s">
        <v>609</v>
      </c>
      <c r="CZ6" s="153" t="str">
        <f>CY6</f>
        <v>'MASTER'!</v>
      </c>
      <c r="DA6" s="153"/>
      <c r="DC6" s="158" t="s">
        <v>609</v>
      </c>
      <c r="DD6" s="153" t="str">
        <f>DC6</f>
        <v>'MASTER'!</v>
      </c>
      <c r="DE6" s="153"/>
      <c r="DG6" s="158" t="s">
        <v>609</v>
      </c>
      <c r="DH6" s="153" t="str">
        <f>DG6</f>
        <v>'MASTER'!</v>
      </c>
      <c r="DI6" s="153"/>
      <c r="DK6" s="158" t="s">
        <v>340</v>
      </c>
      <c r="DL6" s="153" t="str">
        <f>DK6</f>
        <v>'master'!</v>
      </c>
      <c r="DM6" s="153"/>
      <c r="DO6" s="158" t="s">
        <v>340</v>
      </c>
      <c r="DP6" s="153" t="str">
        <f>DO6</f>
        <v>'master'!</v>
      </c>
      <c r="DQ6" s="153"/>
      <c r="DS6" s="158" t="s">
        <v>340</v>
      </c>
      <c r="DT6" s="153" t="str">
        <f>DS6</f>
        <v>'master'!</v>
      </c>
      <c r="DU6" s="153"/>
      <c r="DW6" s="158" t="s">
        <v>340</v>
      </c>
      <c r="DX6" s="153" t="str">
        <f>DW6</f>
        <v>'master'!</v>
      </c>
      <c r="DY6" s="153"/>
      <c r="EA6" s="158" t="s">
        <v>340</v>
      </c>
      <c r="EB6" s="153" t="str">
        <f>EA6</f>
        <v>'master'!</v>
      </c>
      <c r="EC6" s="153"/>
      <c r="EE6" s="158" t="s">
        <v>340</v>
      </c>
      <c r="EF6" s="153" t="str">
        <f>EE6</f>
        <v>'master'!</v>
      </c>
      <c r="EG6" s="153"/>
      <c r="EI6" s="158" t="s">
        <v>340</v>
      </c>
      <c r="EJ6" s="153" t="str">
        <f>EI6</f>
        <v>'master'!</v>
      </c>
      <c r="EK6" s="153"/>
      <c r="EM6" s="158" t="s">
        <v>340</v>
      </c>
      <c r="EN6" s="153" t="str">
        <f>EM6</f>
        <v>'master'!</v>
      </c>
      <c r="EO6" s="153"/>
      <c r="EQ6" s="158" t="s">
        <v>340</v>
      </c>
      <c r="ER6" s="153" t="str">
        <f>EQ6</f>
        <v>'master'!</v>
      </c>
      <c r="ES6" s="153"/>
      <c r="EU6" s="158" t="s">
        <v>340</v>
      </c>
      <c r="EV6" s="153" t="str">
        <f>EU6</f>
        <v>'master'!</v>
      </c>
      <c r="EW6" s="153"/>
      <c r="EY6" s="158" t="s">
        <v>340</v>
      </c>
      <c r="EZ6" s="153" t="str">
        <f>EY6</f>
        <v>'master'!</v>
      </c>
      <c r="FA6" s="153"/>
      <c r="FC6" s="158" t="s">
        <v>340</v>
      </c>
      <c r="FD6" s="153" t="str">
        <f>FC6</f>
        <v>'master'!</v>
      </c>
      <c r="FE6" s="153"/>
      <c r="FG6" s="158" t="s">
        <v>340</v>
      </c>
      <c r="FH6" s="153" t="str">
        <f>FG6</f>
        <v>'master'!</v>
      </c>
      <c r="FI6" s="153"/>
      <c r="FK6" s="158" t="s">
        <v>340</v>
      </c>
      <c r="FL6" s="153" t="str">
        <f>FK6</f>
        <v>'master'!</v>
      </c>
      <c r="FM6" s="153"/>
      <c r="FO6" s="158" t="s">
        <v>340</v>
      </c>
      <c r="FP6" s="153" t="str">
        <f>FO6</f>
        <v>'master'!</v>
      </c>
      <c r="FQ6" s="153"/>
      <c r="FS6" s="158" t="s">
        <v>340</v>
      </c>
      <c r="FT6" s="153" t="str">
        <f>FS6</f>
        <v>'master'!</v>
      </c>
      <c r="FU6" s="153"/>
      <c r="FW6" s="158" t="s">
        <v>340</v>
      </c>
      <c r="FX6" s="153" t="str">
        <f>FW6</f>
        <v>'master'!</v>
      </c>
      <c r="FY6" s="153"/>
      <c r="GA6" s="158" t="s">
        <v>340</v>
      </c>
      <c r="GB6" s="153" t="str">
        <f>GA6</f>
        <v>'master'!</v>
      </c>
      <c r="GC6" s="153"/>
      <c r="GE6" s="158" t="s">
        <v>340</v>
      </c>
      <c r="GF6" s="153" t="str">
        <f>GE6</f>
        <v>'master'!</v>
      </c>
      <c r="GG6" s="153"/>
      <c r="GI6" s="158" t="s">
        <v>340</v>
      </c>
      <c r="GJ6" s="153" t="str">
        <f>GI6</f>
        <v>'master'!</v>
      </c>
      <c r="GK6" s="153"/>
      <c r="GM6" s="158" t="s">
        <v>340</v>
      </c>
      <c r="GN6" s="153" t="str">
        <f>GM6</f>
        <v>'master'!</v>
      </c>
      <c r="GO6" s="153"/>
      <c r="GQ6" s="158" t="s">
        <v>340</v>
      </c>
      <c r="GR6" s="153" t="str">
        <f>GQ6</f>
        <v>'master'!</v>
      </c>
      <c r="GS6" s="153"/>
      <c r="GU6" s="158" t="s">
        <v>340</v>
      </c>
      <c r="GV6" s="153" t="str">
        <f>GU6</f>
        <v>'master'!</v>
      </c>
      <c r="GW6" s="153"/>
      <c r="GY6" s="158" t="s">
        <v>340</v>
      </c>
      <c r="GZ6" s="153" t="str">
        <f>GY6</f>
        <v>'master'!</v>
      </c>
      <c r="HA6" s="153"/>
      <c r="HC6" s="158" t="s">
        <v>340</v>
      </c>
      <c r="HD6" s="153" t="str">
        <f>HC6</f>
        <v>'master'!</v>
      </c>
      <c r="HE6" s="153"/>
      <c r="HG6" s="158" t="s">
        <v>340</v>
      </c>
      <c r="HH6" s="153" t="str">
        <f>HG6</f>
        <v>'master'!</v>
      </c>
      <c r="HI6" s="153"/>
      <c r="HK6" s="158" t="s">
        <v>340</v>
      </c>
      <c r="HL6" s="153" t="str">
        <f>HK6</f>
        <v>'master'!</v>
      </c>
      <c r="HM6" s="153"/>
      <c r="HO6" s="158" t="s">
        <v>340</v>
      </c>
      <c r="HP6" s="153" t="str">
        <f>HO6</f>
        <v>'master'!</v>
      </c>
      <c r="HQ6" s="153"/>
      <c r="HS6" s="158" t="s">
        <v>340</v>
      </c>
      <c r="HT6" s="153" t="str">
        <f>HS6</f>
        <v>'master'!</v>
      </c>
      <c r="HU6" s="153"/>
      <c r="HX6" s="160" t="str">
        <f>HK6</f>
        <v>'master'!</v>
      </c>
    </row>
    <row r="7" spans="2:232" s="142" customFormat="1">
      <c r="B7" s="141"/>
      <c r="C7" s="377" t="s">
        <v>594</v>
      </c>
      <c r="D7" s="375" t="s">
        <v>595</v>
      </c>
      <c r="E7" s="375" t="s">
        <v>605</v>
      </c>
      <c r="F7" s="141"/>
      <c r="G7" s="161" t="s">
        <v>341</v>
      </c>
      <c r="H7" s="153" t="str">
        <f>G7</f>
        <v>5:5</v>
      </c>
      <c r="I7" s="154"/>
      <c r="J7" s="141"/>
      <c r="K7" s="141"/>
      <c r="L7" s="161" t="s">
        <v>341</v>
      </c>
      <c r="M7" s="153" t="str">
        <f>L7</f>
        <v>5:5</v>
      </c>
      <c r="N7" s="154"/>
      <c r="O7" s="141"/>
      <c r="P7" s="141"/>
      <c r="Q7" s="161" t="s">
        <v>341</v>
      </c>
      <c r="R7" s="153" t="str">
        <f>Q7</f>
        <v>5:5</v>
      </c>
      <c r="S7" s="154"/>
      <c r="T7" s="141"/>
      <c r="U7" s="141"/>
      <c r="V7" s="161" t="s">
        <v>341</v>
      </c>
      <c r="W7" s="153" t="str">
        <f>V7</f>
        <v>5:5</v>
      </c>
      <c r="X7" s="154"/>
      <c r="Y7" s="141"/>
      <c r="Z7" s="141"/>
      <c r="AA7" s="161" t="s">
        <v>341</v>
      </c>
      <c r="AB7" s="153" t="str">
        <f>AA7</f>
        <v>5:5</v>
      </c>
      <c r="AC7" s="154"/>
      <c r="AD7" s="141"/>
      <c r="AE7" s="141"/>
      <c r="AF7" s="161" t="s">
        <v>341</v>
      </c>
      <c r="AG7" s="153" t="str">
        <f>AF7</f>
        <v>5:5</v>
      </c>
      <c r="AH7" s="154"/>
      <c r="AI7" s="141"/>
      <c r="AJ7" s="141"/>
      <c r="AK7" s="161" t="s">
        <v>341</v>
      </c>
      <c r="AL7" s="153" t="str">
        <f>AK7</f>
        <v>5:5</v>
      </c>
      <c r="AM7" s="154"/>
      <c r="AN7" s="141"/>
      <c r="AO7" s="141"/>
      <c r="AP7" s="161" t="s">
        <v>341</v>
      </c>
      <c r="AQ7" s="153" t="str">
        <f>AP7</f>
        <v>5:5</v>
      </c>
      <c r="AR7" s="154"/>
      <c r="AS7" s="141"/>
      <c r="AT7" s="141"/>
      <c r="AU7" s="161" t="s">
        <v>341</v>
      </c>
      <c r="AV7" s="153" t="str">
        <f>AU7</f>
        <v>5:5</v>
      </c>
      <c r="AW7" s="154"/>
      <c r="AX7" s="141"/>
      <c r="AY7" s="141"/>
      <c r="AZ7" s="161" t="s">
        <v>341</v>
      </c>
      <c r="BA7" s="153" t="str">
        <f>AZ7</f>
        <v>5:5</v>
      </c>
      <c r="BB7" s="154"/>
      <c r="BC7" s="141"/>
      <c r="BD7" s="141"/>
      <c r="BE7" s="161" t="s">
        <v>341</v>
      </c>
      <c r="BF7" s="153" t="str">
        <f>BE7</f>
        <v>5:5</v>
      </c>
      <c r="BG7" s="154"/>
      <c r="BH7" s="141"/>
      <c r="BI7" s="141"/>
      <c r="BJ7" s="161" t="s">
        <v>341</v>
      </c>
      <c r="BK7" s="153" t="str">
        <f>BJ7</f>
        <v>5:5</v>
      </c>
      <c r="BL7" s="154"/>
      <c r="BM7" s="141"/>
      <c r="BN7" s="141"/>
      <c r="BO7" s="161" t="s">
        <v>341</v>
      </c>
      <c r="BP7" s="153" t="str">
        <f>BO7</f>
        <v>5:5</v>
      </c>
      <c r="BQ7" s="154"/>
      <c r="BR7" s="154"/>
      <c r="BS7" s="161" t="s">
        <v>341</v>
      </c>
      <c r="BT7" s="153" t="str">
        <f>BS7</f>
        <v>5:5</v>
      </c>
      <c r="BU7" s="154"/>
      <c r="BV7" s="154"/>
      <c r="BW7" s="161" t="s">
        <v>341</v>
      </c>
      <c r="BX7" s="153" t="str">
        <f>BW7</f>
        <v>5:5</v>
      </c>
      <c r="BY7" s="154"/>
      <c r="BZ7" s="154"/>
      <c r="CA7" s="161" t="s">
        <v>341</v>
      </c>
      <c r="CB7" s="153" t="str">
        <f>CA7</f>
        <v>5:5</v>
      </c>
      <c r="CC7" s="154"/>
      <c r="CD7" s="154"/>
      <c r="CE7" s="161" t="s">
        <v>341</v>
      </c>
      <c r="CF7" s="153" t="str">
        <f>CE7</f>
        <v>5:5</v>
      </c>
      <c r="CG7" s="154"/>
      <c r="CH7" s="154"/>
      <c r="CI7" s="161" t="s">
        <v>341</v>
      </c>
      <c r="CJ7" s="153" t="str">
        <f>CI7</f>
        <v>5:5</v>
      </c>
      <c r="CK7" s="154"/>
      <c r="CL7" s="154"/>
      <c r="CM7" s="161" t="s">
        <v>341</v>
      </c>
      <c r="CN7" s="153" t="str">
        <f>CM7</f>
        <v>5:5</v>
      </c>
      <c r="CO7" s="154"/>
      <c r="CP7" s="154"/>
      <c r="CQ7" s="161" t="s">
        <v>341</v>
      </c>
      <c r="CR7" s="153" t="str">
        <f>CQ7</f>
        <v>5:5</v>
      </c>
      <c r="CS7" s="153"/>
      <c r="CT7" s="154"/>
      <c r="CU7" s="161" t="s">
        <v>341</v>
      </c>
      <c r="CV7" s="153" t="str">
        <f>CU7</f>
        <v>5:5</v>
      </c>
      <c r="CW7" s="153"/>
      <c r="CX7" s="154"/>
      <c r="CY7" s="161" t="s">
        <v>341</v>
      </c>
      <c r="CZ7" s="153" t="str">
        <f>CY7</f>
        <v>5:5</v>
      </c>
      <c r="DA7" s="153"/>
      <c r="DB7" s="154"/>
      <c r="DC7" s="161" t="s">
        <v>341</v>
      </c>
      <c r="DD7" s="153" t="str">
        <f>DC7</f>
        <v>5:5</v>
      </c>
      <c r="DE7" s="153"/>
      <c r="DF7" s="154"/>
      <c r="DG7" s="161" t="s">
        <v>341</v>
      </c>
      <c r="DH7" s="153" t="str">
        <f>DG7</f>
        <v>5:5</v>
      </c>
      <c r="DI7" s="153"/>
      <c r="DJ7" s="154"/>
      <c r="DK7" s="161" t="s">
        <v>341</v>
      </c>
      <c r="DL7" s="153" t="str">
        <f>DK7</f>
        <v>5:5</v>
      </c>
      <c r="DM7" s="153"/>
      <c r="DN7" s="154"/>
      <c r="DO7" s="161" t="s">
        <v>341</v>
      </c>
      <c r="DP7" s="153" t="str">
        <f>DO7</f>
        <v>5:5</v>
      </c>
      <c r="DQ7" s="153"/>
      <c r="DR7" s="154"/>
      <c r="DS7" s="161" t="s">
        <v>341</v>
      </c>
      <c r="DT7" s="153" t="str">
        <f>DS7</f>
        <v>5:5</v>
      </c>
      <c r="DU7" s="153"/>
      <c r="DV7" s="154"/>
      <c r="DW7" s="161" t="s">
        <v>341</v>
      </c>
      <c r="DX7" s="153" t="str">
        <f>DW7</f>
        <v>5:5</v>
      </c>
      <c r="DY7" s="153"/>
      <c r="DZ7" s="154"/>
      <c r="EA7" s="161" t="s">
        <v>341</v>
      </c>
      <c r="EB7" s="153" t="str">
        <f>EA7</f>
        <v>5:5</v>
      </c>
      <c r="EC7" s="153"/>
      <c r="ED7" s="154"/>
      <c r="EE7" s="161" t="s">
        <v>341</v>
      </c>
      <c r="EF7" s="153" t="str">
        <f>EE7</f>
        <v>5:5</v>
      </c>
      <c r="EG7" s="153"/>
      <c r="EH7" s="154"/>
      <c r="EI7" s="161" t="s">
        <v>341</v>
      </c>
      <c r="EJ7" s="153" t="str">
        <f>EI7</f>
        <v>5:5</v>
      </c>
      <c r="EK7" s="153"/>
      <c r="EL7" s="154"/>
      <c r="EM7" s="161" t="s">
        <v>341</v>
      </c>
      <c r="EN7" s="153" t="str">
        <f>EM7</f>
        <v>5:5</v>
      </c>
      <c r="EO7" s="153"/>
      <c r="EP7" s="154"/>
      <c r="EQ7" s="161" t="s">
        <v>341</v>
      </c>
      <c r="ER7" s="153" t="str">
        <f>EQ7</f>
        <v>5:5</v>
      </c>
      <c r="ES7" s="153"/>
      <c r="ET7" s="154"/>
      <c r="EU7" s="161" t="s">
        <v>341</v>
      </c>
      <c r="EV7" s="153" t="str">
        <f>EU7</f>
        <v>5:5</v>
      </c>
      <c r="EW7" s="153"/>
      <c r="EX7" s="154"/>
      <c r="EY7" s="161" t="s">
        <v>341</v>
      </c>
      <c r="EZ7" s="153" t="str">
        <f>EY7</f>
        <v>5:5</v>
      </c>
      <c r="FA7" s="153"/>
      <c r="FB7" s="154"/>
      <c r="FC7" s="161" t="s">
        <v>341</v>
      </c>
      <c r="FD7" s="153" t="str">
        <f>FC7</f>
        <v>5:5</v>
      </c>
      <c r="FE7" s="153"/>
      <c r="FF7" s="154"/>
      <c r="FG7" s="161" t="s">
        <v>341</v>
      </c>
      <c r="FH7" s="153" t="str">
        <f>FG7</f>
        <v>5:5</v>
      </c>
      <c r="FI7" s="153"/>
      <c r="FJ7" s="154"/>
      <c r="FK7" s="161" t="s">
        <v>341</v>
      </c>
      <c r="FL7" s="153" t="str">
        <f>FK7</f>
        <v>5:5</v>
      </c>
      <c r="FM7" s="153"/>
      <c r="FN7" s="154"/>
      <c r="FO7" s="161" t="s">
        <v>341</v>
      </c>
      <c r="FP7" s="153" t="str">
        <f>FO7</f>
        <v>5:5</v>
      </c>
      <c r="FQ7" s="153"/>
      <c r="FR7" s="154"/>
      <c r="FS7" s="161" t="s">
        <v>341</v>
      </c>
      <c r="FT7" s="153" t="str">
        <f>FS7</f>
        <v>5:5</v>
      </c>
      <c r="FU7" s="153"/>
      <c r="FW7" s="161" t="s">
        <v>341</v>
      </c>
      <c r="FX7" s="153" t="str">
        <f>FW7</f>
        <v>5:5</v>
      </c>
      <c r="FY7" s="153"/>
      <c r="GA7" s="161" t="s">
        <v>341</v>
      </c>
      <c r="GB7" s="153" t="str">
        <f>GA7</f>
        <v>5:5</v>
      </c>
      <c r="GC7" s="153"/>
      <c r="GE7" s="161" t="s">
        <v>341</v>
      </c>
      <c r="GF7" s="153" t="str">
        <f>GE7</f>
        <v>5:5</v>
      </c>
      <c r="GG7" s="153"/>
      <c r="GI7" s="161" t="s">
        <v>341</v>
      </c>
      <c r="GJ7" s="153" t="str">
        <f>GI7</f>
        <v>5:5</v>
      </c>
      <c r="GK7" s="153"/>
      <c r="GM7" s="161" t="s">
        <v>341</v>
      </c>
      <c r="GN7" s="153" t="str">
        <f>GM7</f>
        <v>5:5</v>
      </c>
      <c r="GO7" s="153"/>
      <c r="GQ7" s="161" t="s">
        <v>341</v>
      </c>
      <c r="GR7" s="153" t="str">
        <f>GQ7</f>
        <v>5:5</v>
      </c>
      <c r="GS7" s="153"/>
      <c r="GU7" s="161" t="s">
        <v>341</v>
      </c>
      <c r="GV7" s="153" t="str">
        <f>GU7</f>
        <v>5:5</v>
      </c>
      <c r="GW7" s="153"/>
      <c r="GY7" s="161" t="s">
        <v>341</v>
      </c>
      <c r="GZ7" s="153" t="str">
        <f>GY7</f>
        <v>5:5</v>
      </c>
      <c r="HA7" s="153"/>
      <c r="HC7" s="161" t="s">
        <v>341</v>
      </c>
      <c r="HD7" s="153" t="str">
        <f>HC7</f>
        <v>5:5</v>
      </c>
      <c r="HE7" s="153"/>
      <c r="HG7" s="161" t="s">
        <v>341</v>
      </c>
      <c r="HH7" s="153" t="str">
        <f>HG7</f>
        <v>5:5</v>
      </c>
      <c r="HI7" s="153"/>
      <c r="HK7" s="161" t="s">
        <v>341</v>
      </c>
      <c r="HL7" s="153" t="str">
        <f>HK7</f>
        <v>5:5</v>
      </c>
      <c r="HM7" s="153"/>
      <c r="HO7" s="161" t="s">
        <v>341</v>
      </c>
      <c r="HP7" s="153" t="str">
        <f>HO7</f>
        <v>5:5</v>
      </c>
      <c r="HQ7" s="153"/>
      <c r="HS7" s="161" t="s">
        <v>341</v>
      </c>
      <c r="HT7" s="153" t="str">
        <f>HS7</f>
        <v>5:5</v>
      </c>
      <c r="HU7" s="153"/>
      <c r="HX7" s="143"/>
    </row>
    <row r="8" spans="2:232">
      <c r="D8" s="135"/>
      <c r="G8" s="153">
        <f ca="1">MATCH( G$5, INDIRECT( G$6 &amp; G7 ), 0 )</f>
        <v>4</v>
      </c>
      <c r="H8" s="153">
        <f ca="1">MATCH( H$5, INDIRECT( H$6 &amp; H7 ), 0 )</f>
        <v>3</v>
      </c>
      <c r="L8" s="153">
        <f ca="1">MATCH( L$5, INDIRECT( L$6 &amp; L7 ), 0 )</f>
        <v>7</v>
      </c>
      <c r="M8" s="153">
        <f ca="1">MATCH( M$5, INDIRECT( M$6 &amp; M7 ), 0 )</f>
        <v>6</v>
      </c>
      <c r="Q8" s="153">
        <f ca="1">MATCH( Q$5, INDIRECT( Q$6 &amp; Q7 ), 0 )</f>
        <v>10</v>
      </c>
      <c r="R8" s="153">
        <f ca="1">MATCH( R$5, INDIRECT( R$6 &amp; R7 ), 0 )</f>
        <v>9</v>
      </c>
      <c r="V8" s="153">
        <f ca="1">MATCH( V$5, INDIRECT( V$6 &amp; V7 ), 0 )</f>
        <v>13</v>
      </c>
      <c r="W8" s="153">
        <f ca="1">MATCH( W$5, INDIRECT( W$6 &amp; W7 ), 0 )</f>
        <v>12</v>
      </c>
      <c r="AA8" s="153">
        <f ca="1">MATCH( AA$5, INDIRECT( AA$6 &amp; AA7 ), 0 )</f>
        <v>16</v>
      </c>
      <c r="AB8" s="153">
        <f ca="1">MATCH( AB$5, INDIRECT( AB$6 &amp; AB7 ), 0 )</f>
        <v>15</v>
      </c>
      <c r="AF8" s="153">
        <f ca="1">MATCH( AF$5, INDIRECT( AF$6 &amp; AF7 ), 0 )</f>
        <v>19</v>
      </c>
      <c r="AG8" s="153">
        <f ca="1">MATCH( AG$5, INDIRECT( AG$6 &amp; AG7 ), 0 )</f>
        <v>18</v>
      </c>
      <c r="AK8" s="153">
        <f ca="1">MATCH( AK$5, INDIRECT( AK$6 &amp; AK7 ), 0 )</f>
        <v>22</v>
      </c>
      <c r="AL8" s="153">
        <f ca="1">MATCH( AL$5, INDIRECT( AL$6 &amp; AL7 ), 0 )</f>
        <v>21</v>
      </c>
      <c r="AP8" s="153">
        <f ca="1">MATCH( AP$5, INDIRECT( AP$6 &amp; AP7 ), 0 )</f>
        <v>25</v>
      </c>
      <c r="AQ8" s="153">
        <f ca="1">MATCH( AQ$5, INDIRECT( AQ$6 &amp; AQ7 ), 0 )</f>
        <v>24</v>
      </c>
      <c r="AU8" s="153">
        <f ca="1">MATCH( AU$5, INDIRECT( AU$6 &amp; AU7 ), 0 )</f>
        <v>28</v>
      </c>
      <c r="AV8" s="153">
        <f ca="1">MATCH( AV$5, INDIRECT( AV$6 &amp; AV7 ), 0 )</f>
        <v>27</v>
      </c>
      <c r="AW8" s="135"/>
      <c r="AZ8" s="153">
        <f ca="1">MATCH( AZ$5, INDIRECT( AZ$6 &amp; AZ7 ), 0 )</f>
        <v>31</v>
      </c>
      <c r="BA8" s="153">
        <f ca="1">MATCH( BA$5, INDIRECT( BA$6 &amp; BA7 ), 0 )</f>
        <v>30</v>
      </c>
      <c r="BB8" s="135"/>
      <c r="BE8" s="153">
        <f ca="1">MATCH( BE$5, INDIRECT( BE$6 &amp; BE7 ), 0 )</f>
        <v>34</v>
      </c>
      <c r="BF8" s="153">
        <f ca="1">MATCH( BF$5, INDIRECT( BF$6 &amp; BF7 ), 0 )</f>
        <v>33</v>
      </c>
      <c r="BG8" s="135"/>
      <c r="BJ8" s="153">
        <f ca="1">MATCH( BJ$5, INDIRECT( BJ$6 &amp; BJ7 ), 0 )</f>
        <v>37</v>
      </c>
      <c r="BK8" s="153">
        <f ca="1">MATCH( BK$5, INDIRECT( BK$6 &amp; BK7 ), 0 )</f>
        <v>36</v>
      </c>
      <c r="BL8" s="135"/>
      <c r="BO8" s="153">
        <f ca="1">MATCH( BO$5, INDIRECT( BO$6 &amp; BO7 ), 0 )</f>
        <v>40</v>
      </c>
      <c r="BP8" s="153">
        <f ca="1">MATCH( BP$5, INDIRECT( BP$6 &amp; BP7 ), 0 )</f>
        <v>39</v>
      </c>
      <c r="BQ8" s="135"/>
      <c r="BR8" s="135"/>
      <c r="BS8" s="153">
        <f ca="1">MATCH( BS$5, INDIRECT( BS$6 &amp; BS7 ), 0 )</f>
        <v>43</v>
      </c>
      <c r="BT8" s="153">
        <f ca="1">MATCH( BT$5, INDIRECT( BT$6 &amp; BT7 ), 0 )</f>
        <v>42</v>
      </c>
      <c r="BU8" s="135"/>
      <c r="BV8" s="135"/>
      <c r="BW8" s="153">
        <f ca="1">MATCH( BW$5, INDIRECT( BW$6 &amp; BW7 ), 0 )</f>
        <v>46</v>
      </c>
      <c r="BX8" s="153">
        <f ca="1">MATCH( BX$5, INDIRECT( BX$6 &amp; BX7 ), 0 )</f>
        <v>45</v>
      </c>
      <c r="BY8" s="135"/>
      <c r="BZ8" s="135"/>
      <c r="CA8" s="153">
        <f ca="1">MATCH( CA$5, INDIRECT( CA$6 &amp; CA7 ), 0 )</f>
        <v>49</v>
      </c>
      <c r="CB8" s="153">
        <f ca="1">MATCH( CB$5, INDIRECT( CB$6 &amp; CB7 ), 0 )</f>
        <v>48</v>
      </c>
      <c r="CC8" s="135"/>
      <c r="CD8" s="135"/>
      <c r="CE8" s="153">
        <f ca="1">MATCH( CE$5, INDIRECT( CE$6 &amp; CE7 ), 0 )</f>
        <v>52</v>
      </c>
      <c r="CF8" s="153">
        <f ca="1">MATCH( CF$5, INDIRECT( CF$6 &amp; CF7 ), 0 )</f>
        <v>51</v>
      </c>
      <c r="CG8" s="135"/>
      <c r="CH8" s="135"/>
      <c r="CI8" s="153">
        <f ca="1">MATCH( CI$5, INDIRECT( CI$6 &amp; CI7 ), 0 )</f>
        <v>55</v>
      </c>
      <c r="CJ8" s="153">
        <f ca="1">MATCH( CJ$5, INDIRECT( CJ$6 &amp; CJ7 ), 0 )</f>
        <v>54</v>
      </c>
      <c r="CK8" s="135"/>
      <c r="CL8" s="135"/>
      <c r="CM8" s="153">
        <f ca="1">MATCH( CM$5, INDIRECT( CM$6 &amp; CM7 ), 0 )</f>
        <v>58</v>
      </c>
      <c r="CN8" s="153">
        <f ca="1">MATCH( CN$5, INDIRECT( CN$6 &amp; CN7 ), 0 )</f>
        <v>57</v>
      </c>
      <c r="CO8" s="135"/>
      <c r="CP8" s="135"/>
      <c r="CQ8" s="153">
        <f ca="1">MATCH( CQ$5, INDIRECT( CQ$6 &amp; CQ7 ), 0 )</f>
        <v>61</v>
      </c>
      <c r="CR8" s="153">
        <f ca="1">MATCH( CR$5, INDIRECT( CR$6 &amp; CR7 ), 0 )</f>
        <v>60</v>
      </c>
      <c r="CS8" s="153"/>
      <c r="CT8" s="135"/>
      <c r="CU8" s="153">
        <f ca="1">MATCH( CU$5, INDIRECT( CU$6 &amp; CU7 ), 0 )</f>
        <v>64</v>
      </c>
      <c r="CV8" s="153">
        <f ca="1">MATCH( CV$5, INDIRECT( CV$6 &amp; CV7 ), 0 )</f>
        <v>63</v>
      </c>
      <c r="CW8" s="153"/>
      <c r="CX8" s="135"/>
      <c r="CY8" s="153">
        <f ca="1">MATCH( CY$5, INDIRECT( CY$6 &amp; CY7 ), 0 )</f>
        <v>67</v>
      </c>
      <c r="CZ8" s="153">
        <f ca="1">MATCH( CZ$5, INDIRECT( CZ$6 &amp; CZ7 ), 0 )</f>
        <v>66</v>
      </c>
      <c r="DA8" s="153"/>
      <c r="DB8" s="135"/>
      <c r="DC8" s="153">
        <f ca="1">MATCH( DC$5, INDIRECT( DC$6 &amp; DC7 ), 0 )</f>
        <v>70</v>
      </c>
      <c r="DD8" s="153">
        <f ca="1">MATCH( DD$5, INDIRECT( DD$6 &amp; DD7 ), 0 )</f>
        <v>69</v>
      </c>
      <c r="DE8" s="153"/>
      <c r="DF8" s="135"/>
      <c r="DG8" s="153">
        <f ca="1">MATCH( DG$5, INDIRECT( DG$6 &amp; DG7 ), 0 )</f>
        <v>73</v>
      </c>
      <c r="DH8" s="153">
        <f ca="1">MATCH( DH$5, INDIRECT( DH$6 &amp; DH7 ), 0 )</f>
        <v>72</v>
      </c>
      <c r="DI8" s="153"/>
      <c r="DJ8" s="135"/>
      <c r="DK8" s="153">
        <f ca="1">MATCH( DK$5, INDIRECT( DK$6 &amp; DK7 ), 0 )</f>
        <v>76</v>
      </c>
      <c r="DL8" s="153">
        <f ca="1">MATCH( DL$5, INDIRECT( DL$6 &amp; DL7 ), 0 )</f>
        <v>75</v>
      </c>
      <c r="DM8" s="153"/>
      <c r="DN8" s="135"/>
      <c r="DO8" s="153">
        <f ca="1">MATCH( DO$5, INDIRECT( DO$6 &amp; DO7 ), 0 )</f>
        <v>79</v>
      </c>
      <c r="DP8" s="153">
        <f ca="1">MATCH( DP$5, INDIRECT( DP$6 &amp; DP7 ), 0 )</f>
        <v>78</v>
      </c>
      <c r="DQ8" s="153"/>
      <c r="DR8" s="135"/>
      <c r="DS8" s="153">
        <f ca="1">MATCH( DS$5, INDIRECT( DS$6 &amp; DS7 ), 0 )</f>
        <v>82</v>
      </c>
      <c r="DT8" s="153">
        <f ca="1">MATCH( DT$5, INDIRECT( DT$6 &amp; DT7 ), 0 )</f>
        <v>81</v>
      </c>
      <c r="DU8" s="153"/>
      <c r="DV8" s="135"/>
      <c r="DW8" s="153">
        <f ca="1">MATCH( DW$5, INDIRECT( DW$6 &amp; DW7 ), 0 )</f>
        <v>85</v>
      </c>
      <c r="DX8" s="153">
        <f ca="1">MATCH( DX$5, INDIRECT( DX$6 &amp; DX7 ), 0 )</f>
        <v>84</v>
      </c>
      <c r="DY8" s="153"/>
      <c r="DZ8" s="135"/>
      <c r="EA8" s="153">
        <f ca="1">MATCH( EA$5, INDIRECT( EA$6 &amp; EA7 ), 0 )</f>
        <v>88</v>
      </c>
      <c r="EB8" s="153">
        <f ca="1">MATCH( EB$5, INDIRECT( EB$6 &amp; EB7 ), 0 )</f>
        <v>87</v>
      </c>
      <c r="EC8" s="153"/>
      <c r="ED8" s="135"/>
      <c r="EE8" s="153">
        <f ca="1">MATCH( EE$5, INDIRECT( EE$6 &amp; EE7 ), 0 )</f>
        <v>91</v>
      </c>
      <c r="EF8" s="153">
        <f ca="1">MATCH( EF$5, INDIRECT( EF$6 &amp; EF7 ), 0 )</f>
        <v>90</v>
      </c>
      <c r="EG8" s="153"/>
      <c r="EH8" s="135"/>
      <c r="EI8" s="153">
        <f ca="1">MATCH( EI$5, INDIRECT( EI$6 &amp; EI7 ), 0 )</f>
        <v>94</v>
      </c>
      <c r="EJ8" s="153">
        <f ca="1">MATCH( EJ$5, INDIRECT( EJ$6 &amp; EJ7 ), 0 )</f>
        <v>93</v>
      </c>
      <c r="EK8" s="153"/>
      <c r="EL8" s="135"/>
      <c r="EM8" s="153">
        <f ca="1">MATCH( EM$5, INDIRECT( EM$6 &amp; EM7 ), 0 )</f>
        <v>97</v>
      </c>
      <c r="EN8" s="153">
        <f ca="1">MATCH( EN$5, INDIRECT( EN$6 &amp; EN7 ), 0 )</f>
        <v>96</v>
      </c>
      <c r="EO8" s="153"/>
      <c r="EP8" s="135"/>
      <c r="EQ8" s="153">
        <f ca="1">MATCH( EQ$5, INDIRECT( EQ$6 &amp; EQ7 ), 0 )</f>
        <v>100</v>
      </c>
      <c r="ER8" s="153">
        <f ca="1">MATCH( ER$5, INDIRECT( ER$6 &amp; ER7 ), 0 )</f>
        <v>99</v>
      </c>
      <c r="ES8" s="153"/>
      <c r="ET8" s="135"/>
      <c r="EU8" s="153">
        <f ca="1">MATCH( EU$5, INDIRECT( EU$6 &amp; EU7 ), 0 )</f>
        <v>103</v>
      </c>
      <c r="EV8" s="153">
        <f ca="1">MATCH( EV$5, INDIRECT( EV$6 &amp; EV7 ), 0 )</f>
        <v>102</v>
      </c>
      <c r="EW8" s="153"/>
      <c r="EX8" s="135"/>
      <c r="EY8" s="153">
        <f ca="1">MATCH( EY$5, INDIRECT( EY$6 &amp; EY7 ), 0 )</f>
        <v>106</v>
      </c>
      <c r="EZ8" s="153">
        <f ca="1">MATCH( EZ$5, INDIRECT( EZ$6 &amp; EZ7 ), 0 )</f>
        <v>105</v>
      </c>
      <c r="FA8" s="153"/>
      <c r="FB8" s="135"/>
      <c r="FC8" s="153">
        <f ca="1">MATCH( FC$5, INDIRECT( FC$6 &amp; FC7 ), 0 )</f>
        <v>109</v>
      </c>
      <c r="FD8" s="153">
        <f ca="1">MATCH( FD$5, INDIRECT( FD$6 &amp; FD7 ), 0 )</f>
        <v>108</v>
      </c>
      <c r="FE8" s="153"/>
      <c r="FF8" s="135"/>
      <c r="FG8" s="153">
        <f ca="1">MATCH( FG$5, INDIRECT( FG$6 &amp; FG7 ), 0 )</f>
        <v>112</v>
      </c>
      <c r="FH8" s="153">
        <f ca="1">MATCH( FH$5, INDIRECT( FH$6 &amp; FH7 ), 0 )</f>
        <v>111</v>
      </c>
      <c r="FI8" s="153"/>
      <c r="FJ8" s="135"/>
      <c r="FK8" s="153">
        <f ca="1">MATCH( FK$5, INDIRECT( FK$6 &amp; FK7 ), 0 )</f>
        <v>115</v>
      </c>
      <c r="FL8" s="153">
        <f ca="1">MATCH( FL$5, INDIRECT( FL$6 &amp; FL7 ), 0 )</f>
        <v>114</v>
      </c>
      <c r="FM8" s="153"/>
      <c r="FN8" s="135"/>
      <c r="FO8" s="153">
        <f ca="1">MATCH( FO$5, INDIRECT( FO$6 &amp; FO7 ), 0 )</f>
        <v>118</v>
      </c>
      <c r="FP8" s="153">
        <f ca="1">MATCH( FP$5, INDIRECT( FP$6 &amp; FP7 ), 0 )</f>
        <v>117</v>
      </c>
      <c r="FQ8" s="153"/>
      <c r="FR8" s="135"/>
      <c r="FS8" s="153">
        <f ca="1">MATCH( FS$5, INDIRECT( FS$6 &amp; FS7 ), 0 )</f>
        <v>121</v>
      </c>
      <c r="FT8" s="153">
        <f ca="1">MATCH( FT$5, INDIRECT( FT$6 &amp; FT7 ), 0 )</f>
        <v>120</v>
      </c>
      <c r="FU8" s="153"/>
      <c r="FW8" s="153">
        <f ca="1">MATCH( FW$5, INDIRECT( FW$6 &amp; FW7 ), 0 )</f>
        <v>124</v>
      </c>
      <c r="FX8" s="153">
        <f ca="1">MATCH( FX$5, INDIRECT( FX$6 &amp; FX7 ), 0 )</f>
        <v>123</v>
      </c>
      <c r="FY8" s="153"/>
      <c r="GA8" s="153">
        <f ca="1">MATCH( GA$5, INDIRECT( GA$6 &amp; GA7 ), 0 )</f>
        <v>127</v>
      </c>
      <c r="GB8" s="153">
        <f ca="1">MATCH( GB$5, INDIRECT( GB$6 &amp; GB7 ), 0 )</f>
        <v>126</v>
      </c>
      <c r="GC8" s="153"/>
      <c r="GE8" s="153">
        <f ca="1">MATCH( GE$5, INDIRECT( GE$6 &amp; GE7 ), 0 )</f>
        <v>130</v>
      </c>
      <c r="GF8" s="153">
        <f ca="1">MATCH( GF$5, INDIRECT( GF$6 &amp; GF7 ), 0 )</f>
        <v>129</v>
      </c>
      <c r="GG8" s="153"/>
      <c r="GI8" s="153">
        <f ca="1">MATCH( GI$5, INDIRECT( GI$6 &amp; GI7 ), 0 )</f>
        <v>133</v>
      </c>
      <c r="GJ8" s="153">
        <f ca="1">MATCH( GJ$5, INDIRECT( GJ$6 &amp; GJ7 ), 0 )</f>
        <v>132</v>
      </c>
      <c r="GK8" s="153"/>
      <c r="GM8" s="153">
        <f ca="1">MATCH( GM$5, INDIRECT( GM$6 &amp; GM7 ), 0 )</f>
        <v>136</v>
      </c>
      <c r="GN8" s="153">
        <f ca="1">MATCH( GN$5, INDIRECT( GN$6 &amp; GN7 ), 0 )</f>
        <v>135</v>
      </c>
      <c r="GO8" s="153"/>
      <c r="GQ8" s="153">
        <f ca="1">MATCH( GQ$5, INDIRECT( GQ$6 &amp; GQ7 ), 0 )</f>
        <v>139</v>
      </c>
      <c r="GR8" s="153">
        <f ca="1">MATCH( GR$5, INDIRECT( GR$6 &amp; GR7 ), 0 )</f>
        <v>138</v>
      </c>
      <c r="GS8" s="153"/>
      <c r="GU8" s="153">
        <f ca="1">MATCH( GU$5, INDIRECT( GU$6 &amp; GU7 ), 0 )</f>
        <v>142</v>
      </c>
      <c r="GV8" s="153">
        <f ca="1">MATCH( GV$5, INDIRECT( GV$6 &amp; GV7 ), 0 )</f>
        <v>141</v>
      </c>
      <c r="GW8" s="153"/>
      <c r="GY8" s="153">
        <f ca="1">MATCH( GY$5, INDIRECT( GY$6 &amp; GY7 ), 0 )</f>
        <v>145</v>
      </c>
      <c r="GZ8" s="153">
        <f ca="1">MATCH( GZ$5, INDIRECT( GZ$6 &amp; GZ7 ), 0 )</f>
        <v>144</v>
      </c>
      <c r="HA8" s="153"/>
      <c r="HC8" s="153">
        <f ca="1">MATCH( HC$5, INDIRECT( HC$6 &amp; HC7 ), 0 )</f>
        <v>148</v>
      </c>
      <c r="HD8" s="153">
        <f ca="1">MATCH( HD$5, INDIRECT( HD$6 &amp; HD7 ), 0 )</f>
        <v>147</v>
      </c>
      <c r="HE8" s="153"/>
      <c r="HG8" s="153">
        <f ca="1">MATCH( HG$5, INDIRECT( HG$6 &amp; HG7 ), 0 )</f>
        <v>151</v>
      </c>
      <c r="HH8" s="153">
        <f ca="1">MATCH( HH$5, INDIRECT( HH$6 &amp; HH7 ), 0 )</f>
        <v>150</v>
      </c>
      <c r="HI8" s="153"/>
      <c r="HK8" s="153">
        <f ca="1">MATCH( HK$5, INDIRECT( HK$6 &amp; HK7 ), 0 )</f>
        <v>154</v>
      </c>
      <c r="HL8" s="153">
        <f ca="1">MATCH( HL$5, INDIRECT( HL$6 &amp; HL7 ), 0 )</f>
        <v>153</v>
      </c>
      <c r="HM8" s="153"/>
      <c r="HO8" s="153">
        <f ca="1">MATCH( HO$5, INDIRECT( HO$6 &amp; HO7 ), 0 )</f>
        <v>157</v>
      </c>
      <c r="HP8" s="153">
        <f ca="1">MATCH( HP$5, INDIRECT( HP$6 &amp; HP7 ), 0 )</f>
        <v>156</v>
      </c>
      <c r="HQ8" s="153"/>
      <c r="HS8" s="153">
        <f ca="1">MATCH( HS$5, INDIRECT( HS$6 &amp; HS7 ), 0 )</f>
        <v>160</v>
      </c>
      <c r="HT8" s="153">
        <f ca="1">MATCH( HT$5, INDIRECT( HT$6 &amp; HT7 ), 0 )</f>
        <v>159</v>
      </c>
      <c r="HU8" s="153"/>
    </row>
    <row r="9" spans="2:232">
      <c r="G9" s="158" t="s">
        <v>596</v>
      </c>
      <c r="H9" s="153" t="str">
        <f>G9</f>
        <v>A1</v>
      </c>
      <c r="I9" s="156"/>
      <c r="L9" s="158" t="s">
        <v>596</v>
      </c>
      <c r="M9" s="153" t="str">
        <f>L9</f>
        <v>A1</v>
      </c>
      <c r="N9" s="156"/>
      <c r="Q9" s="158" t="s">
        <v>596</v>
      </c>
      <c r="R9" s="153" t="str">
        <f>Q9</f>
        <v>A1</v>
      </c>
      <c r="S9" s="156"/>
      <c r="V9" s="158" t="s">
        <v>596</v>
      </c>
      <c r="W9" s="153" t="str">
        <f>V9</f>
        <v>A1</v>
      </c>
      <c r="X9" s="156"/>
      <c r="AA9" s="158" t="s">
        <v>596</v>
      </c>
      <c r="AB9" s="153" t="str">
        <f>AA9</f>
        <v>A1</v>
      </c>
      <c r="AC9" s="156"/>
      <c r="AF9" s="158" t="s">
        <v>596</v>
      </c>
      <c r="AG9" s="153" t="str">
        <f>AF9</f>
        <v>A1</v>
      </c>
      <c r="AH9" s="156"/>
      <c r="AK9" s="158" t="s">
        <v>596</v>
      </c>
      <c r="AL9" s="153" t="str">
        <f>AK9</f>
        <v>A1</v>
      </c>
      <c r="AM9" s="156"/>
      <c r="AP9" s="158" t="s">
        <v>596</v>
      </c>
      <c r="AQ9" s="153" t="str">
        <f>AP9</f>
        <v>A1</v>
      </c>
      <c r="AR9" s="156"/>
      <c r="AU9" s="158" t="s">
        <v>596</v>
      </c>
      <c r="AV9" s="153" t="str">
        <f>AU9</f>
        <v>A1</v>
      </c>
      <c r="AZ9" s="158" t="s">
        <v>596</v>
      </c>
      <c r="BA9" s="153" t="str">
        <f>AZ9</f>
        <v>A1</v>
      </c>
      <c r="BE9" s="158" t="s">
        <v>596</v>
      </c>
      <c r="BF9" s="153" t="str">
        <f>BE9</f>
        <v>A1</v>
      </c>
      <c r="BJ9" s="158" t="s">
        <v>596</v>
      </c>
      <c r="BK9" s="153" t="str">
        <f>BJ9</f>
        <v>A1</v>
      </c>
      <c r="BO9" s="158" t="s">
        <v>596</v>
      </c>
      <c r="BP9" s="153" t="str">
        <f>BO9</f>
        <v>A1</v>
      </c>
      <c r="BS9" s="158" t="s">
        <v>596</v>
      </c>
      <c r="BT9" s="153" t="str">
        <f>BS9</f>
        <v>A1</v>
      </c>
      <c r="BW9" s="158" t="s">
        <v>596</v>
      </c>
      <c r="BX9" s="153" t="str">
        <f>BW9</f>
        <v>A1</v>
      </c>
      <c r="CA9" s="158" t="s">
        <v>596</v>
      </c>
      <c r="CB9" s="153" t="str">
        <f>CA9</f>
        <v>A1</v>
      </c>
      <c r="CE9" s="158" t="s">
        <v>596</v>
      </c>
      <c r="CF9" s="153" t="str">
        <f>CE9</f>
        <v>A1</v>
      </c>
      <c r="CI9" s="158" t="s">
        <v>596</v>
      </c>
      <c r="CJ9" s="153" t="str">
        <f>CI9</f>
        <v>A1</v>
      </c>
      <c r="CM9" s="158" t="s">
        <v>596</v>
      </c>
      <c r="CN9" s="153" t="str">
        <f>CM9</f>
        <v>A1</v>
      </c>
      <c r="CQ9" s="158" t="s">
        <v>596</v>
      </c>
      <c r="CR9" s="153" t="str">
        <f>CQ9</f>
        <v>A1</v>
      </c>
      <c r="CS9" s="153"/>
      <c r="CU9" s="158" t="s">
        <v>596</v>
      </c>
      <c r="CV9" s="153" t="str">
        <f>CU9</f>
        <v>A1</v>
      </c>
      <c r="CW9" s="153"/>
      <c r="CY9" s="158" t="s">
        <v>596</v>
      </c>
      <c r="CZ9" s="153" t="str">
        <f>CY9</f>
        <v>A1</v>
      </c>
      <c r="DA9" s="153"/>
      <c r="DC9" s="158" t="s">
        <v>596</v>
      </c>
      <c r="DD9" s="153" t="str">
        <f>DC9</f>
        <v>A1</v>
      </c>
      <c r="DE9" s="153"/>
      <c r="DG9" s="158" t="s">
        <v>596</v>
      </c>
      <c r="DH9" s="153" t="str">
        <f>DG9</f>
        <v>A1</v>
      </c>
      <c r="DI9" s="153"/>
      <c r="DK9" s="158" t="s">
        <v>282</v>
      </c>
      <c r="DL9" s="153" t="str">
        <f>DK9</f>
        <v>a1</v>
      </c>
      <c r="DM9" s="153"/>
      <c r="DO9" s="158" t="s">
        <v>282</v>
      </c>
      <c r="DP9" s="153" t="str">
        <f>DO9</f>
        <v>a1</v>
      </c>
      <c r="DQ9" s="153"/>
      <c r="DS9" s="158" t="s">
        <v>282</v>
      </c>
      <c r="DT9" s="153" t="str">
        <f>DS9</f>
        <v>a1</v>
      </c>
      <c r="DU9" s="153"/>
      <c r="DW9" s="158" t="s">
        <v>282</v>
      </c>
      <c r="DX9" s="153" t="str">
        <f>DW9</f>
        <v>a1</v>
      </c>
      <c r="DY9" s="153"/>
      <c r="EA9" s="158" t="s">
        <v>282</v>
      </c>
      <c r="EB9" s="153" t="str">
        <f>EA9</f>
        <v>a1</v>
      </c>
      <c r="EC9" s="153"/>
      <c r="EE9" s="158" t="s">
        <v>282</v>
      </c>
      <c r="EF9" s="153" t="str">
        <f>EE9</f>
        <v>a1</v>
      </c>
      <c r="EG9" s="153"/>
      <c r="EI9" s="158" t="s">
        <v>282</v>
      </c>
      <c r="EJ9" s="153" t="str">
        <f>EI9</f>
        <v>a1</v>
      </c>
      <c r="EK9" s="153"/>
      <c r="EM9" s="158" t="s">
        <v>282</v>
      </c>
      <c r="EN9" s="153" t="str">
        <f>EM9</f>
        <v>a1</v>
      </c>
      <c r="EO9" s="153"/>
      <c r="EQ9" s="158" t="s">
        <v>282</v>
      </c>
      <c r="ER9" s="153" t="str">
        <f>EQ9</f>
        <v>a1</v>
      </c>
      <c r="ES9" s="153"/>
      <c r="EU9" s="158" t="s">
        <v>282</v>
      </c>
      <c r="EV9" s="153" t="str">
        <f>EU9</f>
        <v>a1</v>
      </c>
      <c r="EW9" s="153"/>
      <c r="EY9" s="158" t="s">
        <v>282</v>
      </c>
      <c r="EZ9" s="153" t="str">
        <f>EY9</f>
        <v>a1</v>
      </c>
      <c r="FA9" s="153"/>
      <c r="FC9" s="158" t="s">
        <v>282</v>
      </c>
      <c r="FD9" s="153" t="str">
        <f>FC9</f>
        <v>a1</v>
      </c>
      <c r="FE9" s="153"/>
      <c r="FG9" s="158" t="s">
        <v>282</v>
      </c>
      <c r="FH9" s="153" t="str">
        <f>FG9</f>
        <v>a1</v>
      </c>
      <c r="FI9" s="153"/>
      <c r="FK9" s="158" t="s">
        <v>282</v>
      </c>
      <c r="FL9" s="153" t="str">
        <f>FK9</f>
        <v>a1</v>
      </c>
      <c r="FM9" s="153"/>
      <c r="FO9" s="158" t="s">
        <v>282</v>
      </c>
      <c r="FP9" s="153" t="str">
        <f>FO9</f>
        <v>a1</v>
      </c>
      <c r="FQ9" s="153"/>
      <c r="FS9" s="158" t="s">
        <v>282</v>
      </c>
      <c r="FT9" s="153" t="str">
        <f>FS9</f>
        <v>a1</v>
      </c>
      <c r="FU9" s="153"/>
      <c r="FW9" s="158" t="s">
        <v>282</v>
      </c>
      <c r="FX9" s="153" t="str">
        <f>FW9</f>
        <v>a1</v>
      </c>
      <c r="FY9" s="153"/>
      <c r="GA9" s="158" t="s">
        <v>282</v>
      </c>
      <c r="GB9" s="153" t="str">
        <f>GA9</f>
        <v>a1</v>
      </c>
      <c r="GC9" s="153"/>
      <c r="GE9" s="158" t="s">
        <v>282</v>
      </c>
      <c r="GF9" s="153" t="str">
        <f>GE9</f>
        <v>a1</v>
      </c>
      <c r="GG9" s="153"/>
      <c r="GI9" s="158" t="s">
        <v>282</v>
      </c>
      <c r="GJ9" s="153" t="str">
        <f>GI9</f>
        <v>a1</v>
      </c>
      <c r="GK9" s="153"/>
      <c r="GM9" s="158" t="s">
        <v>282</v>
      </c>
      <c r="GN9" s="153" t="str">
        <f>GM9</f>
        <v>a1</v>
      </c>
      <c r="GO9" s="153"/>
      <c r="GQ9" s="158" t="s">
        <v>282</v>
      </c>
      <c r="GR9" s="153" t="str">
        <f>GQ9</f>
        <v>a1</v>
      </c>
      <c r="GS9" s="153"/>
      <c r="GU9" s="158" t="s">
        <v>282</v>
      </c>
      <c r="GV9" s="153" t="str">
        <f>GU9</f>
        <v>a1</v>
      </c>
      <c r="GW9" s="153"/>
      <c r="GY9" s="158" t="s">
        <v>282</v>
      </c>
      <c r="GZ9" s="153" t="str">
        <f>GY9</f>
        <v>a1</v>
      </c>
      <c r="HA9" s="153"/>
      <c r="HC9" s="158" t="s">
        <v>282</v>
      </c>
      <c r="HD9" s="153" t="str">
        <f>HC9</f>
        <v>a1</v>
      </c>
      <c r="HE9" s="153"/>
      <c r="HG9" s="158" t="s">
        <v>282</v>
      </c>
      <c r="HH9" s="153" t="str">
        <f>HG9</f>
        <v>a1</v>
      </c>
      <c r="HI9" s="153"/>
      <c r="HK9" s="158" t="s">
        <v>282</v>
      </c>
      <c r="HL9" s="153" t="str">
        <f>HK9</f>
        <v>a1</v>
      </c>
      <c r="HM9" s="153"/>
      <c r="HO9" s="158" t="s">
        <v>282</v>
      </c>
      <c r="HP9" s="153" t="str">
        <f>HO9</f>
        <v>a1</v>
      </c>
      <c r="HQ9" s="153"/>
      <c r="HS9" s="158" t="s">
        <v>282</v>
      </c>
      <c r="HT9" s="153" t="str">
        <f>HS9</f>
        <v>a1</v>
      </c>
      <c r="HU9" s="153"/>
      <c r="HX9" s="159" t="s">
        <v>342</v>
      </c>
    </row>
    <row r="10" spans="2:232" s="137" customFormat="1">
      <c r="B10" s="139">
        <v>1</v>
      </c>
      <c r="C10" s="146" t="str">
        <f t="shared" ref="C10:E26" ca="1" si="0">OFFSET( INDIRECT( C$6 &amp; C$7 ), $B10 - 1, 0 )</f>
        <v>ALLETE, Inc.</v>
      </c>
      <c r="D10" s="138" t="str">
        <f t="shared" ca="1" si="0"/>
        <v>ALE</v>
      </c>
      <c r="E10" s="138">
        <f t="shared" ca="1" si="0"/>
        <v>4022309</v>
      </c>
      <c r="F10" s="147"/>
      <c r="G10" s="363">
        <f t="shared" ref="G10:H29" ca="1" si="1">OFFSET( INDIRECT( G$6 &amp; G$9 ), $HX10 - 1, G$8 - 1 )</f>
        <v>64.8</v>
      </c>
      <c r="H10" s="363">
        <f t="shared" ca="1" si="1"/>
        <v>57.8</v>
      </c>
      <c r="I10" s="364">
        <f ca="1">G10 * H10</f>
        <v>3745.4399999999996</v>
      </c>
      <c r="J10" s="147"/>
      <c r="K10" s="147"/>
      <c r="L10" s="363">
        <f t="shared" ref="L10:M29" ca="1" si="2">OFFSET( INDIRECT( L$6 &amp; L$9 ), $HX10 - 1, L$8 - 1 )</f>
        <v>64.19</v>
      </c>
      <c r="M10" s="363">
        <f t="shared" ca="1" si="2"/>
        <v>57.7</v>
      </c>
      <c r="N10" s="364">
        <f ca="1">L10 * M10</f>
        <v>3703.7629999999999</v>
      </c>
      <c r="O10" s="147"/>
      <c r="P10" s="147"/>
      <c r="Q10" s="363">
        <f t="shared" ref="Q10:R29" ca="1" si="3">OFFSET( INDIRECT( Q$6 &amp; Q$9 ), $HX10 - 1, Q$8 - 1 )</f>
        <v>62.35</v>
      </c>
      <c r="R10" s="363">
        <f t="shared" ca="1" si="3"/>
        <v>57.6</v>
      </c>
      <c r="S10" s="364">
        <f ca="1">Q10 * R10</f>
        <v>3591.36</v>
      </c>
      <c r="T10" s="147"/>
      <c r="U10" s="147"/>
      <c r="V10" s="363">
        <f t="shared" ref="V10:W29" ca="1" si="4">OFFSET( INDIRECT( V$6 &amp; V$9 ), $HX10 - 1, V$8 - 1 )</f>
        <v>59.64</v>
      </c>
      <c r="W10" s="363">
        <f t="shared" ca="1" si="4"/>
        <v>57.5</v>
      </c>
      <c r="X10" s="364">
        <f ca="1">V10 * W10</f>
        <v>3429.3</v>
      </c>
      <c r="Y10" s="147"/>
      <c r="Z10" s="147"/>
      <c r="AA10" s="363">
        <f t="shared" ref="AA10:AB29" ca="1" si="5">OFFSET( INDIRECT( AA$6 &amp; AA$9 ), $HX10 - 1, AA$8 - 1 )</f>
        <v>61.16</v>
      </c>
      <c r="AB10" s="363">
        <f t="shared" ca="1" si="5"/>
        <v>57.4</v>
      </c>
      <c r="AC10" s="364">
        <f ca="1">AA10 * AB10</f>
        <v>3510.5839999999998</v>
      </c>
      <c r="AD10" s="147"/>
      <c r="AE10" s="147"/>
      <c r="AF10" s="363">
        <f t="shared" ref="AF10:AG29" ca="1" si="6">OFFSET( INDIRECT( AF$6 &amp; AF$9 ), $HX10 - 1, AF$8 - 1 )</f>
        <v>52.8</v>
      </c>
      <c r="AG10" s="363">
        <f t="shared" ca="1" si="6"/>
        <v>57.3</v>
      </c>
      <c r="AH10" s="364">
        <f ca="1">AF10 * AG10</f>
        <v>3025.4399999999996</v>
      </c>
      <c r="AI10" s="147"/>
      <c r="AJ10" s="147"/>
      <c r="AK10" s="363">
        <f t="shared" ref="AK10:AL29" ca="1" si="7">OFFSET( INDIRECT( AK$6 &amp; AK$9 ), $HX10 - 1, AK$8 - 1 )</f>
        <v>57.97</v>
      </c>
      <c r="AL10" s="363">
        <f t="shared" ca="1" si="7"/>
        <v>57.3</v>
      </c>
      <c r="AM10" s="364">
        <f ca="1">AK10 * AL10</f>
        <v>3321.6809999999996</v>
      </c>
      <c r="AN10" s="147"/>
      <c r="AO10" s="147"/>
      <c r="AP10" s="363">
        <f t="shared" ref="AP10:AQ29" ca="1" si="8">OFFSET( INDIRECT( AP$6 &amp; AP$9 ), $HX10 - 1, AP$8 - 1 )</f>
        <v>64.37</v>
      </c>
      <c r="AQ10" s="363">
        <f t="shared" ca="1" si="8"/>
        <v>55.9</v>
      </c>
      <c r="AR10" s="364">
        <f ca="1">AP10 * AQ10</f>
        <v>3598.2830000000004</v>
      </c>
      <c r="AS10" s="147"/>
      <c r="AT10" s="147"/>
      <c r="AU10" s="363">
        <f t="shared" ref="AU10:AV29" ca="1" si="9">OFFSET( INDIRECT( AU$6 &amp; AU$9 ), $HX10 - 1, AU$8 - 1 )</f>
        <v>64.510000000000005</v>
      </c>
      <c r="AV10" s="363">
        <f t="shared" ca="1" si="9"/>
        <v>57.1</v>
      </c>
      <c r="AW10" s="364">
        <f ca="1">AU10 * AV10</f>
        <v>3683.5210000000002</v>
      </c>
      <c r="AX10" s="147"/>
      <c r="AY10" s="147"/>
      <c r="AZ10" s="363">
        <f t="shared" ref="AZ10:BA29" ca="1" si="10">OFFSET( INDIRECT( AZ$6 &amp; AZ$9 ), $HX10 - 1, AZ$8 - 1 )</f>
        <v>50.05</v>
      </c>
      <c r="BA10" s="363">
        <f t="shared" ca="1" si="10"/>
        <v>56.1</v>
      </c>
      <c r="BB10" s="364">
        <f ca="1">AZ10 * BA10</f>
        <v>2807.8049999999998</v>
      </c>
      <c r="BC10" s="147"/>
      <c r="BD10" s="147"/>
      <c r="BE10" s="363">
        <f t="shared" ref="BE10:BF29" ca="1" si="11">OFFSET( INDIRECT( BE$6 &amp; BE$9 ), $HX10 - 1, BE$8 - 1 )</f>
        <v>58.78</v>
      </c>
      <c r="BF10" s="363">
        <f t="shared" ca="1" si="11"/>
        <v>53.3</v>
      </c>
      <c r="BG10" s="364">
        <f ca="1">BE10 * BF10</f>
        <v>3132.9739999999997</v>
      </c>
      <c r="BH10" s="147"/>
      <c r="BI10" s="147"/>
      <c r="BJ10" s="363">
        <f t="shared" ref="BJ10:BK29" ca="1" si="12">OFFSET( INDIRECT( BJ$6 &amp; BJ$9 ), $HX10 - 1, BJ$8 - 1 )</f>
        <v>66.98</v>
      </c>
      <c r="BK10" s="363">
        <f t="shared" ca="1" si="12"/>
        <v>52.4</v>
      </c>
      <c r="BL10" s="364">
        <f ca="1">BJ10 * BK10</f>
        <v>3509.752</v>
      </c>
      <c r="BM10" s="147"/>
      <c r="BN10" s="147"/>
      <c r="BO10" s="363">
        <f t="shared" ref="BO10:BP29" ca="1" si="13">OFFSET( INDIRECT( BO$6 &amp; BO$9 ), $HX10 - 1, BO$8 - 1 )</f>
        <v>66.349999999999994</v>
      </c>
      <c r="BP10" s="363">
        <f t="shared" ca="1" si="13"/>
        <v>52.4</v>
      </c>
      <c r="BQ10" s="364">
        <f ca="1">BO10 * BP10</f>
        <v>3476.74</v>
      </c>
      <c r="BR10" s="162"/>
      <c r="BS10" s="363">
        <f t="shared" ref="BS10:BT29" ca="1" si="14">OFFSET( INDIRECT( BS$6 &amp; BS$9 ), $HX10 - 1, BS$8 - 1 )</f>
        <v>59.52</v>
      </c>
      <c r="BT10" s="363">
        <f t="shared" ca="1" si="14"/>
        <v>52.2</v>
      </c>
      <c r="BU10" s="364">
        <f ca="1">BS10 * BT10</f>
        <v>3106.9440000000004</v>
      </c>
      <c r="BV10" s="162"/>
      <c r="BW10" s="363">
        <f t="shared" ref="BW10:BX29" ca="1" si="15">OFFSET( INDIRECT( BW$6 &amp; BW$9 ), $HX10 - 1, BW$8 - 1 )</f>
        <v>69.98</v>
      </c>
      <c r="BX10" s="363">
        <f t="shared" ca="1" si="15"/>
        <v>52.1</v>
      </c>
      <c r="BY10" s="364">
        <f ca="1">BW10 * BX10</f>
        <v>3645.9580000000001</v>
      </c>
      <c r="BZ10" s="162"/>
      <c r="CA10" s="363">
        <f t="shared" ref="CA10:CB29" ca="1" si="16">OFFSET( INDIRECT( CA$6 &amp; CA$9 ), $HX10 - 1, CA$8 - 1 )</f>
        <v>67.19</v>
      </c>
      <c r="CB10" s="363">
        <f t="shared" ca="1" si="16"/>
        <v>51.9</v>
      </c>
      <c r="CC10" s="364">
        <f ca="1">CA10 * CB10</f>
        <v>3487.1609999999996</v>
      </c>
      <c r="CD10" s="162"/>
      <c r="CE10" s="363">
        <f t="shared" ref="CE10:CF29" ca="1" si="17">OFFSET( INDIRECT( CE$6 &amp; CE$9 ), $HX10 - 1, CE$8 - 1 )</f>
        <v>61.94</v>
      </c>
      <c r="CF10" s="363">
        <f t="shared" ca="1" si="17"/>
        <v>51.9</v>
      </c>
      <c r="CG10" s="364">
        <f ca="1">CE10 * CF10</f>
        <v>3214.6859999999997</v>
      </c>
      <c r="CH10" s="162"/>
      <c r="CI10" s="363">
        <f ca="1">OFFSET( INDIRECT( CI$6 &amp; CI$9 ), $HX10 - 1, CI$8 - 1 )</f>
        <v>51.74</v>
      </c>
      <c r="CJ10" s="363">
        <f t="shared" ref="CI10:CJ27" ca="1" si="18">OFFSET( INDIRECT( CJ$6 &amp; CJ$9 ), $HX10 - 1, CJ$8 - 1 )</f>
        <v>51.8</v>
      </c>
      <c r="CK10" s="364">
        <f ca="1">CI10 * CJ10</f>
        <v>2680.1320000000001</v>
      </c>
      <c r="CL10" s="162"/>
      <c r="CM10" s="363">
        <f ca="1">OFFSET( INDIRECT( CM$6 &amp; CM$9 ), $HX10 - 1, CM$8 - 1 )</f>
        <v>54.61</v>
      </c>
      <c r="CN10" s="363">
        <f t="shared" ref="CM10:CN27" ca="1" si="19">OFFSET( INDIRECT( CN$6 &amp; CN$9 ), $HX10 - 1, CN$8 - 1 )</f>
        <v>51.7</v>
      </c>
      <c r="CO10" s="364">
        <f ca="1">CM10 * CN10</f>
        <v>2823.337</v>
      </c>
      <c r="CP10" s="162"/>
      <c r="CQ10" s="221">
        <f ca="1">OFFSET( INDIRECT( CQ$6 &amp; CQ$9 ), $HX10 - 1, CQ$8 - 1 )</f>
        <v>60.68</v>
      </c>
      <c r="CR10" s="221">
        <f t="shared" ref="CQ10:CR27" ca="1" si="20">OFFSET( INDIRECT( CR$6 &amp; CR$9 ), $HX10 - 1, CR$8 - 1 )</f>
        <v>51.6</v>
      </c>
      <c r="CS10" s="163">
        <f ca="1">CQ10 * CR10</f>
        <v>3131.0880000000002</v>
      </c>
      <c r="CT10" s="162"/>
      <c r="CU10" s="221">
        <f ca="1">OFFSET( INDIRECT( CU$6 &amp; CU$9 ), $HX10 - 1, CU$8 - 1 )</f>
        <v>81.17</v>
      </c>
      <c r="CV10" s="221">
        <f t="shared" ref="CU10:CV27" ca="1" si="21">OFFSET( INDIRECT( CV$6 &amp; CV$9 ), $HX10 - 1, CV$8 - 1 )</f>
        <v>51.7</v>
      </c>
      <c r="CW10" s="163">
        <f ca="1">CU10 * CV10</f>
        <v>4196.4890000000005</v>
      </c>
      <c r="CX10" s="162"/>
      <c r="CY10" s="221">
        <f ca="1">OFFSET( INDIRECT( CY$6 &amp; CY$9 ), $HX10 - 1, CY$8 - 1 )</f>
        <v>87.41</v>
      </c>
      <c r="CZ10" s="221">
        <f t="shared" ref="CY10:CZ27" ca="1" si="22">OFFSET( INDIRECT( CZ$6 &amp; CZ$9 ), $HX10 - 1, CZ$8 - 1 )</f>
        <v>51.6</v>
      </c>
      <c r="DA10" s="163">
        <f ca="1">CY10 * CZ10</f>
        <v>4510.3559999999998</v>
      </c>
      <c r="DB10" s="162"/>
      <c r="DC10" s="221">
        <f ca="1">OFFSET( INDIRECT( DC$6 &amp; DC$9 ), $HX10 - 1, DC$8 - 1 )</f>
        <v>83.21</v>
      </c>
      <c r="DD10" s="221">
        <f t="shared" ref="DC10:DD27" ca="1" si="23">OFFSET( INDIRECT( DD$6 &amp; DD$9 ), $HX10 - 1, DD$8 - 1 )</f>
        <v>51.6</v>
      </c>
      <c r="DE10" s="163">
        <f ca="1">DC10 * DD10</f>
        <v>4293.6359999999995</v>
      </c>
      <c r="DF10" s="162"/>
      <c r="DG10" s="221">
        <f ca="1">OFFSET( INDIRECT( DG$6 &amp; DG$9 ), $HX10 - 1, DG$8 - 1 )</f>
        <v>82.23</v>
      </c>
      <c r="DH10" s="221">
        <f t="shared" ref="DG10:DH27" ca="1" si="24">OFFSET( INDIRECT( DH$6 &amp; DH$9 ), $HX10 - 1, DH$8 - 1 )</f>
        <v>51.3</v>
      </c>
      <c r="DI10" s="163">
        <f ca="1">DG10 * DH10</f>
        <v>4218.3990000000003</v>
      </c>
      <c r="DJ10" s="162"/>
      <c r="DK10" s="221">
        <f ca="1">OFFSET( INDIRECT( DK$6 &amp; DK$9 ), $HX10 - 1, DK$8 - 1 )</f>
        <v>76.22</v>
      </c>
      <c r="DL10" s="221">
        <f t="shared" ref="DK10:DL27" ca="1" si="25">OFFSET( INDIRECT( DL$6 &amp; DL$9 ), $HX10 - 1, DL$8 - 1 )</f>
        <v>51.4</v>
      </c>
      <c r="DM10" s="163">
        <f ca="1">DK10 * DL10</f>
        <v>3917.7079999999996</v>
      </c>
      <c r="DN10" s="162"/>
      <c r="DO10" s="221">
        <f ca="1">OFFSET( INDIRECT( DO$6 &amp; DO$9 ), $HX10 - 1, DO$8 - 1 )</f>
        <v>75.010000000000005</v>
      </c>
      <c r="DP10" s="221">
        <f t="shared" ref="DO10:DP27" ca="1" si="26">OFFSET( INDIRECT( DP$6 &amp; DP$9 ), $HX10 - 1, DP$8 - 1 )</f>
        <v>51.3</v>
      </c>
      <c r="DQ10" s="163">
        <f ca="1">DO10 * DP10</f>
        <v>3848.0129999999999</v>
      </c>
      <c r="DR10" s="162"/>
      <c r="DS10" s="221">
        <f ca="1">OFFSET( INDIRECT( DS$6 &amp; DS$9 ), $HX10 - 1, DS$8 - 1 )</f>
        <v>77.41</v>
      </c>
      <c r="DT10" s="221">
        <f t="shared" ref="DS10:DT27" ca="1" si="27">OFFSET( INDIRECT( DT$6 &amp; DT$9 ), $HX10 - 1, DT$8 - 1 )</f>
        <v>51.2</v>
      </c>
      <c r="DU10" s="163">
        <f ca="1">DS10 * DT10</f>
        <v>3963.3919999999998</v>
      </c>
      <c r="DV10" s="162"/>
      <c r="DW10" s="221">
        <f ca="1">OFFSET( INDIRECT( DW$6 &amp; DW$9 ), $HX10 - 1, DW$8 - 1 )</f>
        <v>72.25</v>
      </c>
      <c r="DX10" s="221">
        <f t="shared" ref="DW10:DX27" ca="1" si="28">OFFSET( INDIRECT( DX$6 &amp; DX$9 ), $HX10 - 1, DX$8 - 1 )</f>
        <v>51.1</v>
      </c>
      <c r="DY10" s="163">
        <f ca="1">DW10 * DX10</f>
        <v>3691.9749999999999</v>
      </c>
      <c r="DZ10" s="162"/>
      <c r="EA10" s="221">
        <f ca="1">OFFSET( INDIRECT( EA$6 &amp; EA$9 ), $HX10 - 1, EA$8 - 1 )</f>
        <v>74.36</v>
      </c>
      <c r="EB10" s="221">
        <f t="shared" ref="EA10:EB27" ca="1" si="29">OFFSET( INDIRECT( EB$6 &amp; EB$9 ), $HX10 - 1, EB$8 - 1 )</f>
        <v>51</v>
      </c>
      <c r="EC10" s="163">
        <f ca="1">EA10 * EB10</f>
        <v>3792.36</v>
      </c>
      <c r="ED10" s="162"/>
      <c r="EE10" s="221">
        <f ca="1">OFFSET( INDIRECT( EE$6 &amp; EE$9 ), $HX10 - 1, EE$8 - 1 )</f>
        <v>77.290000000000006</v>
      </c>
      <c r="EF10" s="221">
        <f t="shared" ref="EE10:EF27" ca="1" si="30">OFFSET( INDIRECT( EF$6 &amp; EF$9 ), $HX10 - 1, EF$8 - 1 )</f>
        <v>50.9</v>
      </c>
      <c r="EG10" s="163">
        <f ca="1">EE10 * EF10</f>
        <v>3934.0610000000001</v>
      </c>
      <c r="EH10" s="162"/>
      <c r="EI10" s="221">
        <f ca="1">OFFSET( INDIRECT( EI$6 &amp; EI$9 ), $HX10 - 1, EI$8 - 1 )</f>
        <v>71.680000000000007</v>
      </c>
      <c r="EJ10" s="221">
        <f t="shared" ref="EI10:EJ27" ca="1" si="31">OFFSET( INDIRECT( EJ$6 &amp; EJ$9 ), $HX10 - 1, EJ$8 - 1 )</f>
        <v>50.2</v>
      </c>
      <c r="EK10" s="163">
        <f ca="1">EI10 * EJ10</f>
        <v>3598.3360000000007</v>
      </c>
      <c r="EL10" s="162"/>
      <c r="EM10" s="221">
        <f ca="1">OFFSET( INDIRECT( EM$6 &amp; EM$9 ), $HX10 - 1, EM$8 - 1 )</f>
        <v>67.709999999999994</v>
      </c>
      <c r="EN10" s="221">
        <f t="shared" ref="EM10:EN27" ca="1" si="32">OFFSET( INDIRECT( EN$6 &amp; EN$9 ), $HX10 - 1, EN$8 - 1 )</f>
        <v>49.3</v>
      </c>
      <c r="EO10" s="163">
        <f ca="1">EM10 * EN10</f>
        <v>3338.1029999999996</v>
      </c>
      <c r="EP10" s="162"/>
      <c r="EQ10" s="221">
        <f ca="1">OFFSET( INDIRECT( EQ$6 &amp; EQ$9 ), $HX10 - 1, EQ$8 - 1 )</f>
        <v>64.19</v>
      </c>
      <c r="ER10" s="221">
        <f t="shared" ref="EQ10:ER27" ca="1" si="33">OFFSET( INDIRECT( ER$6 &amp; ER$9 ), $HX10 - 1, ER$8 - 1 )</f>
        <v>49.4</v>
      </c>
      <c r="ES10" s="163">
        <f ca="1">EQ10 * ER10</f>
        <v>3170.9859999999999</v>
      </c>
      <c r="ET10" s="162"/>
      <c r="EU10" s="221">
        <f ca="1">OFFSET( INDIRECT( EU$6 &amp; EU$9 ), $HX10 - 1, EU$8 - 1 )</f>
        <v>59.62</v>
      </c>
      <c r="EV10" s="221">
        <f t="shared" ref="EU10:EV27" ca="1" si="34">OFFSET( INDIRECT( EV$6 &amp; EV$9 ), $HX10 - 1, EV$8 - 1 )</f>
        <v>49.3</v>
      </c>
      <c r="EW10" s="163">
        <f ca="1">EU10 * EV10</f>
        <v>2939.2659999999996</v>
      </c>
      <c r="EX10" s="162"/>
      <c r="EY10" s="221">
        <f t="shared" ref="EY10:EZ27" ca="1" si="35">OFFSET( INDIRECT( EY$6 &amp; EY$9 ), $HX10 - 1, EY$8 - 1 )</f>
        <v>64.63</v>
      </c>
      <c r="EZ10" s="221">
        <f t="shared" ca="1" si="35"/>
        <v>49.2</v>
      </c>
      <c r="FA10" s="163">
        <f ca="1">EY10 * EZ10</f>
        <v>3179.7959999999998</v>
      </c>
      <c r="FB10" s="162"/>
      <c r="FC10" s="221">
        <f t="shared" ref="FC10:FD27" ca="1" si="36">OFFSET( INDIRECT( FC$6 &amp; FC$9 ), $HX10 - 1, FC$8 - 1 )</f>
        <v>56.07</v>
      </c>
      <c r="FD10" s="221">
        <f t="shared" ca="1" si="36"/>
        <v>48.3</v>
      </c>
      <c r="FE10" s="163">
        <f ca="1">FC10 * FD10</f>
        <v>2708.181</v>
      </c>
      <c r="FF10" s="162"/>
      <c r="FG10" s="221">
        <f t="shared" ref="FG10:FH27" ca="1" si="37">OFFSET( INDIRECT( FG$6 &amp; FG$9 ), $HX10 - 1, FG$8 - 1 )</f>
        <v>50.83</v>
      </c>
      <c r="FH10" s="221">
        <f t="shared" ca="1" si="37"/>
        <v>48.8</v>
      </c>
      <c r="FI10" s="163">
        <f ca="1">FG10 * FH10</f>
        <v>2480.5039999999999</v>
      </c>
      <c r="FJ10" s="162"/>
      <c r="FK10" s="221">
        <f t="shared" ref="FK10:FL27" ca="1" si="38">OFFSET( INDIRECT( FK$6 &amp; FK$9 ), $HX10 - 1, FK$8 - 1 )</f>
        <v>50.49</v>
      </c>
      <c r="FL10" s="221">
        <f t="shared" ca="1" si="38"/>
        <v>48.6</v>
      </c>
      <c r="FM10" s="163">
        <f ca="1">FK10 * FL10</f>
        <v>2453.8140000000003</v>
      </c>
      <c r="FN10" s="162"/>
      <c r="FO10" s="221">
        <f t="shared" ref="FO10:FP27" ca="1" si="39">OFFSET( INDIRECT( FO$6 &amp; FO$9 ), $HX10 - 1, FO$8 - 1 )</f>
        <v>46.39</v>
      </c>
      <c r="FP10" s="221">
        <f t="shared" ca="1" si="39"/>
        <v>46.9</v>
      </c>
      <c r="FQ10" s="163">
        <f ca="1">FO10 * FP10</f>
        <v>2175.6909999999998</v>
      </c>
      <c r="FR10" s="162"/>
      <c r="FS10" s="221">
        <f t="shared" ref="FS10:FT27" ca="1" si="40">OFFSET( INDIRECT( FS$6 &amp; FS$9 ), $HX10 - 1, FS$8 - 1 )</f>
        <v>52.76</v>
      </c>
      <c r="FT10" s="221">
        <f t="shared" ca="1" si="40"/>
        <v>45.2</v>
      </c>
      <c r="FU10" s="163">
        <f ca="1">FS10 * FT10</f>
        <v>2384.752</v>
      </c>
      <c r="FW10" s="221">
        <f t="shared" ref="FW10:FX27" ca="1" si="41">OFFSET( INDIRECT( FW$6 &amp; FW$9 ), $HX10 - 1, FW$8 - 1 )</f>
        <v>55.14</v>
      </c>
      <c r="FX10" s="221">
        <f t="shared" ca="1" si="41"/>
        <v>42.9</v>
      </c>
      <c r="FY10" s="163">
        <f ca="1">FW10 * FX10</f>
        <v>2365.5059999999999</v>
      </c>
      <c r="GA10" s="221">
        <f t="shared" ref="GA10:GB27" ca="1" si="42">OFFSET( INDIRECT( GA$6 &amp; GA$9 ), $HX10 - 1, GA$8 - 1 )</f>
        <v>44.39</v>
      </c>
      <c r="GB10" s="221">
        <f t="shared" ca="1" si="42"/>
        <v>42.1</v>
      </c>
      <c r="GC10" s="163">
        <f ca="1">GA10 * GB10</f>
        <v>1868.8190000000002</v>
      </c>
      <c r="GE10" s="221">
        <f t="shared" ref="GE10:GF27" ca="1" si="43">OFFSET( INDIRECT( GE$6 &amp; GE$9 ), $HX10 - 1, GE$8 - 1 )</f>
        <v>51.35</v>
      </c>
      <c r="GF10" s="221">
        <f t="shared" ca="1" si="43"/>
        <v>41.4</v>
      </c>
      <c r="GG10" s="163">
        <f ca="1">GE10 * GF10</f>
        <v>2125.89</v>
      </c>
      <c r="GI10" s="221">
        <f t="shared" ref="GI10:GJ27" ca="1" si="44">OFFSET( INDIRECT( GI$6 &amp; GI$9 ), $HX10 - 1, GI$8 - 1 )</f>
        <v>52.42</v>
      </c>
      <c r="GJ10" s="221">
        <f t="shared" ca="1" si="44"/>
        <v>39.700000000000003</v>
      </c>
      <c r="GK10" s="163">
        <f ca="1">GI10 * GJ10</f>
        <v>2081.0740000000001</v>
      </c>
      <c r="GM10" s="221">
        <f t="shared" ref="GM10:GN27" ca="1" si="45">OFFSET( INDIRECT( GM$6 &amp; GM$9 ), $HX10 - 1, GM$8 - 1 )</f>
        <v>49.88</v>
      </c>
      <c r="GN10" s="221">
        <f t="shared" ca="1" si="45"/>
        <v>39.799999999999997</v>
      </c>
      <c r="GO10" s="163">
        <f ca="1">GM10 * GN10</f>
        <v>1985.2239999999999</v>
      </c>
      <c r="GQ10" s="221">
        <f t="shared" ref="GQ10:GR27" ca="1" si="46">OFFSET( INDIRECT( GQ$6 &amp; GQ$9 ), $HX10 - 1, GQ$8 - 1 )</f>
        <v>48.3</v>
      </c>
      <c r="GR10" s="221">
        <f t="shared" ca="1" si="46"/>
        <v>39.4</v>
      </c>
      <c r="GS10" s="163">
        <f ca="1">GQ10 * GR10</f>
        <v>1903.0199999999998</v>
      </c>
      <c r="GU10" s="221">
        <f t="shared" ref="GU10:GV26" ca="1" si="47">OFFSET( INDIRECT( GU$6 &amp; GU$9 ), $HX10 - 1, GU$8 - 1 )</f>
        <v>49.85</v>
      </c>
      <c r="GV10" s="221">
        <f t="shared" ca="1" si="47"/>
        <v>38.9</v>
      </c>
      <c r="GW10" s="163">
        <f ca="1">GU10 * GV10</f>
        <v>1939.165</v>
      </c>
      <c r="GY10" s="221">
        <f t="shared" ref="GY10:GZ26" ca="1" si="48">OFFSET( INDIRECT( GY$6 &amp; GY$9 ), $HX10 - 1, GY$8 - 1 )</f>
        <v>49.02</v>
      </c>
      <c r="GZ10" s="221">
        <f t="shared" ca="1" si="48"/>
        <v>37.6</v>
      </c>
      <c r="HA10" s="163">
        <f ca="1">GY10 * GZ10</f>
        <v>1843.1520000000003</v>
      </c>
      <c r="HC10" s="221">
        <f t="shared" ref="HC10:HD26" ca="1" si="49">OFFSET( INDIRECT( HC$6 &amp; HC$9 ), $HX10 - 1, HC$8 - 1 )</f>
        <v>40.98</v>
      </c>
      <c r="HD10" s="221">
        <f t="shared" ca="1" si="49"/>
        <v>37.700000000000003</v>
      </c>
      <c r="HE10" s="163">
        <f ca="1">HC10 * HD10</f>
        <v>1544.9459999999999</v>
      </c>
      <c r="HG10" s="221">
        <f t="shared" ref="HG10:HH26" ca="1" si="50">OFFSET( INDIRECT( HG$6 &amp; HG$9 ), $HX10 - 1, HG$8 - 1 )</f>
        <v>41.74</v>
      </c>
      <c r="HH10" s="221">
        <f t="shared" ca="1" si="50"/>
        <v>37.299999999999997</v>
      </c>
      <c r="HI10" s="163">
        <f ca="1">HG10 * HH10</f>
        <v>1556.902</v>
      </c>
      <c r="HK10" s="221">
        <f t="shared" ref="HK10:HL26" ca="1" si="51">OFFSET( INDIRECT( HK$6 &amp; HK$9 ), $HX10 - 1, HK$8 - 1 )</f>
        <v>41.79</v>
      </c>
      <c r="HL10" s="221">
        <f t="shared" ca="1" si="51"/>
        <v>36.799999999999997</v>
      </c>
      <c r="HM10" s="163">
        <f ca="1">HK10 * HL10</f>
        <v>1537.8719999999998</v>
      </c>
      <c r="HO10" s="148">
        <f t="shared" ref="HO10:HP26" ca="1" si="52">OFFSET( INDIRECT( HO$6 &amp; HO$9 ), $HX10 - 1, HO$8 - 1 )</f>
        <v>41.49</v>
      </c>
      <c r="HP10" s="148">
        <f t="shared" ca="1" si="52"/>
        <v>35.299999999999997</v>
      </c>
      <c r="HQ10" s="163">
        <f ca="1">HO10 * HP10</f>
        <v>1464.597</v>
      </c>
      <c r="HS10" s="148">
        <f t="shared" ref="HS10:HT26" ca="1" si="53">OFFSET( INDIRECT( HS$6 &amp; HS$9 ), $HX10 - 1, HS$8 - 1 )</f>
        <v>41.98</v>
      </c>
      <c r="HT10" s="148">
        <f t="shared" ca="1" si="53"/>
        <v>35.6</v>
      </c>
      <c r="HU10" s="163">
        <f ca="1">HS10 * HT10</f>
        <v>1494.4880000000001</v>
      </c>
      <c r="HX10" s="149">
        <f t="shared" ref="HX10:HX37" ca="1" si="54">MATCH( $D10, INDIRECT( HX$6 &amp; HX$9 ), 0 )</f>
        <v>87</v>
      </c>
    </row>
    <row r="11" spans="2:232" s="137" customFormat="1">
      <c r="B11" s="155">
        <f ca="1">OFFSET( B11, -1, 0 ) + 1</f>
        <v>2</v>
      </c>
      <c r="C11" s="146" t="str">
        <f t="shared" ca="1" si="0"/>
        <v>Alliant Energy Corporation</v>
      </c>
      <c r="D11" s="138" t="str">
        <f t="shared" ca="1" si="0"/>
        <v>LNT</v>
      </c>
      <c r="E11" s="138">
        <f t="shared" ca="1" si="0"/>
        <v>4057038</v>
      </c>
      <c r="F11" s="147"/>
      <c r="G11" s="363">
        <f t="shared" ca="1" si="1"/>
        <v>59.14</v>
      </c>
      <c r="H11" s="363">
        <f t="shared" ca="1" si="1"/>
        <v>256.60000000000002</v>
      </c>
      <c r="I11" s="364">
        <f t="shared" ref="I11:I47" ca="1" si="55">G11 * H11</f>
        <v>15175.324000000002</v>
      </c>
      <c r="J11" s="147"/>
      <c r="K11" s="147"/>
      <c r="L11" s="363">
        <f t="shared" ca="1" si="2"/>
        <v>60.69</v>
      </c>
      <c r="M11" s="363">
        <f t="shared" ca="1" si="2"/>
        <v>256.39999999999998</v>
      </c>
      <c r="N11" s="364">
        <f t="shared" ref="N11:N47" ca="1" si="56">L11 * M11</f>
        <v>15560.915999999997</v>
      </c>
      <c r="O11" s="147"/>
      <c r="P11" s="147"/>
      <c r="Q11" s="363">
        <f t="shared" ca="1" si="3"/>
        <v>50.9</v>
      </c>
      <c r="R11" s="363">
        <f t="shared" ca="1" si="3"/>
        <v>256.2</v>
      </c>
      <c r="S11" s="364">
        <f t="shared" ref="S11:S47" ca="1" si="57">Q11 * R11</f>
        <v>13040.58</v>
      </c>
      <c r="T11" s="147"/>
      <c r="U11" s="147"/>
      <c r="V11" s="363">
        <f t="shared" ca="1" si="4"/>
        <v>50.4</v>
      </c>
      <c r="W11" s="363">
        <f t="shared" ca="1" si="4"/>
        <v>255.6</v>
      </c>
      <c r="X11" s="364">
        <f t="shared" ref="X11:X47" ca="1" si="58">V11 * W11</f>
        <v>12882.24</v>
      </c>
      <c r="Y11" s="147"/>
      <c r="Z11" s="147"/>
      <c r="AA11" s="363">
        <f t="shared" ca="1" si="5"/>
        <v>51.3</v>
      </c>
      <c r="AB11" s="363">
        <f t="shared" ca="1" si="5"/>
        <v>253.5</v>
      </c>
      <c r="AC11" s="364">
        <f t="shared" ref="AC11:AC47" ca="1" si="59">AA11 * AB11</f>
        <v>13004.55</v>
      </c>
      <c r="AD11" s="147"/>
      <c r="AE11" s="147"/>
      <c r="AF11" s="363">
        <f t="shared" ca="1" si="6"/>
        <v>48.45</v>
      </c>
      <c r="AG11" s="363">
        <f t="shared" ca="1" si="6"/>
        <v>251.7</v>
      </c>
      <c r="AH11" s="364">
        <f t="shared" ref="AH11:AH47" ca="1" si="60">AF11 * AG11</f>
        <v>12194.865</v>
      </c>
      <c r="AI11" s="147"/>
      <c r="AJ11" s="147"/>
      <c r="AK11" s="363">
        <f t="shared" ca="1" si="7"/>
        <v>52.48</v>
      </c>
      <c r="AL11" s="363">
        <f t="shared" ca="1" si="7"/>
        <v>251.2</v>
      </c>
      <c r="AM11" s="364">
        <f t="shared" ref="AM11:AM47" ca="1" si="61">AK11 * AL11</f>
        <v>13182.975999999999</v>
      </c>
      <c r="AN11" s="147"/>
      <c r="AO11" s="147"/>
      <c r="AP11" s="363">
        <f t="shared" ca="1" si="8"/>
        <v>53.4</v>
      </c>
      <c r="AQ11" s="363">
        <f t="shared" ca="1" si="8"/>
        <v>250.9</v>
      </c>
      <c r="AR11" s="364">
        <f t="shared" ref="AR11:AR47" ca="1" si="62">AP11 * AQ11</f>
        <v>13398.06</v>
      </c>
      <c r="AS11" s="147"/>
      <c r="AT11" s="147"/>
      <c r="AU11" s="363">
        <f t="shared" ca="1" si="9"/>
        <v>55.21</v>
      </c>
      <c r="AV11" s="363">
        <f t="shared" ca="1" si="9"/>
        <v>251</v>
      </c>
      <c r="AW11" s="364">
        <f t="shared" ref="AW11:AW47" ca="1" si="63">AU11 * AV11</f>
        <v>13857.710000000001</v>
      </c>
      <c r="AX11" s="147"/>
      <c r="AY11" s="147"/>
      <c r="AZ11" s="363">
        <f t="shared" ca="1" si="10"/>
        <v>52.99</v>
      </c>
      <c r="BA11" s="363">
        <f t="shared" ca="1" si="10"/>
        <v>250.9</v>
      </c>
      <c r="BB11" s="364">
        <f t="shared" ref="BB11:BB47" ca="1" si="64">AZ11 * BA11</f>
        <v>13295.191000000001</v>
      </c>
      <c r="BC11" s="147"/>
      <c r="BD11" s="147"/>
      <c r="BE11" s="363">
        <f t="shared" ca="1" si="11"/>
        <v>58.61</v>
      </c>
      <c r="BF11" s="363">
        <f t="shared" ca="1" si="11"/>
        <v>250.6</v>
      </c>
      <c r="BG11" s="364">
        <f t="shared" ref="BG11:BG47" ca="1" si="65">BE11 * BF11</f>
        <v>14687.665999999999</v>
      </c>
      <c r="BH11" s="147"/>
      <c r="BI11" s="147"/>
      <c r="BJ11" s="363">
        <f t="shared" ca="1" si="12"/>
        <v>62.48</v>
      </c>
      <c r="BK11" s="363">
        <f t="shared" ca="1" si="12"/>
        <v>250.2</v>
      </c>
      <c r="BL11" s="364">
        <f t="shared" ref="BL11:BL47" ca="1" si="66">BJ11 * BK11</f>
        <v>15632.495999999999</v>
      </c>
      <c r="BM11" s="147"/>
      <c r="BN11" s="147"/>
      <c r="BO11" s="363">
        <f t="shared" ca="1" si="13"/>
        <v>61.47</v>
      </c>
      <c r="BP11" s="363">
        <f t="shared" ca="1" si="13"/>
        <v>250.3</v>
      </c>
      <c r="BQ11" s="364">
        <f t="shared" ref="BQ11:BQ47" ca="1" si="67">BO11 * BP11</f>
        <v>15385.941000000001</v>
      </c>
      <c r="BR11" s="162"/>
      <c r="BS11" s="363">
        <f t="shared" ca="1" si="14"/>
        <v>55.98</v>
      </c>
      <c r="BT11" s="363">
        <f t="shared" ca="1" si="14"/>
        <v>250.2</v>
      </c>
      <c r="BU11" s="364">
        <f t="shared" ref="BU11:BU47" ca="1" si="68">BS11 * BT11</f>
        <v>14006.195999999998</v>
      </c>
      <c r="BV11" s="162"/>
      <c r="BW11" s="363">
        <f t="shared" ca="1" si="15"/>
        <v>55.76</v>
      </c>
      <c r="BX11" s="363">
        <f t="shared" ca="1" si="15"/>
        <v>250</v>
      </c>
      <c r="BY11" s="364">
        <f t="shared" ref="BY11:BY47" ca="1" si="69">BW11 * BX11</f>
        <v>13940</v>
      </c>
      <c r="BZ11" s="162"/>
      <c r="CA11" s="363">
        <f t="shared" ca="1" si="16"/>
        <v>54.16</v>
      </c>
      <c r="CB11" s="363">
        <f t="shared" ca="1" si="16"/>
        <v>248.4</v>
      </c>
      <c r="CC11" s="364">
        <f t="shared" ref="CC11:CC47" ca="1" si="70">CA11 * CB11</f>
        <v>13453.343999999999</v>
      </c>
      <c r="CD11" s="162"/>
      <c r="CE11" s="363">
        <f t="shared" ca="1" si="17"/>
        <v>51.53</v>
      </c>
      <c r="CF11" s="363">
        <f t="shared" ca="1" si="17"/>
        <v>249.7</v>
      </c>
      <c r="CG11" s="364">
        <f t="shared" ref="CG11:CG47" ca="1" si="71">CE11 * CF11</f>
        <v>12867.040999999999</v>
      </c>
      <c r="CH11" s="162"/>
      <c r="CI11" s="363">
        <f t="shared" ca="1" si="18"/>
        <v>51.65</v>
      </c>
      <c r="CJ11" s="363">
        <f t="shared" ca="1" si="18"/>
        <v>249.6</v>
      </c>
      <c r="CK11" s="364">
        <f t="shared" ref="CK11:CK47" ca="1" si="72">CI11 * CJ11</f>
        <v>12891.84</v>
      </c>
      <c r="CL11" s="162"/>
      <c r="CM11" s="363">
        <f t="shared" ca="1" si="19"/>
        <v>47.84</v>
      </c>
      <c r="CN11" s="363">
        <f t="shared" ca="1" si="19"/>
        <v>244.4</v>
      </c>
      <c r="CO11" s="364">
        <f t="shared" ref="CO11:CO47" ca="1" si="73">CM11 * CN11</f>
        <v>11692.096000000001</v>
      </c>
      <c r="CP11" s="162"/>
      <c r="CQ11" s="221">
        <f t="shared" ca="1" si="20"/>
        <v>48.29</v>
      </c>
      <c r="CR11" s="221">
        <f t="shared" ca="1" si="20"/>
        <v>238.5</v>
      </c>
      <c r="CS11" s="163">
        <f t="shared" ref="CS11:CS47" ca="1" si="74">CQ11 * CR11</f>
        <v>11517.164999999999</v>
      </c>
      <c r="CT11" s="162"/>
      <c r="CU11" s="221">
        <f t="shared" ca="1" si="21"/>
        <v>54.72</v>
      </c>
      <c r="CV11" s="221">
        <f t="shared" ca="1" si="21"/>
        <v>239.1</v>
      </c>
      <c r="CW11" s="163">
        <f t="shared" ref="CW11:CW47" ca="1" si="75">CU11 * CV11</f>
        <v>13083.552</v>
      </c>
      <c r="CX11" s="162"/>
      <c r="CY11" s="221">
        <f t="shared" ca="1" si="22"/>
        <v>53.93</v>
      </c>
      <c r="CZ11" s="221">
        <f t="shared" ca="1" si="22"/>
        <v>237.5</v>
      </c>
      <c r="DA11" s="163">
        <f t="shared" ref="DA11:DA47" ca="1" si="76">CY11 * CZ11</f>
        <v>12808.375</v>
      </c>
      <c r="DB11" s="162"/>
      <c r="DC11" s="221">
        <f t="shared" ca="1" si="23"/>
        <v>49.08</v>
      </c>
      <c r="DD11" s="221">
        <f t="shared" ca="1" si="23"/>
        <v>236.5</v>
      </c>
      <c r="DE11" s="163">
        <f t="shared" ref="DE11:DE47" ca="1" si="77">DC11 * DD11</f>
        <v>11607.42</v>
      </c>
      <c r="DF11" s="162"/>
      <c r="DG11" s="221">
        <f t="shared" ca="1" si="24"/>
        <v>47.13</v>
      </c>
      <c r="DH11" s="221">
        <f t="shared" ca="1" si="24"/>
        <v>233.6</v>
      </c>
      <c r="DI11" s="163">
        <f t="shared" ref="DI11:DI47" ca="1" si="78">DG11 * DH11</f>
        <v>11009.568000000001</v>
      </c>
      <c r="DJ11" s="162"/>
      <c r="DK11" s="221">
        <f t="shared" ca="1" si="25"/>
        <v>42.25</v>
      </c>
      <c r="DL11" s="221">
        <f t="shared" ca="1" si="25"/>
        <v>235.2</v>
      </c>
      <c r="DM11" s="163">
        <f t="shared" ref="DM11:DM47" ca="1" si="79">DK11 * DL11</f>
        <v>9937.1999999999989</v>
      </c>
      <c r="DN11" s="162"/>
      <c r="DO11" s="221">
        <f t="shared" ca="1" si="26"/>
        <v>42.57</v>
      </c>
      <c r="DP11" s="221">
        <f t="shared" ca="1" si="26"/>
        <v>232</v>
      </c>
      <c r="DQ11" s="163">
        <f t="shared" ref="DQ11:DQ47" ca="1" si="80">DO11 * DP11</f>
        <v>9876.24</v>
      </c>
      <c r="DR11" s="162"/>
      <c r="DS11" s="221">
        <f t="shared" ca="1" si="27"/>
        <v>42.32</v>
      </c>
      <c r="DT11" s="221">
        <f t="shared" ca="1" si="27"/>
        <v>231.4</v>
      </c>
      <c r="DU11" s="163">
        <f t="shared" ref="DU11:DU47" ca="1" si="81">DS11 * DT11</f>
        <v>9792.848</v>
      </c>
      <c r="DV11" s="162"/>
      <c r="DW11" s="221">
        <f t="shared" ca="1" si="28"/>
        <v>40.86</v>
      </c>
      <c r="DX11" s="221">
        <f t="shared" ca="1" si="28"/>
        <v>231.2</v>
      </c>
      <c r="DY11" s="163">
        <f t="shared" ref="DY11:DY47" ca="1" si="82">DW11 * DX11</f>
        <v>9446.8319999999985</v>
      </c>
      <c r="DZ11" s="162"/>
      <c r="EA11" s="221">
        <f t="shared" ca="1" si="29"/>
        <v>42.61</v>
      </c>
      <c r="EB11" s="221">
        <f t="shared" ca="1" si="29"/>
        <v>231</v>
      </c>
      <c r="EC11" s="163">
        <f t="shared" ref="EC11:EC47" ca="1" si="83">EA11 * EB11</f>
        <v>9842.91</v>
      </c>
      <c r="ED11" s="162"/>
      <c r="EE11" s="221">
        <f t="shared" ca="1" si="30"/>
        <v>41.57</v>
      </c>
      <c r="EF11" s="221">
        <f t="shared" ca="1" si="30"/>
        <v>229</v>
      </c>
      <c r="EG11" s="163">
        <f t="shared" ref="EG11:EG47" ca="1" si="84">EE11 * EF11</f>
        <v>9519.5300000000007</v>
      </c>
      <c r="EH11" s="162"/>
      <c r="EI11" s="221">
        <f t="shared" ca="1" si="31"/>
        <v>40.17</v>
      </c>
      <c r="EJ11" s="221">
        <f t="shared" ca="1" si="31"/>
        <v>227.6</v>
      </c>
      <c r="EK11" s="163">
        <f t="shared" ref="EK11:EK47" ca="1" si="85">EI11 * EJ11</f>
        <v>9142.6920000000009</v>
      </c>
      <c r="EL11" s="162"/>
      <c r="EM11" s="221">
        <f t="shared" ca="1" si="32"/>
        <v>39.61</v>
      </c>
      <c r="EN11" s="221">
        <f t="shared" ca="1" si="32"/>
        <v>227.1</v>
      </c>
      <c r="EO11" s="163">
        <f t="shared" ref="EO11:EO47" ca="1" si="86">EM11 * EN11</f>
        <v>8995.4310000000005</v>
      </c>
      <c r="EP11" s="162"/>
      <c r="EQ11" s="221">
        <f t="shared" ca="1" si="33"/>
        <v>37.89</v>
      </c>
      <c r="ER11" s="221">
        <f t="shared" ca="1" si="33"/>
        <v>227.2</v>
      </c>
      <c r="ES11" s="163">
        <f t="shared" ref="ES11:ES47" ca="1" si="87">EQ11 * ER11</f>
        <v>8608.6080000000002</v>
      </c>
      <c r="ET11" s="162"/>
      <c r="EU11" s="221">
        <f t="shared" ca="1" si="34"/>
        <v>38.31</v>
      </c>
      <c r="EV11" s="221">
        <f t="shared" ca="1" si="34"/>
        <v>227</v>
      </c>
      <c r="EW11" s="163">
        <f t="shared" ref="EW11:EW47" ca="1" si="88">EU11 * EV11</f>
        <v>8696.3700000000008</v>
      </c>
      <c r="EX11" s="162"/>
      <c r="EY11" s="221">
        <f t="shared" ca="1" si="35"/>
        <v>39.700000000000003</v>
      </c>
      <c r="EZ11" s="221">
        <f t="shared" ca="1" si="35"/>
        <v>226.8</v>
      </c>
      <c r="FA11" s="163">
        <f t="shared" ref="FA11:FA47" ca="1" si="89">EY11 * EZ11</f>
        <v>9003.9600000000009</v>
      </c>
      <c r="FB11" s="162"/>
      <c r="FC11" s="221">
        <f t="shared" ca="1" si="36"/>
        <v>37.14</v>
      </c>
      <c r="FD11" s="221">
        <f t="shared" ca="1" si="36"/>
        <v>225.4</v>
      </c>
      <c r="FE11" s="163">
        <f t="shared" ref="FE11:FE47" ca="1" si="90">FC11 * FD11</f>
        <v>8371.3559999999998</v>
      </c>
      <c r="FF11" s="162"/>
      <c r="FG11" s="221">
        <f t="shared" ca="1" si="37"/>
        <v>31.225000000000001</v>
      </c>
      <c r="FH11" s="221">
        <f t="shared" ca="1" si="37"/>
        <v>226.4</v>
      </c>
      <c r="FI11" s="163">
        <f t="shared" ref="FI11:FI47" ca="1" si="91">FG11 * FH11</f>
        <v>7069.34</v>
      </c>
      <c r="FJ11" s="162"/>
      <c r="FK11" s="221">
        <f t="shared" ca="1" si="38"/>
        <v>29.245000000000001</v>
      </c>
      <c r="FL11" s="221">
        <f t="shared" ca="1" si="38"/>
        <v>226.2</v>
      </c>
      <c r="FM11" s="163">
        <f t="shared" ref="FM11:FM47" ca="1" si="92">FK11 * FL11</f>
        <v>6615.2190000000001</v>
      </c>
      <c r="FN11" s="162"/>
      <c r="FO11" s="221">
        <f t="shared" ca="1" si="39"/>
        <v>28.86</v>
      </c>
      <c r="FP11" s="221">
        <f t="shared" ca="1" si="39"/>
        <v>222.2</v>
      </c>
      <c r="FQ11" s="163">
        <f t="shared" ref="FQ11:FQ47" ca="1" si="93">FO11 * FP11</f>
        <v>6412.6919999999991</v>
      </c>
      <c r="FR11" s="162"/>
      <c r="FS11" s="221">
        <f t="shared" ca="1" si="40"/>
        <v>31.5</v>
      </c>
      <c r="FT11" s="221">
        <f t="shared" ca="1" si="40"/>
        <v>221.6</v>
      </c>
      <c r="FU11" s="163">
        <f t="shared" ref="FU11:FU47" ca="1" si="94">FS11 * FT11</f>
        <v>6980.4</v>
      </c>
      <c r="FW11" s="221">
        <f t="shared" ca="1" si="41"/>
        <v>33.21</v>
      </c>
      <c r="FX11" s="221">
        <f t="shared" ca="1" si="41"/>
        <v>221.6</v>
      </c>
      <c r="FY11" s="163">
        <f t="shared" ref="FY11:FY47" ca="1" si="95">FW11 * FX11</f>
        <v>7359.3360000000002</v>
      </c>
      <c r="GA11" s="221">
        <f t="shared" ca="1" si="42"/>
        <v>27.704999999999998</v>
      </c>
      <c r="GB11" s="221">
        <f t="shared" ca="1" si="42"/>
        <v>221.6</v>
      </c>
      <c r="GC11" s="163">
        <f t="shared" ref="GC11:GC47" ca="1" si="96">GA11 * GB11</f>
        <v>6139.4279999999999</v>
      </c>
      <c r="GE11" s="221">
        <f t="shared" ca="1" si="43"/>
        <v>30.43</v>
      </c>
      <c r="GF11" s="221">
        <f t="shared" ca="1" si="43"/>
        <v>221.6</v>
      </c>
      <c r="GG11" s="163">
        <f t="shared" ref="GG11:GG47" ca="1" si="97">GE11 * GF11</f>
        <v>6743.2879999999996</v>
      </c>
      <c r="GI11" s="221">
        <f t="shared" ca="1" si="44"/>
        <v>28.405000000000001</v>
      </c>
      <c r="GJ11" s="221">
        <f t="shared" ca="1" si="44"/>
        <v>221.6</v>
      </c>
      <c r="GK11" s="163">
        <f t="shared" ref="GK11:GK47" ca="1" si="98">GI11 * GJ11</f>
        <v>6294.5479999999998</v>
      </c>
      <c r="GM11" s="221">
        <f t="shared" ca="1" si="45"/>
        <v>25.8</v>
      </c>
      <c r="GN11" s="221">
        <f t="shared" ca="1" si="45"/>
        <v>221.566</v>
      </c>
      <c r="GO11" s="163">
        <f t="shared" ref="GO11:GO47" ca="1" si="99">GM11 * GN11</f>
        <v>5716.4027999999998</v>
      </c>
      <c r="GQ11" s="221">
        <f t="shared" ca="1" si="46"/>
        <v>24.774999999999999</v>
      </c>
      <c r="GR11" s="221">
        <f t="shared" ca="1" si="46"/>
        <v>221.55199999999999</v>
      </c>
      <c r="GS11" s="163">
        <f t="shared" ref="GS11:GS47" ca="1" si="100">GQ11 * GR11</f>
        <v>5488.9507999999996</v>
      </c>
      <c r="GU11" s="221">
        <f t="shared" ca="1" si="47"/>
        <v>25.21</v>
      </c>
      <c r="GV11" s="221">
        <f t="shared" ca="1" si="47"/>
        <v>221.53399999999999</v>
      </c>
      <c r="GW11" s="163">
        <f t="shared" ref="GW11:GW47" ca="1" si="101">GU11 * GV11</f>
        <v>5584.8721400000004</v>
      </c>
      <c r="GY11" s="221">
        <f t="shared" ca="1" si="48"/>
        <v>25.09</v>
      </c>
      <c r="GZ11" s="221">
        <f t="shared" ca="1" si="48"/>
        <v>221.506</v>
      </c>
      <c r="HA11" s="163">
        <f t="shared" ref="HA11:HA47" ca="1" si="102">GY11 * GZ11</f>
        <v>5557.58554</v>
      </c>
      <c r="HC11" s="221">
        <f t="shared" ca="1" si="49"/>
        <v>21.954999999999998</v>
      </c>
      <c r="HD11" s="221">
        <f t="shared" ca="1" si="49"/>
        <v>221.536</v>
      </c>
      <c r="HE11" s="163">
        <f t="shared" ref="HE11:HE47" ca="1" si="103">HC11 * HD11</f>
        <v>4863.8228799999997</v>
      </c>
      <c r="HG11" s="221">
        <f t="shared" ca="1" si="50"/>
        <v>21.695</v>
      </c>
      <c r="HH11" s="221">
        <f t="shared" ca="1" si="50"/>
        <v>221.512</v>
      </c>
      <c r="HI11" s="163">
        <f t="shared" ref="HI11:HI47" ca="1" si="104">HG11 * HH11</f>
        <v>4805.7028399999999</v>
      </c>
      <c r="HK11" s="221">
        <f t="shared" ca="1" si="51"/>
        <v>22.785</v>
      </c>
      <c r="HL11" s="221">
        <f t="shared" ca="1" si="51"/>
        <v>221.43199999999999</v>
      </c>
      <c r="HM11" s="163">
        <f t="shared" ref="HM11:HM47" ca="1" si="105">HK11 * HL11</f>
        <v>5045.3281200000001</v>
      </c>
      <c r="HO11" s="148">
        <f t="shared" ca="1" si="52"/>
        <v>21.66</v>
      </c>
      <c r="HP11" s="148">
        <f t="shared" ca="1" si="52"/>
        <v>221.25200000000001</v>
      </c>
      <c r="HQ11" s="163">
        <f t="shared" ref="HQ11:HQ47" ca="1" si="106">HO11 * HP11</f>
        <v>4792.3183200000003</v>
      </c>
      <c r="HS11" s="148">
        <f t="shared" ca="1" si="53"/>
        <v>22.055</v>
      </c>
      <c r="HT11" s="148">
        <f t="shared" ca="1" si="53"/>
        <v>221.29400000000001</v>
      </c>
      <c r="HU11" s="163">
        <f t="shared" ref="HU11:HU47" ca="1" si="107">HS11 * HT11</f>
        <v>4880.6391700000004</v>
      </c>
      <c r="HX11" s="149">
        <f t="shared" ca="1" si="54"/>
        <v>108</v>
      </c>
    </row>
    <row r="12" spans="2:232" s="137" customFormat="1">
      <c r="B12" s="155">
        <f t="shared" ref="B12:B47" ca="1" si="108">OFFSET( B12, -1, 0 ) + 1</f>
        <v>3</v>
      </c>
      <c r="C12" s="146" t="str">
        <f t="shared" ca="1" si="0"/>
        <v>Ameren Corporation</v>
      </c>
      <c r="D12" s="138" t="str">
        <f t="shared" ca="1" si="0"/>
        <v>AEE</v>
      </c>
      <c r="E12" s="138">
        <f t="shared" ca="1" si="0"/>
        <v>4007308</v>
      </c>
      <c r="F12" s="147"/>
      <c r="G12" s="363">
        <f t="shared" ca="1" si="1"/>
        <v>89.14</v>
      </c>
      <c r="H12" s="363">
        <f t="shared" ca="1" si="1"/>
        <v>266.8</v>
      </c>
      <c r="I12" s="364">
        <f t="shared" ca="1" si="55"/>
        <v>23782.552</v>
      </c>
      <c r="J12" s="147"/>
      <c r="K12" s="147"/>
      <c r="L12" s="363">
        <f t="shared" ca="1" si="2"/>
        <v>87.46</v>
      </c>
      <c r="M12" s="363">
        <f t="shared" ca="1" si="2"/>
        <v>266.7</v>
      </c>
      <c r="N12" s="364">
        <f t="shared" ca="1" si="56"/>
        <v>23325.581999999999</v>
      </c>
      <c r="O12" s="147"/>
      <c r="P12" s="147"/>
      <c r="Q12" s="363">
        <f t="shared" ca="1" si="3"/>
        <v>71.11</v>
      </c>
      <c r="R12" s="363">
        <f t="shared" ca="1" si="3"/>
        <v>266.39999999999998</v>
      </c>
      <c r="S12" s="364">
        <f t="shared" ca="1" si="57"/>
        <v>18943.703999999998</v>
      </c>
      <c r="T12" s="147"/>
      <c r="U12" s="147"/>
      <c r="V12" s="363">
        <f t="shared" ca="1" si="4"/>
        <v>73.959999999999994</v>
      </c>
      <c r="W12" s="363">
        <f t="shared" ca="1" si="4"/>
        <v>263.5</v>
      </c>
      <c r="X12" s="364">
        <f t="shared" ca="1" si="58"/>
        <v>19488.46</v>
      </c>
      <c r="Y12" s="147"/>
      <c r="Z12" s="147"/>
      <c r="AA12" s="363">
        <f t="shared" ca="1" si="5"/>
        <v>72.34</v>
      </c>
      <c r="AB12" s="363">
        <f t="shared" ca="1" si="5"/>
        <v>262.8</v>
      </c>
      <c r="AC12" s="364">
        <f t="shared" ca="1" si="59"/>
        <v>19010.952000000001</v>
      </c>
      <c r="AD12" s="147"/>
      <c r="AE12" s="147"/>
      <c r="AF12" s="363">
        <f t="shared" ca="1" si="6"/>
        <v>74.83</v>
      </c>
      <c r="AG12" s="363">
        <f t="shared" ca="1" si="6"/>
        <v>262.60000000000002</v>
      </c>
      <c r="AH12" s="364">
        <f t="shared" ca="1" si="60"/>
        <v>19650.358</v>
      </c>
      <c r="AI12" s="147"/>
      <c r="AJ12" s="147"/>
      <c r="AK12" s="363">
        <f t="shared" ca="1" si="7"/>
        <v>81.67</v>
      </c>
      <c r="AL12" s="363">
        <f t="shared" ca="1" si="7"/>
        <v>262.2</v>
      </c>
      <c r="AM12" s="364">
        <f t="shared" ca="1" si="61"/>
        <v>21413.874</v>
      </c>
      <c r="AN12" s="147"/>
      <c r="AO12" s="147"/>
      <c r="AP12" s="363">
        <f t="shared" ca="1" si="8"/>
        <v>86.39</v>
      </c>
      <c r="AQ12" s="363">
        <f t="shared" ca="1" si="8"/>
        <v>258.39999999999998</v>
      </c>
      <c r="AR12" s="364">
        <f t="shared" ca="1" si="62"/>
        <v>22323.175999999999</v>
      </c>
      <c r="AS12" s="147"/>
      <c r="AT12" s="147"/>
      <c r="AU12" s="363">
        <f t="shared" ca="1" si="9"/>
        <v>88.92</v>
      </c>
      <c r="AV12" s="363">
        <f t="shared" ca="1" si="9"/>
        <v>258.39999999999998</v>
      </c>
      <c r="AW12" s="364">
        <f t="shared" ca="1" si="63"/>
        <v>22976.928</v>
      </c>
      <c r="AX12" s="147"/>
      <c r="AY12" s="147"/>
      <c r="AZ12" s="363">
        <f t="shared" ca="1" si="10"/>
        <v>80.55</v>
      </c>
      <c r="BA12" s="363">
        <f t="shared" ca="1" si="10"/>
        <v>258.2</v>
      </c>
      <c r="BB12" s="364">
        <f t="shared" ca="1" si="64"/>
        <v>20798.009999999998</v>
      </c>
      <c r="BC12" s="147"/>
      <c r="BD12" s="147"/>
      <c r="BE12" s="363">
        <f t="shared" ca="1" si="11"/>
        <v>90.36</v>
      </c>
      <c r="BF12" s="363">
        <f t="shared" ca="1" si="11"/>
        <v>257.89999999999998</v>
      </c>
      <c r="BG12" s="364">
        <f t="shared" ca="1" si="65"/>
        <v>23303.843999999997</v>
      </c>
      <c r="BH12" s="147"/>
      <c r="BI12" s="147"/>
      <c r="BJ12" s="363">
        <f t="shared" ca="1" si="12"/>
        <v>93.76</v>
      </c>
      <c r="BK12" s="363">
        <f t="shared" ca="1" si="12"/>
        <v>256.3</v>
      </c>
      <c r="BL12" s="364">
        <f t="shared" ca="1" si="66"/>
        <v>24030.688000000002</v>
      </c>
      <c r="BM12" s="147"/>
      <c r="BN12" s="147"/>
      <c r="BO12" s="363">
        <f t="shared" ca="1" si="13"/>
        <v>89.01</v>
      </c>
      <c r="BP12" s="363">
        <f t="shared" ca="1" si="13"/>
        <v>257.3</v>
      </c>
      <c r="BQ12" s="364">
        <f t="shared" ca="1" si="67"/>
        <v>22902.273000000001</v>
      </c>
      <c r="BR12" s="162"/>
      <c r="BS12" s="363">
        <f t="shared" ca="1" si="14"/>
        <v>81</v>
      </c>
      <c r="BT12" s="363">
        <f t="shared" ca="1" si="14"/>
        <v>256.10000000000002</v>
      </c>
      <c r="BU12" s="364">
        <f t="shared" ca="1" si="68"/>
        <v>20744.100000000002</v>
      </c>
      <c r="BV12" s="162"/>
      <c r="BW12" s="363">
        <f ca="1">OFFSET( INDIRECT( BW$6 &amp; BW$9 ), $HX12 - 1, BW$8 - 1 )</f>
        <v>80.040000000000006</v>
      </c>
      <c r="BX12" s="363">
        <f ca="1">OFFSET( INDIRECT( BX$6 &amp; BX$9 ), $HX12 - 1, BX$8 - 1 )</f>
        <v>254.4</v>
      </c>
      <c r="BY12" s="364">
        <f t="shared" ca="1" si="69"/>
        <v>20362.176000000003</v>
      </c>
      <c r="BZ12" s="162"/>
      <c r="CA12" s="363">
        <f ca="1">OFFSET( INDIRECT( CA$6 &amp; CA$9 ), $HX12 - 1, CA$8 - 1 )</f>
        <v>81.36</v>
      </c>
      <c r="CB12" s="363">
        <f ca="1">OFFSET( INDIRECT( CB$6 &amp; CB$9 ), $HX12 - 1, CB$8 - 1 )</f>
        <v>247</v>
      </c>
      <c r="CC12" s="364">
        <f t="shared" ca="1" si="70"/>
        <v>20095.919999999998</v>
      </c>
      <c r="CD12" s="162"/>
      <c r="CE12" s="363">
        <f ca="1">OFFSET( INDIRECT( CE$6 &amp; CE$9 ), $HX12 - 1, CE$8 - 1 )</f>
        <v>78.06</v>
      </c>
      <c r="CF12" s="363">
        <f ca="1">OFFSET( INDIRECT( CF$6 &amp; CF$9 ), $HX12 - 1, CF$8 - 1 )</f>
        <v>247.1</v>
      </c>
      <c r="CG12" s="364">
        <f t="shared" ca="1" si="71"/>
        <v>19288.626</v>
      </c>
      <c r="CH12" s="162"/>
      <c r="CI12" s="363">
        <f ca="1">OFFSET( INDIRECT( CI$6 &amp; CI$9 ), $HX12 - 1, CI$8 - 1 )</f>
        <v>79.08</v>
      </c>
      <c r="CJ12" s="363">
        <f ca="1">OFFSET( INDIRECT( CJ$6 &amp; CJ$9 ), $HX12 - 1, CJ$8 - 1 )</f>
        <v>246.9</v>
      </c>
      <c r="CK12" s="364">
        <f t="shared" ca="1" si="72"/>
        <v>19524.851999999999</v>
      </c>
      <c r="CL12" s="162"/>
      <c r="CM12" s="363">
        <f ca="1">OFFSET( INDIRECT( CM$6 &amp; CM$9 ), $HX12 - 1, CM$8 - 1 )</f>
        <v>70.36</v>
      </c>
      <c r="CN12" s="363">
        <f ca="1">OFFSET( INDIRECT( CN$6 &amp; CN$9 ), $HX12 - 1, CN$8 - 1 )</f>
        <v>246.4</v>
      </c>
      <c r="CO12" s="364">
        <f t="shared" ca="1" si="73"/>
        <v>17336.704000000002</v>
      </c>
      <c r="CP12" s="162"/>
      <c r="CQ12" s="221">
        <f ca="1">OFFSET( INDIRECT( CQ$6 &amp; CQ$9 ), $HX12 - 1, CQ$8 - 1 )</f>
        <v>72.83</v>
      </c>
      <c r="CR12" s="221">
        <f ca="1">OFFSET( INDIRECT( CR$6 &amp; CR$9 ), $HX12 - 1, CR$8 - 1 )</f>
        <v>245.6</v>
      </c>
      <c r="CS12" s="163">
        <f t="shared" ca="1" si="74"/>
        <v>17887.047999999999</v>
      </c>
      <c r="CT12" s="162"/>
      <c r="CU12" s="221">
        <f ca="1">OFFSET( INDIRECT( CU$6 &amp; CU$9 ), $HX12 - 1, CU$8 - 1 )</f>
        <v>76.8</v>
      </c>
      <c r="CV12" s="221">
        <f ca="1">OFFSET( INDIRECT( CV$6 &amp; CV$9 ), $HX12 - 1, CV$8 - 1 )</f>
        <v>245.9</v>
      </c>
      <c r="CW12" s="163">
        <f t="shared" ca="1" si="75"/>
        <v>18885.12</v>
      </c>
      <c r="CX12" s="162"/>
      <c r="CY12" s="221">
        <f ca="1">OFFSET( INDIRECT( CY$6 &amp; CY$9 ), $HX12 - 1, CY$8 - 1 )</f>
        <v>80.05</v>
      </c>
      <c r="CZ12" s="221">
        <f ca="1">OFFSET( INDIRECT( CZ$6 &amp; CZ$9 ), $HX12 - 1, CZ$8 - 1 )</f>
        <v>245.6</v>
      </c>
      <c r="DA12" s="163">
        <f t="shared" ca="1" si="76"/>
        <v>19660.28</v>
      </c>
      <c r="DB12" s="162"/>
      <c r="DC12" s="221">
        <f ca="1">OFFSET( INDIRECT( DC$6 &amp; DC$9 ), $HX12 - 1, DC$8 - 1 )</f>
        <v>75.11</v>
      </c>
      <c r="DD12" s="221">
        <f ca="1">OFFSET( INDIRECT( DD$6 &amp; DD$9 ), $HX12 - 1, DD$8 - 1 )</f>
        <v>244.9</v>
      </c>
      <c r="DE12" s="163">
        <f t="shared" ca="1" si="77"/>
        <v>18394.438999999998</v>
      </c>
      <c r="DF12" s="162"/>
      <c r="DG12" s="221">
        <f ca="1">OFFSET( INDIRECT( DG$6 &amp; DG$9 ), $HX12 - 1, DG$8 - 1 )</f>
        <v>73.55</v>
      </c>
      <c r="DH12" s="221">
        <f ca="1">OFFSET( INDIRECT( DH$6 &amp; DH$9 ), $HX12 - 1, DH$8 - 1 )</f>
        <v>243.8</v>
      </c>
      <c r="DI12" s="163">
        <f t="shared" ca="1" si="78"/>
        <v>17931.490000000002</v>
      </c>
      <c r="DJ12" s="162"/>
      <c r="DK12" s="221">
        <f ca="1">OFFSET( INDIRECT( DK$6 &amp; DK$9 ), $HX12 - 1, DK$8 - 1 )</f>
        <v>65.23</v>
      </c>
      <c r="DL12" s="221">
        <f ca="1">OFFSET( INDIRECT( DL$6 &amp; DL$9 ), $HX12 - 1, DL$8 - 1 )</f>
        <v>244.1</v>
      </c>
      <c r="DM12" s="163">
        <f t="shared" ca="1" si="79"/>
        <v>15922.643</v>
      </c>
      <c r="DN12" s="162"/>
      <c r="DO12" s="221">
        <f ca="1">OFFSET( INDIRECT( DO$6 &amp; DO$9 ), $HX12 - 1, DO$8 - 1 )</f>
        <v>63.22</v>
      </c>
      <c r="DP12" s="221">
        <f ca="1">OFFSET( INDIRECT( DP$6 &amp; DP$9 ), $HX12 - 1, DP$8 - 1 )</f>
        <v>243.7</v>
      </c>
      <c r="DQ12" s="163">
        <f t="shared" ca="1" si="80"/>
        <v>15406.713999999998</v>
      </c>
      <c r="DR12" s="162"/>
      <c r="DS12" s="221">
        <f ca="1">OFFSET( INDIRECT( DS$6 &amp; DS$9 ), $HX12 - 1, DS$8 - 1 )</f>
        <v>60.85</v>
      </c>
      <c r="DT12" s="221">
        <f ca="1">OFFSET( INDIRECT( DT$6 &amp; DT$9 ), $HX12 - 1, DT$8 - 1 )</f>
        <v>242.9</v>
      </c>
      <c r="DU12" s="163">
        <f t="shared" ca="1" si="81"/>
        <v>14780.465</v>
      </c>
      <c r="DV12" s="162"/>
      <c r="DW12" s="221">
        <f ca="1">OFFSET( INDIRECT( DW$6 &amp; DW$9 ), $HX12 - 1, DW$8 - 1 )</f>
        <v>56.63</v>
      </c>
      <c r="DX12" s="221">
        <f ca="1">OFFSET( INDIRECT( DX$6 &amp; DX$9 ), $HX12 - 1, DX$8 - 1 )</f>
        <v>242.6</v>
      </c>
      <c r="DY12" s="163">
        <f t="shared" ca="1" si="82"/>
        <v>13738.438</v>
      </c>
      <c r="DZ12" s="162"/>
      <c r="EA12" s="221">
        <f ca="1">OFFSET( INDIRECT( EA$6 &amp; EA$9 ), $HX12 - 1, EA$8 - 1 )</f>
        <v>58.99</v>
      </c>
      <c r="EB12" s="221">
        <f ca="1">OFFSET( INDIRECT( EB$6 &amp; EB$9 ), $HX12 - 1, EB$8 - 1 )</f>
        <v>242.6</v>
      </c>
      <c r="EC12" s="163">
        <f t="shared" ca="1" si="83"/>
        <v>14310.974</v>
      </c>
      <c r="ED12" s="162"/>
      <c r="EE12" s="221">
        <f ca="1">OFFSET( INDIRECT( EE$6 &amp; EE$9 ), $HX12 - 1, EE$8 - 1 )</f>
        <v>57.84</v>
      </c>
      <c r="EF12" s="221">
        <f ca="1">OFFSET( INDIRECT( EF$6 &amp; EF$9 ), $HX12 - 1, EF$8 - 1 )</f>
        <v>242.6</v>
      </c>
      <c r="EG12" s="163">
        <f t="shared" ca="1" si="84"/>
        <v>14031.984</v>
      </c>
      <c r="EH12" s="162"/>
      <c r="EI12" s="221">
        <f ca="1">OFFSET( INDIRECT( EI$6 &amp; EI$9 ), $HX12 - 1, EI$8 - 1 )</f>
        <v>54.67</v>
      </c>
      <c r="EJ12" s="221">
        <f ca="1">OFFSET( INDIRECT( EJ$6 &amp; EJ$9 ), $HX12 - 1, EJ$8 - 1 )</f>
        <v>242.6</v>
      </c>
      <c r="EK12" s="163">
        <f t="shared" ca="1" si="85"/>
        <v>13262.942000000001</v>
      </c>
      <c r="EL12" s="162"/>
      <c r="EM12" s="221">
        <f ca="1">OFFSET( INDIRECT( EM$6 &amp; EM$9 ), $HX12 - 1, EM$8 - 1 )</f>
        <v>54.59</v>
      </c>
      <c r="EN12" s="221">
        <f ca="1">OFFSET( INDIRECT( EN$6 &amp; EN$9 ), $HX12 - 1, EN$8 - 1 )</f>
        <v>242.6</v>
      </c>
      <c r="EO12" s="163">
        <f t="shared" ca="1" si="86"/>
        <v>13243.534</v>
      </c>
      <c r="EP12" s="162"/>
      <c r="EQ12" s="221">
        <f ca="1">OFFSET( INDIRECT( EQ$6 &amp; EQ$9 ), $HX12 - 1, EQ$8 - 1 )</f>
        <v>52.46</v>
      </c>
      <c r="ER12" s="221">
        <f ca="1">OFFSET( INDIRECT( ER$6 &amp; ER$9 ), $HX12 - 1, ER$8 - 1 )</f>
        <v>242.6</v>
      </c>
      <c r="ES12" s="163">
        <f t="shared" ca="1" si="87"/>
        <v>12726.796</v>
      </c>
      <c r="ET12" s="162"/>
      <c r="EU12" s="221">
        <f ca="1">OFFSET( INDIRECT( EU$6 &amp; EU$9 ), $HX12 - 1, EU$8 - 1 )</f>
        <v>49.18</v>
      </c>
      <c r="EV12" s="221">
        <f ca="1">OFFSET( INDIRECT( EV$6 &amp; EV$9 ), $HX12 - 1, EV$8 - 1 )</f>
        <v>242.6</v>
      </c>
      <c r="EW12" s="163">
        <f t="shared" ca="1" si="88"/>
        <v>11931.067999999999</v>
      </c>
      <c r="EX12" s="162"/>
      <c r="EY12" s="221">
        <f ca="1">OFFSET( INDIRECT( EY$6 &amp; EY$9 ), $HX12 - 1, EY$8 - 1 )</f>
        <v>53.58</v>
      </c>
      <c r="EZ12" s="221">
        <f ca="1">OFFSET( INDIRECT( EZ$6 &amp; EZ$9 ), $HX12 - 1, EZ$8 - 1 )</f>
        <v>242.6</v>
      </c>
      <c r="FA12" s="163">
        <f t="shared" ca="1" si="89"/>
        <v>12998.508</v>
      </c>
      <c r="FB12" s="162"/>
      <c r="FC12" s="221">
        <f ca="1">OFFSET( INDIRECT( FC$6 &amp; FC$9 ), $HX12 - 1, FC$8 - 1 )</f>
        <v>50.1</v>
      </c>
      <c r="FD12" s="221">
        <f ca="1">OFFSET( INDIRECT( FD$6 &amp; FD$9 ), $HX12 - 1, FD$8 - 1 )</f>
        <v>242.6</v>
      </c>
      <c r="FE12" s="163">
        <f t="shared" ca="1" si="90"/>
        <v>12154.26</v>
      </c>
      <c r="FF12" s="162"/>
      <c r="FG12" s="221">
        <f ca="1">OFFSET( INDIRECT( FG$6 &amp; FG$9 ), $HX12 - 1, FG$8 - 1 )</f>
        <v>43.23</v>
      </c>
      <c r="FH12" s="221">
        <f ca="1">OFFSET( INDIRECT( FH$6 &amp; FH$9 ), $HX12 - 1, FH$8 - 1 )</f>
        <v>242.6</v>
      </c>
      <c r="FI12" s="163">
        <f t="shared" ca="1" si="91"/>
        <v>10487.597999999998</v>
      </c>
      <c r="FJ12" s="162"/>
      <c r="FK12" s="221">
        <f ca="1">OFFSET( INDIRECT( FK$6 &amp; FK$9 ), $HX12 - 1, FK$8 - 1 )</f>
        <v>42.27</v>
      </c>
      <c r="FL12" s="221">
        <f ca="1">OFFSET( INDIRECT( FL$6 &amp; FL$9 ), $HX12 - 1, FL$8 - 1 )</f>
        <v>242.6</v>
      </c>
      <c r="FM12" s="163">
        <f t="shared" ca="1" si="92"/>
        <v>10254.702000000001</v>
      </c>
      <c r="FN12" s="162"/>
      <c r="FO12" s="221">
        <f ca="1">OFFSET( INDIRECT( FO$6 &amp; FO$9 ), $HX12 - 1, FO$8 - 1 )</f>
        <v>37.68</v>
      </c>
      <c r="FP12" s="221">
        <f ca="1">OFFSET( INDIRECT( FP$6 &amp; FP$9 ), $HX12 - 1, FP$8 - 1 )</f>
        <v>242.6</v>
      </c>
      <c r="FQ12" s="163">
        <f t="shared" ca="1" si="93"/>
        <v>9141.1679999999997</v>
      </c>
      <c r="FR12" s="162"/>
      <c r="FS12" s="221">
        <f ca="1">OFFSET( INDIRECT( FS$6 &amp; FS$9 ), $HX12 - 1, FS$8 - 1 )</f>
        <v>42.2</v>
      </c>
      <c r="FT12" s="221">
        <f ca="1">OFFSET( INDIRECT( FT$6 &amp; FT$9 ), $HX12 - 1, FT$8 - 1 )</f>
        <v>242.6</v>
      </c>
      <c r="FU12" s="163">
        <f t="shared" ca="1" si="94"/>
        <v>10237.720000000001</v>
      </c>
      <c r="FW12" s="221">
        <f ca="1">OFFSET( INDIRECT( FW$6 &amp; FW$9 ), $HX12 - 1, FW$8 - 1 )</f>
        <v>46.13</v>
      </c>
      <c r="FX12" s="221">
        <f ca="1">OFFSET( INDIRECT( FX$6 &amp; FX$9 ), $HX12 - 1, FX$8 - 1 )</f>
        <v>242.6</v>
      </c>
      <c r="FY12" s="163">
        <f t="shared" ca="1" si="95"/>
        <v>11191.138000000001</v>
      </c>
      <c r="GA12" s="221">
        <f ca="1">OFFSET( INDIRECT( GA$6 &amp; GA$9 ), $HX12 - 1, GA$8 - 1 )</f>
        <v>38.33</v>
      </c>
      <c r="GB12" s="221">
        <f ca="1">OFFSET( INDIRECT( GB$6 &amp; GB$9 ), $HX12 - 1, GB$8 - 1 )</f>
        <v>242.6</v>
      </c>
      <c r="GC12" s="163">
        <f t="shared" ca="1" si="96"/>
        <v>9298.8580000000002</v>
      </c>
      <c r="GE12" s="221">
        <f ca="1">OFFSET( INDIRECT( GE$6 &amp; GE$9 ), $HX12 - 1, GE$8 - 1 )</f>
        <v>40.880000000000003</v>
      </c>
      <c r="GF12" s="221">
        <f ca="1">OFFSET( INDIRECT( GF$6 &amp; GF$9 ), $HX12 - 1, GF$8 - 1 )</f>
        <v>242.6</v>
      </c>
      <c r="GG12" s="163">
        <f t="shared" ca="1" si="97"/>
        <v>9917.4880000000012</v>
      </c>
      <c r="GI12" s="221">
        <f ca="1">OFFSET( INDIRECT( GI$6 &amp; GI$9 ), $HX12 - 1, GI$8 - 1 )</f>
        <v>41.2</v>
      </c>
      <c r="GJ12" s="221">
        <f ca="1">OFFSET( INDIRECT( GJ$6 &amp; GJ$9 ), $HX12 - 1, GJ$8 - 1 )</f>
        <v>242.6</v>
      </c>
      <c r="GK12" s="163">
        <f t="shared" ca="1" si="98"/>
        <v>9995.1200000000008</v>
      </c>
      <c r="GM12" s="221">
        <f ca="1">OFFSET( INDIRECT( GM$6 &amp; GM$9 ), $HX12 - 1, GM$8 - 1 )</f>
        <v>36.159999999999997</v>
      </c>
      <c r="GN12" s="221">
        <f ca="1">OFFSET( INDIRECT( GN$6 &amp; GN$9 ), $HX12 - 1, GN$8 - 1 )</f>
        <v>242.6</v>
      </c>
      <c r="GO12" s="163">
        <f t="shared" ca="1" si="99"/>
        <v>8772.4159999999993</v>
      </c>
      <c r="GQ12" s="221">
        <f ca="1">OFFSET( INDIRECT( GQ$6 &amp; GQ$9 ), $HX12 - 1, GQ$8 - 1 )</f>
        <v>34.840000000000003</v>
      </c>
      <c r="GR12" s="221">
        <f ca="1">OFFSET( INDIRECT( GR$6 &amp; GR$9 ), $HX12 - 1, GR$8 - 1 )</f>
        <v>242.6</v>
      </c>
      <c r="GS12" s="163">
        <f t="shared" ca="1" si="100"/>
        <v>8452.1840000000011</v>
      </c>
      <c r="GU12" s="221">
        <f ca="1">OFFSET( INDIRECT( GU$6 &amp; GU$9 ), $HX12 - 1, GU$8 - 1 )</f>
        <v>34.44</v>
      </c>
      <c r="GV12" s="221">
        <f ca="1">OFFSET( INDIRECT( GV$6 &amp; GV$9 ), $HX12 - 1, GV$8 - 1 )</f>
        <v>242.6</v>
      </c>
      <c r="GW12" s="163">
        <f t="shared" ca="1" si="101"/>
        <v>8355.1439999999984</v>
      </c>
      <c r="GY12" s="221">
        <f ca="1">OFFSET( INDIRECT( GY$6 &amp; GY$9 ), $HX12 - 1, GY$8 - 1 )</f>
        <v>35.020000000000003</v>
      </c>
      <c r="GZ12" s="221">
        <f ca="1">OFFSET( INDIRECT( GZ$6 &amp; GZ$9 ), $HX12 - 1, GZ$8 - 1 )</f>
        <v>242.6</v>
      </c>
      <c r="HA12" s="163">
        <f t="shared" ca="1" si="102"/>
        <v>8495.8520000000008</v>
      </c>
      <c r="HC12" s="221">
        <f ca="1">OFFSET( INDIRECT( HC$6 &amp; HC$9 ), $HX12 - 1, HC$8 - 1 )</f>
        <v>30.72</v>
      </c>
      <c r="HD12" s="221">
        <f ca="1">OFFSET( INDIRECT( HD$6 &amp; HD$9 ), $HX12 - 1, HD$8 - 1 )</f>
        <v>242.6</v>
      </c>
      <c r="HE12" s="163">
        <f t="shared" ca="1" si="103"/>
        <v>7452.6719999999996</v>
      </c>
      <c r="HG12" s="221">
        <f ca="1">OFFSET( INDIRECT( HG$6 &amp; HG$9 ), $HX12 - 1, HG$8 - 1 )</f>
        <v>32.67</v>
      </c>
      <c r="HH12" s="221">
        <f ca="1">OFFSET( INDIRECT( HH$6 &amp; HH$9 ), $HX12 - 1, HH$8 - 1 )</f>
        <v>246.6</v>
      </c>
      <c r="HI12" s="163">
        <f t="shared" ca="1" si="104"/>
        <v>8056.4220000000005</v>
      </c>
      <c r="HK12" s="221">
        <f ca="1">OFFSET( INDIRECT( HK$6 &amp; HK$9 ), $HX12 - 1, HK$8 - 1 )</f>
        <v>33.54</v>
      </c>
      <c r="HL12" s="221">
        <f ca="1">OFFSET( INDIRECT( HL$6 &amp; HL$9 ), $HX12 - 1, HL$8 - 1 )</f>
        <v>242.6</v>
      </c>
      <c r="HM12" s="163">
        <f t="shared" ca="1" si="105"/>
        <v>8136.8039999999992</v>
      </c>
      <c r="HO12" s="148">
        <f ca="1">OFFSET( INDIRECT( HO$6 &amp; HO$9 ), $HX12 - 1, HO$8 - 1 )</f>
        <v>32.58</v>
      </c>
      <c r="HP12" s="148">
        <f ca="1">OFFSET( INDIRECT( HP$6 &amp; HP$9 ), $HX12 - 1, HP$8 - 1 )</f>
        <v>241.5</v>
      </c>
      <c r="HQ12" s="163">
        <f t="shared" ca="1" si="106"/>
        <v>7868.07</v>
      </c>
      <c r="HS12" s="148">
        <f ca="1">OFFSET( INDIRECT( HS$6 &amp; HS$9 ), $HX12 - 1, HS$8 - 1 )</f>
        <v>33.130000000000003</v>
      </c>
      <c r="HT12" s="148">
        <f ca="1">OFFSET( INDIRECT( HT$6 &amp; HT$9 ), $HX12 - 1, HT$8 - 1 )</f>
        <v>241.7</v>
      </c>
      <c r="HU12" s="163">
        <f t="shared" ca="1" si="107"/>
        <v>8007.5210000000006</v>
      </c>
      <c r="HX12" s="149">
        <f ca="1">MATCH( $D12, INDIRECT( HX$6 &amp; HX$9 ), 0 )</f>
        <v>65</v>
      </c>
    </row>
    <row r="13" spans="2:232" s="137" customFormat="1">
      <c r="B13" s="155">
        <f t="shared" ca="1" si="108"/>
        <v>4</v>
      </c>
      <c r="C13" s="146" t="str">
        <f t="shared" ca="1" si="0"/>
        <v>American Electric Power Company, Inc.</v>
      </c>
      <c r="D13" s="138" t="str">
        <f t="shared" ca="1" si="0"/>
        <v>AEP</v>
      </c>
      <c r="E13" s="138">
        <f t="shared" ca="1" si="0"/>
        <v>4006321</v>
      </c>
      <c r="F13" s="147"/>
      <c r="G13" s="363">
        <f t="shared" ca="1" si="1"/>
        <v>92.23</v>
      </c>
      <c r="H13" s="363">
        <f t="shared" ca="1" si="1"/>
        <v>532.20887600000003</v>
      </c>
      <c r="I13" s="364">
        <f t="shared" ca="1" si="55"/>
        <v>49085.624633480002</v>
      </c>
      <c r="J13" s="147"/>
      <c r="K13" s="147"/>
      <c r="L13" s="363">
        <f t="shared" ca="1" si="2"/>
        <v>102.6</v>
      </c>
      <c r="M13" s="363">
        <f t="shared" ca="1" si="2"/>
        <v>528.89881600000001</v>
      </c>
      <c r="N13" s="364">
        <f t="shared" ca="1" si="56"/>
        <v>54265.018521599995</v>
      </c>
      <c r="O13" s="147"/>
      <c r="P13" s="147"/>
      <c r="Q13" s="363">
        <f t="shared" ca="1" si="3"/>
        <v>87.74</v>
      </c>
      <c r="R13" s="363">
        <f t="shared" ca="1" si="3"/>
        <v>526.55203600000004</v>
      </c>
      <c r="S13" s="364">
        <f t="shared" ca="1" si="57"/>
        <v>46199.675638640001</v>
      </c>
      <c r="T13" s="147"/>
      <c r="U13" s="147"/>
      <c r="V13" s="363">
        <f t="shared" ca="1" si="4"/>
        <v>86.1</v>
      </c>
      <c r="W13" s="363">
        <f t="shared" ca="1" si="4"/>
        <v>526.03</v>
      </c>
      <c r="X13" s="364">
        <f t="shared" ca="1" si="58"/>
        <v>45291.182999999997</v>
      </c>
      <c r="Y13" s="147"/>
      <c r="Z13" s="147"/>
      <c r="AA13" s="363">
        <f t="shared" ca="1" si="5"/>
        <v>81.22</v>
      </c>
      <c r="AB13" s="363">
        <f t="shared" ca="1" si="5"/>
        <v>520.45988</v>
      </c>
      <c r="AC13" s="364">
        <f t="shared" ca="1" si="59"/>
        <v>42271.751453600002</v>
      </c>
      <c r="AD13" s="147"/>
      <c r="AE13" s="147"/>
      <c r="AF13" s="363">
        <f t="shared" ca="1" si="6"/>
        <v>75.22</v>
      </c>
      <c r="AG13" s="363">
        <f t="shared" ca="1" si="6"/>
        <v>514.87900000000002</v>
      </c>
      <c r="AH13" s="364">
        <f t="shared" ca="1" si="60"/>
        <v>38729.198380000002</v>
      </c>
      <c r="AI13" s="147"/>
      <c r="AJ13" s="147"/>
      <c r="AK13" s="363">
        <f t="shared" ca="1" si="7"/>
        <v>84.2</v>
      </c>
      <c r="AL13" s="363">
        <f t="shared" ca="1" si="7"/>
        <v>514.176648</v>
      </c>
      <c r="AM13" s="364">
        <f t="shared" ca="1" si="61"/>
        <v>43293.673761600003</v>
      </c>
      <c r="AN13" s="147"/>
      <c r="AO13" s="147"/>
      <c r="AP13" s="363">
        <f t="shared" ca="1" si="8"/>
        <v>90.99</v>
      </c>
      <c r="AQ13" s="363">
        <f t="shared" ca="1" si="8"/>
        <v>511.84194600000001</v>
      </c>
      <c r="AR13" s="364">
        <f t="shared" ca="1" si="62"/>
        <v>46572.498666539999</v>
      </c>
      <c r="AS13" s="147"/>
      <c r="AT13" s="147"/>
      <c r="AU13" s="363">
        <f t="shared" ca="1" si="9"/>
        <v>94.95</v>
      </c>
      <c r="AV13" s="363">
        <f t="shared" ca="1" si="9"/>
        <v>513.73019599999998</v>
      </c>
      <c r="AW13" s="364">
        <f t="shared" ca="1" si="63"/>
        <v>48778.682110199996</v>
      </c>
      <c r="AX13" s="147"/>
      <c r="AY13" s="147"/>
      <c r="AZ13" s="363">
        <f t="shared" ca="1" si="10"/>
        <v>86.45</v>
      </c>
      <c r="BA13" s="363">
        <f t="shared" ca="1" si="10"/>
        <v>513.62343099999998</v>
      </c>
      <c r="BB13" s="364">
        <f t="shared" ca="1" si="64"/>
        <v>44402.745609949998</v>
      </c>
      <c r="BC13" s="147"/>
      <c r="BD13" s="147"/>
      <c r="BE13" s="363">
        <f t="shared" ca="1" si="11"/>
        <v>95.94</v>
      </c>
      <c r="BF13" s="363">
        <f t="shared" ca="1" si="11"/>
        <v>506.05014699999998</v>
      </c>
      <c r="BG13" s="364">
        <f t="shared" ca="1" si="65"/>
        <v>48550.451103179999</v>
      </c>
      <c r="BH13" s="147"/>
      <c r="BI13" s="147"/>
      <c r="BJ13" s="363">
        <f t="shared" ca="1" si="12"/>
        <v>99.77</v>
      </c>
      <c r="BK13" s="363">
        <f t="shared" ca="1" si="12"/>
        <v>500.522177</v>
      </c>
      <c r="BL13" s="364">
        <f t="shared" ca="1" si="66"/>
        <v>49937.097599289998</v>
      </c>
      <c r="BM13" s="147"/>
      <c r="BN13" s="147"/>
      <c r="BO13" s="363">
        <f t="shared" ca="1" si="13"/>
        <v>88.97</v>
      </c>
      <c r="BP13" s="363">
        <f t="shared" ca="1" si="13"/>
        <v>501.23367999999999</v>
      </c>
      <c r="BQ13" s="364">
        <f t="shared" ca="1" si="67"/>
        <v>44594.760509599997</v>
      </c>
      <c r="BR13" s="162"/>
      <c r="BS13" s="363">
        <f t="shared" ca="1" si="14"/>
        <v>81.180000000000007</v>
      </c>
      <c r="BT13" s="363">
        <f t="shared" ca="1" si="14"/>
        <v>499.91663999999997</v>
      </c>
      <c r="BU13" s="364">
        <f t="shared" ca="1" si="68"/>
        <v>40583.232835200004</v>
      </c>
      <c r="BV13" s="162"/>
      <c r="BW13" s="363">
        <f t="shared" ca="1" si="15"/>
        <v>84.59</v>
      </c>
      <c r="BX13" s="363">
        <f t="shared" ca="1" si="15"/>
        <v>497.05863499999998</v>
      </c>
      <c r="BY13" s="364">
        <f t="shared" ca="1" si="69"/>
        <v>42046.189934649999</v>
      </c>
      <c r="BZ13" s="162"/>
      <c r="CA13" s="363">
        <f t="shared" ca="1" si="16"/>
        <v>84.7</v>
      </c>
      <c r="CB13" s="363">
        <f t="shared" ca="1" si="16"/>
        <v>495.71822300000002</v>
      </c>
      <c r="CC13" s="364">
        <f t="shared" ca="1" si="70"/>
        <v>41987.333488100005</v>
      </c>
      <c r="CD13" s="162"/>
      <c r="CE13" s="363">
        <f t="shared" ca="1" si="17"/>
        <v>83.27</v>
      </c>
      <c r="CF13" s="363">
        <f t="shared" ca="1" si="17"/>
        <v>496.17796800000002</v>
      </c>
      <c r="CG13" s="364">
        <f t="shared" ca="1" si="71"/>
        <v>41316.739395359997</v>
      </c>
      <c r="CH13" s="162"/>
      <c r="CI13" s="363">
        <f t="shared" ca="1" si="18"/>
        <v>81.73</v>
      </c>
      <c r="CJ13" s="363">
        <f t="shared" ca="1" si="18"/>
        <v>495.65505300000001</v>
      </c>
      <c r="CK13" s="364">
        <f t="shared" ca="1" si="72"/>
        <v>40509.887481690006</v>
      </c>
      <c r="CL13" s="162"/>
      <c r="CM13" s="363">
        <f t="shared" ca="1" si="19"/>
        <v>79.64</v>
      </c>
      <c r="CN13" s="363">
        <f t="shared" ca="1" si="19"/>
        <v>494.59686900000003</v>
      </c>
      <c r="CO13" s="364">
        <f t="shared" ca="1" si="73"/>
        <v>39389.694647160002</v>
      </c>
      <c r="CP13" s="162"/>
      <c r="CQ13" s="221">
        <f t="shared" ca="1" si="20"/>
        <v>79.98</v>
      </c>
      <c r="CR13" s="221">
        <f t="shared" ca="1" si="20"/>
        <v>493.694345</v>
      </c>
      <c r="CS13" s="163">
        <f t="shared" ca="1" si="74"/>
        <v>39485.673713100005</v>
      </c>
      <c r="CT13" s="162"/>
      <c r="CU13" s="221">
        <f t="shared" ca="1" si="21"/>
        <v>94.51</v>
      </c>
      <c r="CV13" s="221">
        <f t="shared" ca="1" si="21"/>
        <v>493.83903400000003</v>
      </c>
      <c r="CW13" s="163">
        <f t="shared" ca="1" si="75"/>
        <v>46672.727103340003</v>
      </c>
      <c r="CX13" s="162"/>
      <c r="CY13" s="221">
        <f t="shared" ca="1" si="22"/>
        <v>93.69</v>
      </c>
      <c r="CZ13" s="221">
        <f t="shared" ca="1" si="22"/>
        <v>493.58434699999998</v>
      </c>
      <c r="DA13" s="163">
        <f t="shared" ca="1" si="76"/>
        <v>46243.917470429995</v>
      </c>
      <c r="DB13" s="162"/>
      <c r="DC13" s="221">
        <f t="shared" ca="1" si="23"/>
        <v>88.01</v>
      </c>
      <c r="DD13" s="221">
        <f t="shared" ca="1" si="23"/>
        <v>493.309076</v>
      </c>
      <c r="DE13" s="163">
        <f t="shared" ca="1" si="77"/>
        <v>43416.131778760006</v>
      </c>
      <c r="DF13" s="162"/>
      <c r="DG13" s="221">
        <f t="shared" ca="1" si="24"/>
        <v>83.75</v>
      </c>
      <c r="DH13" s="221">
        <f t="shared" ca="1" si="24"/>
        <v>492.77460000000002</v>
      </c>
      <c r="DI13" s="163">
        <f t="shared" ca="1" si="78"/>
        <v>41269.872750000002</v>
      </c>
      <c r="DJ13" s="162"/>
      <c r="DK13" s="221">
        <f t="shared" ca="1" si="25"/>
        <v>74.739999999999995</v>
      </c>
      <c r="DL13" s="221">
        <f t="shared" ca="1" si="25"/>
        <v>492.98474099999999</v>
      </c>
      <c r="DM13" s="163">
        <f t="shared" ca="1" si="79"/>
        <v>36845.679542339996</v>
      </c>
      <c r="DN13" s="162"/>
      <c r="DO13" s="221">
        <f t="shared" ca="1" si="26"/>
        <v>70.88</v>
      </c>
      <c r="DP13" s="221">
        <f t="shared" ca="1" si="26"/>
        <v>492.68834199999998</v>
      </c>
      <c r="DQ13" s="163">
        <f t="shared" ca="1" si="80"/>
        <v>34921.749680959998</v>
      </c>
      <c r="DR13" s="162"/>
      <c r="DS13" s="221">
        <f t="shared" ca="1" si="27"/>
        <v>69.25</v>
      </c>
      <c r="DT13" s="221">
        <f t="shared" ca="1" si="27"/>
        <v>492.267402</v>
      </c>
      <c r="DU13" s="163">
        <f t="shared" ca="1" si="81"/>
        <v>34089.517588499999</v>
      </c>
      <c r="DV13" s="162"/>
      <c r="DW13" s="221">
        <f t="shared" ca="1" si="28"/>
        <v>68.59</v>
      </c>
      <c r="DX13" s="221">
        <f t="shared" ca="1" si="28"/>
        <v>491.91367500000001</v>
      </c>
      <c r="DY13" s="163">
        <f t="shared" ca="1" si="82"/>
        <v>33740.358968250002</v>
      </c>
      <c r="DZ13" s="162"/>
      <c r="EA13" s="221">
        <f t="shared" ca="1" si="29"/>
        <v>73.569999999999993</v>
      </c>
      <c r="EB13" s="221">
        <f t="shared" ca="1" si="29"/>
        <v>491.84072200000003</v>
      </c>
      <c r="EC13" s="163">
        <f t="shared" ca="1" si="83"/>
        <v>36184.721917540002</v>
      </c>
      <c r="ED13" s="162"/>
      <c r="EE13" s="221">
        <f t="shared" ca="1" si="30"/>
        <v>70.239999999999995</v>
      </c>
      <c r="EF13" s="221">
        <f t="shared" ca="1" si="30"/>
        <v>491.790752</v>
      </c>
      <c r="EG13" s="163">
        <f t="shared" ca="1" si="84"/>
        <v>34543.382420479997</v>
      </c>
      <c r="EH13" s="162"/>
      <c r="EI13" s="221">
        <f t="shared" ca="1" si="31"/>
        <v>69.47</v>
      </c>
      <c r="EJ13" s="221">
        <f t="shared" ca="1" si="31"/>
        <v>491.712042</v>
      </c>
      <c r="EK13" s="163">
        <f t="shared" ca="1" si="85"/>
        <v>34159.235557740001</v>
      </c>
      <c r="EL13" s="162"/>
      <c r="EM13" s="221">
        <f t="shared" ca="1" si="32"/>
        <v>67.13</v>
      </c>
      <c r="EN13" s="221">
        <f t="shared" ca="1" si="32"/>
        <v>491.49545799999999</v>
      </c>
      <c r="EO13" s="163">
        <f t="shared" ca="1" si="86"/>
        <v>32994.090095539999</v>
      </c>
      <c r="EP13" s="162"/>
      <c r="EQ13" s="221">
        <f t="shared" ca="1" si="33"/>
        <v>62.96</v>
      </c>
      <c r="ER13" s="221">
        <f t="shared" ca="1" si="33"/>
        <v>491.69780900000001</v>
      </c>
      <c r="ES13" s="163">
        <f t="shared" ca="1" si="87"/>
        <v>30957.294054640002</v>
      </c>
      <c r="ET13" s="162"/>
      <c r="EU13" s="221">
        <f t="shared" ca="1" si="34"/>
        <v>64.209999999999994</v>
      </c>
      <c r="EV13" s="221">
        <f t="shared" ca="1" si="34"/>
        <v>491.459541</v>
      </c>
      <c r="EW13" s="163">
        <f t="shared" ca="1" si="88"/>
        <v>31556.617127609996</v>
      </c>
      <c r="EX13" s="162"/>
      <c r="EY13" s="221">
        <f t="shared" ca="1" si="35"/>
        <v>70.09</v>
      </c>
      <c r="EZ13" s="221">
        <f t="shared" ca="1" si="35"/>
        <v>491.10839199999998</v>
      </c>
      <c r="FA13" s="163">
        <f t="shared" ca="1" si="89"/>
        <v>34421.787195279998</v>
      </c>
      <c r="FB13" s="162"/>
      <c r="FC13" s="221">
        <f t="shared" ca="1" si="36"/>
        <v>66.400000000000006</v>
      </c>
      <c r="FD13" s="221">
        <f t="shared" ca="1" si="36"/>
        <v>490.34052200000002</v>
      </c>
      <c r="FE13" s="163">
        <f t="shared" ca="1" si="90"/>
        <v>32558.610660800005</v>
      </c>
      <c r="FF13" s="162"/>
      <c r="FG13" s="221">
        <f t="shared" ca="1" si="37"/>
        <v>58.27</v>
      </c>
      <c r="FH13" s="221">
        <f t="shared" ca="1" si="37"/>
        <v>490.64892900000001</v>
      </c>
      <c r="FI13" s="163">
        <f t="shared" ca="1" si="91"/>
        <v>28590.113092830001</v>
      </c>
      <c r="FJ13" s="162"/>
      <c r="FK13" s="221">
        <f t="shared" ca="1" si="38"/>
        <v>56.86</v>
      </c>
      <c r="FL13" s="221">
        <f t="shared" ca="1" si="38"/>
        <v>490.20748200000003</v>
      </c>
      <c r="FM13" s="163">
        <f t="shared" ca="1" si="92"/>
        <v>27873.197426520001</v>
      </c>
      <c r="FN13" s="162"/>
      <c r="FO13" s="221">
        <f t="shared" ca="1" si="39"/>
        <v>52.97</v>
      </c>
      <c r="FP13" s="221">
        <f t="shared" ca="1" si="39"/>
        <v>489.59798599999999</v>
      </c>
      <c r="FQ13" s="163">
        <f t="shared" ca="1" si="93"/>
        <v>25934.005318420001</v>
      </c>
      <c r="FR13" s="162"/>
      <c r="FS13" s="221">
        <f t="shared" ca="1" si="40"/>
        <v>56.25</v>
      </c>
      <c r="FT13" s="221">
        <f t="shared" ca="1" si="40"/>
        <v>489.28893699999998</v>
      </c>
      <c r="FU13" s="163">
        <f t="shared" ca="1" si="94"/>
        <v>27522.502706249998</v>
      </c>
      <c r="FW13" s="221">
        <f t="shared" ca="1" si="41"/>
        <v>60.72</v>
      </c>
      <c r="FX13" s="221">
        <f t="shared" ca="1" si="41"/>
        <v>488.912892</v>
      </c>
      <c r="FY13" s="163">
        <f t="shared" ca="1" si="95"/>
        <v>29686.790802240001</v>
      </c>
      <c r="GA13" s="221">
        <f t="shared" ca="1" si="42"/>
        <v>52.21</v>
      </c>
      <c r="GB13" s="221">
        <f t="shared" ca="1" si="42"/>
        <v>488.29157600000002</v>
      </c>
      <c r="GC13" s="163">
        <f t="shared" ca="1" si="96"/>
        <v>25493.703182960002</v>
      </c>
      <c r="GE13" s="221">
        <f t="shared" ca="1" si="43"/>
        <v>55.77</v>
      </c>
      <c r="GF13" s="221">
        <f t="shared" ca="1" si="43"/>
        <v>487.86708900000002</v>
      </c>
      <c r="GG13" s="163">
        <f t="shared" ca="1" si="97"/>
        <v>27208.347553530002</v>
      </c>
      <c r="GI13" s="221">
        <f t="shared" ca="1" si="44"/>
        <v>50.66</v>
      </c>
      <c r="GJ13" s="221">
        <f t="shared" ca="1" si="44"/>
        <v>486.61955499999999</v>
      </c>
      <c r="GK13" s="163">
        <f t="shared" ca="1" si="98"/>
        <v>24652.146656299999</v>
      </c>
      <c r="GM13" s="221">
        <f t="shared" ca="1" si="45"/>
        <v>46.74</v>
      </c>
      <c r="GN13" s="221">
        <f t="shared" ca="1" si="45"/>
        <v>486.93274700000001</v>
      </c>
      <c r="GO13" s="163">
        <f t="shared" ca="1" si="99"/>
        <v>22759.236594780003</v>
      </c>
      <c r="GQ13" s="221">
        <f t="shared" ca="1" si="46"/>
        <v>43.35</v>
      </c>
      <c r="GR13" s="221">
        <f t="shared" ca="1" si="46"/>
        <v>486.293026</v>
      </c>
      <c r="GS13" s="163">
        <f t="shared" ca="1" si="100"/>
        <v>21080.8026771</v>
      </c>
      <c r="GU13" s="221">
        <f t="shared" ca="1" si="47"/>
        <v>44.78</v>
      </c>
      <c r="GV13" s="221">
        <f t="shared" ca="1" si="47"/>
        <v>485.823668</v>
      </c>
      <c r="GW13" s="163">
        <f t="shared" ca="1" si="101"/>
        <v>21755.183853040002</v>
      </c>
      <c r="GY13" s="221">
        <f t="shared" ca="1" si="48"/>
        <v>48.63</v>
      </c>
      <c r="GZ13" s="221">
        <f t="shared" ca="1" si="48"/>
        <v>484.68246900000003</v>
      </c>
      <c r="HA13" s="163">
        <f t="shared" ca="1" si="102"/>
        <v>23570.108467470003</v>
      </c>
      <c r="HC13" s="221">
        <f t="shared" ca="1" si="49"/>
        <v>42.68</v>
      </c>
      <c r="HD13" s="221">
        <f t="shared" ca="1" si="49"/>
        <v>484.97954299999998</v>
      </c>
      <c r="HE13" s="163">
        <f t="shared" ca="1" si="103"/>
        <v>20698.926895239998</v>
      </c>
      <c r="HG13" s="221">
        <f t="shared" ca="1" si="50"/>
        <v>43.94</v>
      </c>
      <c r="HH13" s="221">
        <f t="shared" ca="1" si="50"/>
        <v>484.50002899999998</v>
      </c>
      <c r="HI13" s="163">
        <f t="shared" ca="1" si="104"/>
        <v>21288.931274259998</v>
      </c>
      <c r="HK13" s="221">
        <f t="shared" ca="1" si="51"/>
        <v>39.9</v>
      </c>
      <c r="HL13" s="221">
        <f t="shared" ca="1" si="51"/>
        <v>483.828101</v>
      </c>
      <c r="HM13" s="163">
        <f t="shared" ca="1" si="105"/>
        <v>19304.741229899999</v>
      </c>
      <c r="HO13" s="148">
        <f t="shared" ca="1" si="52"/>
        <v>38.58</v>
      </c>
      <c r="HP13" s="148">
        <f t="shared" ca="1" si="52"/>
        <v>482.16928200000001</v>
      </c>
      <c r="HQ13" s="163">
        <f t="shared" ca="1" si="106"/>
        <v>18602.09089956</v>
      </c>
      <c r="HS13" s="148">
        <f t="shared" ca="1" si="53"/>
        <v>41.31</v>
      </c>
      <c r="HT13" s="148">
        <f t="shared" ca="1" si="53"/>
        <v>482.49873400000001</v>
      </c>
      <c r="HU13" s="163">
        <f t="shared" ca="1" si="107"/>
        <v>19932.022701540001</v>
      </c>
      <c r="HX13" s="149">
        <f t="shared" ca="1" si="54"/>
        <v>11</v>
      </c>
    </row>
    <row r="14" spans="2:232" s="137" customFormat="1">
      <c r="B14" s="155">
        <f t="shared" ca="1" si="108"/>
        <v>5</v>
      </c>
      <c r="C14" s="146" t="str">
        <f t="shared" ca="1" si="0"/>
        <v>Avista Corporation</v>
      </c>
      <c r="D14" s="138" t="str">
        <f t="shared" ca="1" si="0"/>
        <v>AVA</v>
      </c>
      <c r="E14" s="138">
        <f t="shared" ca="1" si="0"/>
        <v>4057075</v>
      </c>
      <c r="F14" s="147"/>
      <c r="G14" s="363">
        <f t="shared" ca="1" si="1"/>
        <v>36.630000000000003</v>
      </c>
      <c r="H14" s="363">
        <f t="shared" ca="1" si="1"/>
        <v>78.835999999999999</v>
      </c>
      <c r="I14" s="364">
        <f t="shared" ca="1" si="55"/>
        <v>2887.7626800000003</v>
      </c>
      <c r="J14" s="147"/>
      <c r="K14" s="147"/>
      <c r="L14" s="363">
        <f t="shared" ca="1" si="2"/>
        <v>38.75</v>
      </c>
      <c r="M14" s="363">
        <f t="shared" ca="1" si="2"/>
        <v>78.39</v>
      </c>
      <c r="N14" s="364">
        <f t="shared" ca="1" si="56"/>
        <v>3037.6125000000002</v>
      </c>
      <c r="O14" s="147"/>
      <c r="P14" s="147"/>
      <c r="Q14" s="363">
        <f t="shared" ca="1" si="3"/>
        <v>34.61</v>
      </c>
      <c r="R14" s="363">
        <f t="shared" ca="1" si="3"/>
        <v>78.161000000000001</v>
      </c>
      <c r="S14" s="364">
        <f t="shared" ca="1" si="57"/>
        <v>2705.1522100000002</v>
      </c>
      <c r="T14" s="147"/>
      <c r="U14" s="147"/>
      <c r="V14" s="363">
        <f t="shared" ca="1" si="4"/>
        <v>35.020000000000003</v>
      </c>
      <c r="W14" s="363">
        <f t="shared" ca="1" si="4"/>
        <v>77.697999999999993</v>
      </c>
      <c r="X14" s="364">
        <f t="shared" ca="1" si="58"/>
        <v>2720.98396</v>
      </c>
      <c r="Y14" s="147"/>
      <c r="Z14" s="147"/>
      <c r="AA14" s="363">
        <f t="shared" ca="1" si="5"/>
        <v>35.74</v>
      </c>
      <c r="AB14" s="363">
        <f t="shared" ca="1" si="5"/>
        <v>76.733999999999995</v>
      </c>
      <c r="AC14" s="364">
        <f t="shared" ca="1" si="59"/>
        <v>2742.47316</v>
      </c>
      <c r="AD14" s="147"/>
      <c r="AE14" s="147"/>
      <c r="AF14" s="363">
        <f t="shared" ca="1" si="6"/>
        <v>32.369999999999997</v>
      </c>
      <c r="AG14" s="363">
        <f t="shared" ca="1" si="6"/>
        <v>75.983000000000004</v>
      </c>
      <c r="AH14" s="364">
        <f t="shared" ca="1" si="60"/>
        <v>2459.5697099999998</v>
      </c>
      <c r="AI14" s="147"/>
      <c r="AJ14" s="147"/>
      <c r="AK14" s="363">
        <f t="shared" ca="1" si="7"/>
        <v>39.270000000000003</v>
      </c>
      <c r="AL14" s="363">
        <f t="shared" ca="1" si="7"/>
        <v>75.168999999999997</v>
      </c>
      <c r="AM14" s="364">
        <f t="shared" ca="1" si="61"/>
        <v>2951.88663</v>
      </c>
      <c r="AN14" s="147"/>
      <c r="AO14" s="147"/>
      <c r="AP14" s="363">
        <f t="shared" ca="1" si="8"/>
        <v>42.45</v>
      </c>
      <c r="AQ14" s="363">
        <f t="shared" ca="1" si="8"/>
        <v>72.989000000000004</v>
      </c>
      <c r="AR14" s="364">
        <f t="shared" ca="1" si="62"/>
        <v>3098.3830500000004</v>
      </c>
      <c r="AS14" s="147"/>
      <c r="AT14" s="147"/>
      <c r="AU14" s="363">
        <f t="shared" ca="1" si="9"/>
        <v>44.34</v>
      </c>
      <c r="AV14" s="363">
        <f t="shared" ca="1" si="9"/>
        <v>73.228999999999999</v>
      </c>
      <c r="AW14" s="364">
        <f t="shared" ca="1" si="63"/>
        <v>3246.9738600000001</v>
      </c>
      <c r="AX14" s="147"/>
      <c r="AY14" s="147"/>
      <c r="AZ14" s="363">
        <f t="shared" ca="1" si="10"/>
        <v>37.049999999999997</v>
      </c>
      <c r="BA14" s="363">
        <f t="shared" ca="1" si="10"/>
        <v>72.623999999999995</v>
      </c>
      <c r="BB14" s="364">
        <f t="shared" ca="1" si="64"/>
        <v>2690.7191999999995</v>
      </c>
      <c r="BC14" s="147"/>
      <c r="BD14" s="147"/>
      <c r="BE14" s="363">
        <f t="shared" ca="1" si="11"/>
        <v>43.51</v>
      </c>
      <c r="BF14" s="363">
        <f t="shared" ca="1" si="11"/>
        <v>71.787000000000006</v>
      </c>
      <c r="BG14" s="364">
        <f t="shared" ca="1" si="65"/>
        <v>3123.45237</v>
      </c>
      <c r="BH14" s="147"/>
      <c r="BI14" s="147"/>
      <c r="BJ14" s="363">
        <f t="shared" ca="1" si="12"/>
        <v>45.15</v>
      </c>
      <c r="BK14" s="363">
        <f t="shared" ca="1" si="12"/>
        <v>69.950999999999993</v>
      </c>
      <c r="BL14" s="364">
        <f t="shared" ca="1" si="66"/>
        <v>3158.2876499999998</v>
      </c>
      <c r="BM14" s="147"/>
      <c r="BN14" s="147"/>
      <c r="BO14" s="363">
        <f t="shared" ca="1" si="13"/>
        <v>42.49</v>
      </c>
      <c r="BP14" s="363">
        <f t="shared" ca="1" si="13"/>
        <v>70.054000000000002</v>
      </c>
      <c r="BQ14" s="364">
        <f t="shared" ca="1" si="67"/>
        <v>2976.5944600000003</v>
      </c>
      <c r="BR14" s="162"/>
      <c r="BS14" s="363">
        <f t="shared" ca="1" si="14"/>
        <v>39.119999999999997</v>
      </c>
      <c r="BT14" s="363">
        <f t="shared" ca="1" si="14"/>
        <v>69.403999999999996</v>
      </c>
      <c r="BU14" s="364">
        <f t="shared" ca="1" si="68"/>
        <v>2715.0844799999995</v>
      </c>
      <c r="BV14" s="162"/>
      <c r="BW14" s="363">
        <f t="shared" ca="1" si="15"/>
        <v>42.67</v>
      </c>
      <c r="BX14" s="363">
        <f t="shared" ca="1" si="15"/>
        <v>69.293000000000006</v>
      </c>
      <c r="BY14" s="364">
        <f t="shared" ca="1" si="69"/>
        <v>2956.7323100000003</v>
      </c>
      <c r="BZ14" s="162"/>
      <c r="CA14" s="363">
        <f t="shared" ca="1" si="16"/>
        <v>47.75</v>
      </c>
      <c r="CB14" s="363">
        <f t="shared" ca="1" si="16"/>
        <v>67.962000000000003</v>
      </c>
      <c r="CC14" s="364">
        <f t="shared" ca="1" si="70"/>
        <v>3245.1855</v>
      </c>
      <c r="CD14" s="162"/>
      <c r="CE14" s="363">
        <f t="shared" ca="1" si="17"/>
        <v>40.14</v>
      </c>
      <c r="CF14" s="363">
        <f t="shared" ca="1" si="17"/>
        <v>68.194000000000003</v>
      </c>
      <c r="CG14" s="364">
        <f t="shared" ca="1" si="71"/>
        <v>2737.3071600000003</v>
      </c>
      <c r="CH14" s="162"/>
      <c r="CI14" s="363">
        <f t="shared" ca="1" si="18"/>
        <v>34.119999999999997</v>
      </c>
      <c r="CJ14" s="363">
        <f t="shared" ca="1" si="18"/>
        <v>67.480999999999995</v>
      </c>
      <c r="CK14" s="364">
        <f t="shared" ca="1" si="72"/>
        <v>2302.4517199999996</v>
      </c>
      <c r="CL14" s="162"/>
      <c r="CM14" s="363">
        <f t="shared" ca="1" si="19"/>
        <v>36.39</v>
      </c>
      <c r="CN14" s="363">
        <f t="shared" ca="1" si="19"/>
        <v>67.239000000000004</v>
      </c>
      <c r="CO14" s="364">
        <f t="shared" ca="1" si="73"/>
        <v>2446.8272100000004</v>
      </c>
      <c r="CP14" s="162"/>
      <c r="CQ14" s="221">
        <f t="shared" ca="1" si="20"/>
        <v>42.49</v>
      </c>
      <c r="CR14" s="221">
        <f t="shared" ca="1" si="20"/>
        <v>66.204999999999998</v>
      </c>
      <c r="CS14" s="163">
        <f t="shared" ca="1" si="74"/>
        <v>2813.0504500000002</v>
      </c>
      <c r="CT14" s="162"/>
      <c r="CU14" s="221">
        <f t="shared" ca="1" si="21"/>
        <v>48.09</v>
      </c>
      <c r="CV14" s="221">
        <f t="shared" ca="1" si="21"/>
        <v>66.265000000000001</v>
      </c>
      <c r="CW14" s="163">
        <f t="shared" ca="1" si="75"/>
        <v>3186.6838500000003</v>
      </c>
      <c r="CX14" s="162"/>
      <c r="CY14" s="221">
        <f t="shared" ca="1" si="22"/>
        <v>48.44</v>
      </c>
      <c r="CZ14" s="221">
        <f t="shared" ca="1" si="22"/>
        <v>65.894000000000005</v>
      </c>
      <c r="DA14" s="163">
        <f t="shared" ca="1" si="76"/>
        <v>3191.9053600000002</v>
      </c>
      <c r="DB14" s="162"/>
      <c r="DC14" s="221">
        <f t="shared" ca="1" si="23"/>
        <v>44.6</v>
      </c>
      <c r="DD14" s="221">
        <f t="shared" ca="1" si="23"/>
        <v>65.733000000000004</v>
      </c>
      <c r="DE14" s="163">
        <f t="shared" ca="1" si="77"/>
        <v>2931.6918000000001</v>
      </c>
      <c r="DF14" s="162"/>
      <c r="DG14" s="221">
        <f t="shared" ca="1" si="24"/>
        <v>40.619999999999997</v>
      </c>
      <c r="DH14" s="221">
        <f t="shared" ca="1" si="24"/>
        <v>65.673000000000002</v>
      </c>
      <c r="DI14" s="163">
        <f t="shared" ca="1" si="78"/>
        <v>2667.63726</v>
      </c>
      <c r="DJ14" s="162"/>
      <c r="DK14" s="221">
        <f t="shared" ca="1" si="25"/>
        <v>42.48</v>
      </c>
      <c r="DL14" s="221">
        <f t="shared" ca="1" si="25"/>
        <v>65.688000000000002</v>
      </c>
      <c r="DM14" s="163">
        <f t="shared" ca="1" si="79"/>
        <v>2790.4262399999998</v>
      </c>
      <c r="DN14" s="162"/>
      <c r="DO14" s="221">
        <f t="shared" ca="1" si="26"/>
        <v>50.56</v>
      </c>
      <c r="DP14" s="221">
        <f t="shared" ca="1" si="26"/>
        <v>65.677000000000007</v>
      </c>
      <c r="DQ14" s="163">
        <f t="shared" ca="1" si="80"/>
        <v>3320.6291200000005</v>
      </c>
      <c r="DR14" s="162"/>
      <c r="DS14" s="221">
        <f t="shared" ca="1" si="27"/>
        <v>52.66</v>
      </c>
      <c r="DT14" s="221">
        <f t="shared" ca="1" si="27"/>
        <v>65.638999999999996</v>
      </c>
      <c r="DU14" s="163">
        <f t="shared" ca="1" si="81"/>
        <v>3456.5497399999995</v>
      </c>
      <c r="DV14" s="162"/>
      <c r="DW14" s="221">
        <f t="shared" ca="1" si="28"/>
        <v>51.25</v>
      </c>
      <c r="DX14" s="221">
        <f t="shared" ca="1" si="28"/>
        <v>64.808999999999997</v>
      </c>
      <c r="DY14" s="163">
        <f t="shared" ca="1" si="82"/>
        <v>3321.4612499999998</v>
      </c>
      <c r="DZ14" s="162"/>
      <c r="EA14" s="221">
        <f t="shared" ca="1" si="29"/>
        <v>51.49</v>
      </c>
      <c r="EB14" s="221">
        <f t="shared" ca="1" si="29"/>
        <v>64.412000000000006</v>
      </c>
      <c r="EC14" s="163">
        <f t="shared" ca="1" si="83"/>
        <v>3316.5738800000004</v>
      </c>
      <c r="ED14" s="162"/>
      <c r="EE14" s="221">
        <f t="shared" ca="1" si="30"/>
        <v>51.77</v>
      </c>
      <c r="EF14" s="221">
        <f t="shared" ca="1" si="30"/>
        <v>64.400999999999996</v>
      </c>
      <c r="EG14" s="163">
        <f t="shared" ca="1" si="84"/>
        <v>3334.0397699999999</v>
      </c>
      <c r="EH14" s="162"/>
      <c r="EI14" s="221">
        <f t="shared" ca="1" si="31"/>
        <v>42.46</v>
      </c>
      <c r="EJ14" s="221">
        <f t="shared" ca="1" si="31"/>
        <v>64.361999999999995</v>
      </c>
      <c r="EK14" s="163">
        <f t="shared" ca="1" si="85"/>
        <v>2732.81052</v>
      </c>
      <c r="EL14" s="162"/>
      <c r="EM14" s="221">
        <f t="shared" ca="1" si="32"/>
        <v>39.049999999999997</v>
      </c>
      <c r="EN14" s="221">
        <f t="shared" ca="1" si="32"/>
        <v>63.508000000000003</v>
      </c>
      <c r="EO14" s="163">
        <f t="shared" ca="1" si="86"/>
        <v>2479.9874</v>
      </c>
      <c r="EP14" s="162"/>
      <c r="EQ14" s="221">
        <f t="shared" ca="1" si="33"/>
        <v>39.99</v>
      </c>
      <c r="ER14" s="221">
        <f t="shared" ca="1" si="33"/>
        <v>63.856999999999999</v>
      </c>
      <c r="ES14" s="163">
        <f t="shared" ca="1" si="87"/>
        <v>2553.6414300000001</v>
      </c>
      <c r="ET14" s="162"/>
      <c r="EU14" s="221">
        <f t="shared" ca="1" si="34"/>
        <v>41.79</v>
      </c>
      <c r="EV14" s="221">
        <f t="shared" ca="1" si="34"/>
        <v>63.386000000000003</v>
      </c>
      <c r="EW14" s="163">
        <f t="shared" ca="1" si="88"/>
        <v>2648.90094</v>
      </c>
      <c r="EX14" s="162"/>
      <c r="EY14" s="221">
        <f t="shared" ca="1" si="35"/>
        <v>44.8</v>
      </c>
      <c r="EZ14" s="221">
        <f t="shared" ca="1" si="35"/>
        <v>62.604999999999997</v>
      </c>
      <c r="FA14" s="163">
        <f t="shared" ca="1" si="89"/>
        <v>2804.7039999999997</v>
      </c>
      <c r="FB14" s="162"/>
      <c r="FC14" s="221">
        <f t="shared" ca="1" si="36"/>
        <v>40.78</v>
      </c>
      <c r="FD14" s="221">
        <f t="shared" ca="1" si="36"/>
        <v>62.301000000000002</v>
      </c>
      <c r="FE14" s="163">
        <f t="shared" ca="1" si="90"/>
        <v>2540.6347800000003</v>
      </c>
      <c r="FF14" s="162"/>
      <c r="FG14" s="221">
        <f t="shared" ca="1" si="37"/>
        <v>35.369999999999997</v>
      </c>
      <c r="FH14" s="221">
        <f t="shared" ca="1" si="37"/>
        <v>62.298999999999999</v>
      </c>
      <c r="FI14" s="163">
        <f t="shared" ca="1" si="91"/>
        <v>2203.5156299999999</v>
      </c>
      <c r="FJ14" s="162"/>
      <c r="FK14" s="221">
        <f t="shared" ca="1" si="38"/>
        <v>33.25</v>
      </c>
      <c r="FL14" s="221">
        <f t="shared" ca="1" si="38"/>
        <v>62.280999999999999</v>
      </c>
      <c r="FM14" s="163">
        <f t="shared" ca="1" si="92"/>
        <v>2070.8432499999999</v>
      </c>
      <c r="FN14" s="162"/>
      <c r="FO14" s="221">
        <f t="shared" ca="1" si="39"/>
        <v>30.65</v>
      </c>
      <c r="FP14" s="221">
        <f t="shared" ca="1" si="39"/>
        <v>62.317999999999998</v>
      </c>
      <c r="FQ14" s="163">
        <f t="shared" ca="1" si="93"/>
        <v>1910.0466999999999</v>
      </c>
      <c r="FR14" s="162"/>
      <c r="FS14" s="221">
        <f t="shared" ca="1" si="40"/>
        <v>34.18</v>
      </c>
      <c r="FT14" s="221">
        <f t="shared" ca="1" si="40"/>
        <v>62.29</v>
      </c>
      <c r="FU14" s="163">
        <f t="shared" ca="1" si="94"/>
        <v>2129.0722000000001</v>
      </c>
      <c r="FW14" s="221">
        <f t="shared" ca="1" si="41"/>
        <v>35.35</v>
      </c>
      <c r="FX14" s="221">
        <f t="shared" ca="1" si="41"/>
        <v>63.933999999999997</v>
      </c>
      <c r="FY14" s="163">
        <f t="shared" ca="1" si="95"/>
        <v>2260.0668999999998</v>
      </c>
      <c r="GA14" s="221">
        <f t="shared" ca="1" si="42"/>
        <v>30.53</v>
      </c>
      <c r="GB14" s="221">
        <f t="shared" ca="1" si="42"/>
        <v>60.183999999999997</v>
      </c>
      <c r="GC14" s="163">
        <f t="shared" ca="1" si="96"/>
        <v>1837.41752</v>
      </c>
      <c r="GE14" s="221">
        <f t="shared" ca="1" si="43"/>
        <v>33.520000000000003</v>
      </c>
      <c r="GF14" s="221">
        <f t="shared" ca="1" si="43"/>
        <v>60.122</v>
      </c>
      <c r="GG14" s="163">
        <f t="shared" ca="1" si="97"/>
        <v>2015.2894400000002</v>
      </c>
      <c r="GI14" s="221">
        <f t="shared" ca="1" si="44"/>
        <v>30.65</v>
      </c>
      <c r="GJ14" s="221">
        <f t="shared" ca="1" si="44"/>
        <v>59.96</v>
      </c>
      <c r="GK14" s="163">
        <f t="shared" ca="1" si="98"/>
        <v>1837.7739999999999</v>
      </c>
      <c r="GM14" s="221">
        <f t="shared" ca="1" si="45"/>
        <v>28.19</v>
      </c>
      <c r="GN14" s="221">
        <f t="shared" ca="1" si="45"/>
        <v>59.994</v>
      </c>
      <c r="GO14" s="163">
        <f t="shared" ca="1" si="99"/>
        <v>1691.2308600000001</v>
      </c>
      <c r="GQ14" s="221">
        <f t="shared" ca="1" si="46"/>
        <v>26.4</v>
      </c>
      <c r="GR14" s="221">
        <f t="shared" ca="1" si="46"/>
        <v>59.936999999999998</v>
      </c>
      <c r="GS14" s="163">
        <f t="shared" ca="1" si="100"/>
        <v>1582.3367999999998</v>
      </c>
      <c r="GU14" s="221">
        <f t="shared" ca="1" si="47"/>
        <v>27.02</v>
      </c>
      <c r="GV14" s="221">
        <f t="shared" ca="1" si="47"/>
        <v>59.866</v>
      </c>
      <c r="GW14" s="163">
        <f t="shared" ca="1" si="101"/>
        <v>1617.5793200000001</v>
      </c>
      <c r="GY14" s="221">
        <f t="shared" ca="1" si="48"/>
        <v>27.4</v>
      </c>
      <c r="GZ14" s="221">
        <f t="shared" ca="1" si="48"/>
        <v>59.027999999999999</v>
      </c>
      <c r="HA14" s="163">
        <f t="shared" ca="1" si="102"/>
        <v>1617.3671999999999</v>
      </c>
      <c r="HC14" s="221">
        <f t="shared" ca="1" si="49"/>
        <v>24.11</v>
      </c>
      <c r="HD14" s="221">
        <f t="shared" ca="1" si="49"/>
        <v>59.046999999999997</v>
      </c>
      <c r="HE14" s="163">
        <f t="shared" ca="1" si="103"/>
        <v>1423.6231699999998</v>
      </c>
      <c r="HG14" s="221">
        <f t="shared" ca="1" si="50"/>
        <v>25.74</v>
      </c>
      <c r="HH14" s="221">
        <f t="shared" ca="1" si="50"/>
        <v>58.701999999999998</v>
      </c>
      <c r="HI14" s="163">
        <f t="shared" ca="1" si="104"/>
        <v>1510.98948</v>
      </c>
      <c r="HK14" s="221">
        <f t="shared" ca="1" si="51"/>
        <v>26.7</v>
      </c>
      <c r="HL14" s="221">
        <f t="shared" ca="1" si="51"/>
        <v>58.581000000000003</v>
      </c>
      <c r="HM14" s="163">
        <f t="shared" ca="1" si="105"/>
        <v>1564.1127000000001</v>
      </c>
      <c r="HO14" s="148">
        <f t="shared" ca="1" si="52"/>
        <v>25.58</v>
      </c>
      <c r="HP14" s="148">
        <f t="shared" ca="1" si="52"/>
        <v>57.872</v>
      </c>
      <c r="HQ14" s="163">
        <f t="shared" ca="1" si="106"/>
        <v>1480.3657599999999</v>
      </c>
      <c r="HS14" s="148">
        <f t="shared" ca="1" si="53"/>
        <v>25.75</v>
      </c>
      <c r="HT14" s="148">
        <f t="shared" ca="1" si="53"/>
        <v>58.057000000000002</v>
      </c>
      <c r="HU14" s="163">
        <f t="shared" ca="1" si="107"/>
        <v>1494.96775</v>
      </c>
      <c r="HX14" s="149">
        <f t="shared" ca="1" si="54"/>
        <v>109</v>
      </c>
    </row>
    <row r="15" spans="2:232" s="137" customFormat="1">
      <c r="B15" s="155">
        <f t="shared" ca="1" si="108"/>
        <v>6</v>
      </c>
      <c r="C15" s="146" t="str">
        <f t="shared" ca="1" si="0"/>
        <v>Black Hills Corporation</v>
      </c>
      <c r="D15" s="138" t="str">
        <f t="shared" ca="1" si="0"/>
        <v>BKH</v>
      </c>
      <c r="E15" s="138">
        <f t="shared" ca="1" si="0"/>
        <v>4010420</v>
      </c>
      <c r="F15" s="147"/>
      <c r="G15" s="363">
        <f t="shared" ca="1" si="1"/>
        <v>58.52</v>
      </c>
      <c r="H15" s="363">
        <f t="shared" ca="1" si="1"/>
        <v>70.5</v>
      </c>
      <c r="I15" s="364">
        <f t="shared" ca="1" si="55"/>
        <v>4125.66</v>
      </c>
      <c r="J15" s="147"/>
      <c r="K15" s="147"/>
      <c r="L15" s="363">
        <f t="shared" ca="1" si="2"/>
        <v>61.12</v>
      </c>
      <c r="M15" s="363">
        <f t="shared" ca="1" si="2"/>
        <v>69</v>
      </c>
      <c r="N15" s="364">
        <f t="shared" ca="1" si="56"/>
        <v>4217.28</v>
      </c>
      <c r="O15" s="147"/>
      <c r="P15" s="147"/>
      <c r="Q15" s="363">
        <f t="shared" ca="1" si="3"/>
        <v>54.38</v>
      </c>
      <c r="R15" s="363">
        <f t="shared" ca="1" si="3"/>
        <v>68.2</v>
      </c>
      <c r="S15" s="364">
        <f t="shared" ca="1" si="57"/>
        <v>3708.7160000000003</v>
      </c>
      <c r="T15" s="147"/>
      <c r="U15" s="147"/>
      <c r="V15" s="363">
        <f t="shared" ca="1" si="4"/>
        <v>54.6</v>
      </c>
      <c r="W15" s="363">
        <f t="shared" ca="1" si="4"/>
        <v>67.900000000000006</v>
      </c>
      <c r="X15" s="364">
        <f t="shared" ca="1" si="58"/>
        <v>3707.3400000000006</v>
      </c>
      <c r="Y15" s="147"/>
      <c r="Z15" s="147"/>
      <c r="AA15" s="363">
        <f t="shared" ca="1" si="5"/>
        <v>53.95</v>
      </c>
      <c r="AB15" s="363">
        <f t="shared" ca="1" si="5"/>
        <v>67.314999999999998</v>
      </c>
      <c r="AC15" s="364">
        <f t="shared" ca="1" si="59"/>
        <v>3631.6442500000003</v>
      </c>
      <c r="AD15" s="147"/>
      <c r="AE15" s="147"/>
      <c r="AF15" s="363">
        <f t="shared" ca="1" si="6"/>
        <v>50.59</v>
      </c>
      <c r="AG15" s="363">
        <f t="shared" ca="1" si="6"/>
        <v>66.590999999999994</v>
      </c>
      <c r="AH15" s="364">
        <f t="shared" ca="1" si="60"/>
        <v>3368.83869</v>
      </c>
      <c r="AI15" s="147"/>
      <c r="AJ15" s="147"/>
      <c r="AK15" s="363">
        <f t="shared" ca="1" si="7"/>
        <v>60.26</v>
      </c>
      <c r="AL15" s="363">
        <f t="shared" ca="1" si="7"/>
        <v>66.036000000000001</v>
      </c>
      <c r="AM15" s="364">
        <f t="shared" ca="1" si="61"/>
        <v>3979.3293599999997</v>
      </c>
      <c r="AN15" s="147"/>
      <c r="AO15" s="147"/>
      <c r="AP15" s="363">
        <f t="shared" ca="1" si="8"/>
        <v>63.1</v>
      </c>
      <c r="AQ15" s="363">
        <f t="shared" ca="1" si="8"/>
        <v>64.858000000000004</v>
      </c>
      <c r="AR15" s="364">
        <f t="shared" ca="1" si="62"/>
        <v>4092.5398000000005</v>
      </c>
      <c r="AS15" s="147"/>
      <c r="AT15" s="147"/>
      <c r="AU15" s="363">
        <f t="shared" ca="1" si="9"/>
        <v>70.34</v>
      </c>
      <c r="AV15" s="363">
        <f t="shared" ca="1" si="9"/>
        <v>64.876000000000005</v>
      </c>
      <c r="AW15" s="364">
        <f t="shared" ca="1" si="63"/>
        <v>4563.3778400000001</v>
      </c>
      <c r="AX15" s="147"/>
      <c r="AY15" s="147"/>
      <c r="AZ15" s="363">
        <f t="shared" ca="1" si="10"/>
        <v>67.73</v>
      </c>
      <c r="BA15" s="363">
        <f t="shared" ca="1" si="10"/>
        <v>64.721000000000004</v>
      </c>
      <c r="BB15" s="364">
        <f t="shared" ca="1" si="64"/>
        <v>4383.5533300000006</v>
      </c>
      <c r="BC15" s="147"/>
      <c r="BD15" s="147"/>
      <c r="BE15" s="363">
        <f t="shared" ca="1" si="11"/>
        <v>72.77</v>
      </c>
      <c r="BF15" s="363">
        <f t="shared" ca="1" si="11"/>
        <v>64.564999999999998</v>
      </c>
      <c r="BG15" s="364">
        <f t="shared" ca="1" si="65"/>
        <v>4698.3950499999992</v>
      </c>
      <c r="BH15" s="147"/>
      <c r="BI15" s="147"/>
      <c r="BJ15" s="363">
        <f t="shared" ca="1" si="12"/>
        <v>77.02</v>
      </c>
      <c r="BK15" s="363">
        <f t="shared" ca="1" si="12"/>
        <v>63.219000000000001</v>
      </c>
      <c r="BL15" s="364">
        <f t="shared" ca="1" si="66"/>
        <v>4869.1273799999999</v>
      </c>
      <c r="BM15" s="147"/>
      <c r="BN15" s="147"/>
      <c r="BO15" s="363">
        <f t="shared" ca="1" si="13"/>
        <v>70.569999999999993</v>
      </c>
      <c r="BP15" s="363">
        <f t="shared" ca="1" si="13"/>
        <v>63.341000000000001</v>
      </c>
      <c r="BQ15" s="364">
        <f t="shared" ca="1" si="67"/>
        <v>4469.9743699999999</v>
      </c>
      <c r="BR15" s="162"/>
      <c r="BS15" s="363">
        <f t="shared" ca="1" si="14"/>
        <v>62.76</v>
      </c>
      <c r="BT15" s="363">
        <f t="shared" ca="1" si="14"/>
        <v>62.866999999999997</v>
      </c>
      <c r="BU15" s="364">
        <f t="shared" ca="1" si="68"/>
        <v>3945.5329199999996</v>
      </c>
      <c r="BV15" s="162"/>
      <c r="BW15" s="363">
        <f t="shared" ca="1" si="15"/>
        <v>65.63</v>
      </c>
      <c r="BX15" s="363">
        <f t="shared" ca="1" si="15"/>
        <v>62.633000000000003</v>
      </c>
      <c r="BY15" s="364">
        <f t="shared" ca="1" si="69"/>
        <v>4110.6037900000001</v>
      </c>
      <c r="BZ15" s="162"/>
      <c r="CA15" s="363">
        <f t="shared" ca="1" si="16"/>
        <v>66.77</v>
      </c>
      <c r="CB15" s="363">
        <f t="shared" ca="1" si="16"/>
        <v>62.378</v>
      </c>
      <c r="CC15" s="364">
        <f t="shared" ca="1" si="70"/>
        <v>4164.9790599999997</v>
      </c>
      <c r="CD15" s="162"/>
      <c r="CE15" s="363">
        <f t="shared" ca="1" si="17"/>
        <v>61.45</v>
      </c>
      <c r="CF15" s="363">
        <f t="shared" ca="1" si="17"/>
        <v>62.575699999999998</v>
      </c>
      <c r="CG15" s="364">
        <f t="shared" ca="1" si="71"/>
        <v>3845.2767650000001</v>
      </c>
      <c r="CH15" s="162"/>
      <c r="CI15" s="363">
        <f t="shared" ca="1" si="18"/>
        <v>53.49</v>
      </c>
      <c r="CJ15" s="363">
        <f t="shared" ca="1" si="18"/>
        <v>62.573</v>
      </c>
      <c r="CK15" s="364">
        <f t="shared" ca="1" si="72"/>
        <v>3347.0297700000001</v>
      </c>
      <c r="CL15" s="162"/>
      <c r="CM15" s="363">
        <f t="shared" ca="1" si="19"/>
        <v>56.66</v>
      </c>
      <c r="CN15" s="363">
        <f t="shared" ca="1" si="19"/>
        <v>61.777999999999999</v>
      </c>
      <c r="CO15" s="364">
        <f t="shared" ca="1" si="73"/>
        <v>3500.3414799999996</v>
      </c>
      <c r="CP15" s="162"/>
      <c r="CQ15" s="221">
        <f t="shared" ca="1" si="20"/>
        <v>64.03</v>
      </c>
      <c r="CR15" s="221">
        <f t="shared" ca="1" si="20"/>
        <v>60.661999999999999</v>
      </c>
      <c r="CS15" s="163">
        <f t="shared" ca="1" si="74"/>
        <v>3884.18786</v>
      </c>
      <c r="CT15" s="162"/>
      <c r="CU15" s="221">
        <f t="shared" ca="1" si="21"/>
        <v>78.540000000000006</v>
      </c>
      <c r="CV15" s="221">
        <f t="shared" ca="1" si="21"/>
        <v>60.975999999999999</v>
      </c>
      <c r="CW15" s="163">
        <f t="shared" ca="1" si="75"/>
        <v>4789.0550400000002</v>
      </c>
      <c r="CX15" s="162"/>
      <c r="CY15" s="221">
        <f t="shared" ca="1" si="22"/>
        <v>76.73</v>
      </c>
      <c r="CZ15" s="221">
        <f t="shared" ca="1" si="22"/>
        <v>60.466999999999999</v>
      </c>
      <c r="DA15" s="163">
        <f t="shared" ca="1" si="76"/>
        <v>4639.6329100000003</v>
      </c>
      <c r="DB15" s="162"/>
      <c r="DC15" s="221">
        <f t="shared" ca="1" si="23"/>
        <v>78.17</v>
      </c>
      <c r="DD15" s="221">
        <f t="shared" ca="1" si="23"/>
        <v>59.92</v>
      </c>
      <c r="DE15" s="163">
        <f t="shared" ca="1" si="77"/>
        <v>4683.9463999999998</v>
      </c>
      <c r="DF15" s="162"/>
      <c r="DG15" s="221">
        <f t="shared" ca="1" si="24"/>
        <v>74.069999999999993</v>
      </c>
      <c r="DH15" s="221">
        <f t="shared" ca="1" si="24"/>
        <v>54.42</v>
      </c>
      <c r="DI15" s="163">
        <f t="shared" ca="1" si="78"/>
        <v>4030.8893999999996</v>
      </c>
      <c r="DJ15" s="162"/>
      <c r="DK15" s="221">
        <f t="shared" ca="1" si="25"/>
        <v>62.78</v>
      </c>
      <c r="DL15" s="221">
        <f t="shared" ca="1" si="25"/>
        <v>53.363999999999997</v>
      </c>
      <c r="DM15" s="163">
        <f t="shared" ca="1" si="79"/>
        <v>3350.1919199999998</v>
      </c>
      <c r="DN15" s="162"/>
      <c r="DO15" s="221">
        <f t="shared" ca="1" si="26"/>
        <v>58.09</v>
      </c>
      <c r="DP15" s="221">
        <f t="shared" ca="1" si="26"/>
        <v>53.354999999999997</v>
      </c>
      <c r="DQ15" s="163">
        <f t="shared" ca="1" si="80"/>
        <v>3099.3919500000002</v>
      </c>
      <c r="DR15" s="162"/>
      <c r="DS15" s="221">
        <f t="shared" ca="1" si="27"/>
        <v>61.21</v>
      </c>
      <c r="DT15" s="221">
        <f t="shared" ca="1" si="27"/>
        <v>53.319000000000003</v>
      </c>
      <c r="DU15" s="163">
        <f t="shared" ca="1" si="81"/>
        <v>3263.6559900000002</v>
      </c>
      <c r="DV15" s="162"/>
      <c r="DW15" s="221">
        <f t="shared" ca="1" si="28"/>
        <v>54.3</v>
      </c>
      <c r="DX15" s="221">
        <f t="shared" ca="1" si="28"/>
        <v>53.3</v>
      </c>
      <c r="DY15" s="163">
        <f t="shared" ca="1" si="82"/>
        <v>2894.1899999999996</v>
      </c>
      <c r="DZ15" s="162"/>
      <c r="EA15" s="221">
        <f t="shared" ca="1" si="29"/>
        <v>60.11</v>
      </c>
      <c r="EB15" s="221">
        <f t="shared" ca="1" si="29"/>
        <v>53.243000000000002</v>
      </c>
      <c r="EC15" s="163">
        <f t="shared" ca="1" si="83"/>
        <v>3200.4367299999999</v>
      </c>
      <c r="ED15" s="162"/>
      <c r="EE15" s="221">
        <f t="shared" ca="1" si="30"/>
        <v>68.87</v>
      </c>
      <c r="EF15" s="221">
        <f t="shared" ca="1" si="30"/>
        <v>53.228999999999999</v>
      </c>
      <c r="EG15" s="163">
        <f t="shared" ca="1" si="84"/>
        <v>3665.8812300000004</v>
      </c>
      <c r="EH15" s="162"/>
      <c r="EI15" s="221">
        <f t="shared" ca="1" si="31"/>
        <v>67.47</v>
      </c>
      <c r="EJ15" s="221">
        <f t="shared" ca="1" si="31"/>
        <v>53.152000000000001</v>
      </c>
      <c r="EK15" s="163">
        <f t="shared" ca="1" si="85"/>
        <v>3586.1654400000002</v>
      </c>
      <c r="EL15" s="162"/>
      <c r="EM15" s="221">
        <f t="shared" ca="1" si="32"/>
        <v>66.47</v>
      </c>
      <c r="EN15" s="221">
        <f t="shared" ca="1" si="32"/>
        <v>51.921999999999997</v>
      </c>
      <c r="EO15" s="163">
        <f t="shared" ca="1" si="86"/>
        <v>3451.2553399999997</v>
      </c>
      <c r="EP15" s="162"/>
      <c r="EQ15" s="221">
        <f t="shared" ca="1" si="33"/>
        <v>61.34</v>
      </c>
      <c r="ER15" s="221">
        <f t="shared" ca="1" si="33"/>
        <v>52.183999999999997</v>
      </c>
      <c r="ES15" s="163">
        <f t="shared" ca="1" si="87"/>
        <v>3200.9665599999998</v>
      </c>
      <c r="ET15" s="162"/>
      <c r="EU15" s="221">
        <f t="shared" ca="1" si="34"/>
        <v>61.22</v>
      </c>
      <c r="EV15" s="221">
        <f t="shared" ca="1" si="34"/>
        <v>51.514000000000003</v>
      </c>
      <c r="EW15" s="163">
        <f t="shared" ca="1" si="88"/>
        <v>3153.6870800000002</v>
      </c>
      <c r="EX15" s="162"/>
      <c r="EY15" s="221">
        <f t="shared" ca="1" si="35"/>
        <v>63.04</v>
      </c>
      <c r="EZ15" s="221">
        <f t="shared" ca="1" si="35"/>
        <v>51.043999999999997</v>
      </c>
      <c r="FA15" s="163">
        <f t="shared" ca="1" si="89"/>
        <v>3217.8137599999995</v>
      </c>
      <c r="FB15" s="162"/>
      <c r="FC15" s="221">
        <f t="shared" ca="1" si="36"/>
        <v>60.13</v>
      </c>
      <c r="FD15" s="221">
        <f t="shared" ca="1" si="36"/>
        <v>45.287999999999997</v>
      </c>
      <c r="FE15" s="163">
        <f t="shared" ca="1" si="90"/>
        <v>2723.1674399999997</v>
      </c>
      <c r="FF15" s="162"/>
      <c r="FG15" s="221">
        <f t="shared" ca="1" si="37"/>
        <v>46.43</v>
      </c>
      <c r="FH15" s="221">
        <f t="shared" ca="1" si="37"/>
        <v>44.634999999999998</v>
      </c>
      <c r="FI15" s="163">
        <f t="shared" ca="1" si="91"/>
        <v>2072.4030499999999</v>
      </c>
      <c r="FJ15" s="162"/>
      <c r="FK15" s="221">
        <f t="shared" ca="1" si="38"/>
        <v>41.34</v>
      </c>
      <c r="FL15" s="221">
        <f t="shared" ca="1" si="38"/>
        <v>44.616999999999997</v>
      </c>
      <c r="FM15" s="163">
        <f t="shared" ca="1" si="92"/>
        <v>1844.46678</v>
      </c>
      <c r="FN15" s="162"/>
      <c r="FO15" s="221">
        <f t="shared" ca="1" si="39"/>
        <v>43.65</v>
      </c>
      <c r="FP15" s="221">
        <f t="shared" ca="1" si="39"/>
        <v>44.540999999999997</v>
      </c>
      <c r="FQ15" s="163">
        <f t="shared" ca="1" si="93"/>
        <v>1944.2146499999999</v>
      </c>
      <c r="FR15" s="162"/>
      <c r="FS15" s="221">
        <f t="shared" ca="1" si="40"/>
        <v>50.44</v>
      </c>
      <c r="FT15" s="221">
        <f t="shared" ca="1" si="40"/>
        <v>44.43</v>
      </c>
      <c r="FU15" s="163">
        <f t="shared" ca="1" si="94"/>
        <v>2241.0491999999999</v>
      </c>
      <c r="FW15" s="221">
        <f t="shared" ca="1" si="41"/>
        <v>53.04</v>
      </c>
      <c r="FX15" s="221">
        <f t="shared" ca="1" si="41"/>
        <v>44.414999999999999</v>
      </c>
      <c r="FY15" s="163">
        <f t="shared" ca="1" si="95"/>
        <v>2355.7716</v>
      </c>
      <c r="GA15" s="221">
        <f t="shared" ca="1" si="42"/>
        <v>47.88</v>
      </c>
      <c r="GB15" s="221">
        <f t="shared" ca="1" si="42"/>
        <v>44.399000000000001</v>
      </c>
      <c r="GC15" s="163">
        <f t="shared" ca="1" si="96"/>
        <v>2125.8241200000002</v>
      </c>
      <c r="GE15" s="221">
        <f t="shared" ca="1" si="43"/>
        <v>61.39</v>
      </c>
      <c r="GF15" s="221">
        <f t="shared" ca="1" si="43"/>
        <v>44.33</v>
      </c>
      <c r="GG15" s="163">
        <f t="shared" ca="1" si="97"/>
        <v>2721.4186999999997</v>
      </c>
      <c r="GI15" s="221">
        <f t="shared" ca="1" si="44"/>
        <v>57.65</v>
      </c>
      <c r="GJ15" s="221">
        <f t="shared" ca="1" si="44"/>
        <v>44.162999999999997</v>
      </c>
      <c r="GK15" s="163">
        <f t="shared" ca="1" si="98"/>
        <v>2545.9969499999997</v>
      </c>
      <c r="GM15" s="221">
        <f t="shared" ca="1" si="45"/>
        <v>52.51</v>
      </c>
      <c r="GN15" s="221">
        <f t="shared" ca="1" si="45"/>
        <v>44.201000000000001</v>
      </c>
      <c r="GO15" s="163">
        <f t="shared" ca="1" si="99"/>
        <v>2320.99451</v>
      </c>
      <c r="GQ15" s="221">
        <f t="shared" ca="1" si="46"/>
        <v>49.86</v>
      </c>
      <c r="GR15" s="221">
        <f t="shared" ca="1" si="46"/>
        <v>44.171999999999997</v>
      </c>
      <c r="GS15" s="163">
        <f t="shared" ca="1" si="100"/>
        <v>2202.4159199999999</v>
      </c>
      <c r="GU15" s="221">
        <f t="shared" ca="1" si="47"/>
        <v>48.75</v>
      </c>
      <c r="GV15" s="221">
        <f t="shared" ca="1" si="47"/>
        <v>44.052999999999997</v>
      </c>
      <c r="GW15" s="163">
        <f t="shared" ca="1" si="101"/>
        <v>2147.5837499999998</v>
      </c>
      <c r="GY15" s="221">
        <f t="shared" ca="1" si="48"/>
        <v>44.04</v>
      </c>
      <c r="GZ15" s="221">
        <f t="shared" ca="1" si="48"/>
        <v>43.82</v>
      </c>
      <c r="HA15" s="163">
        <f t="shared" ca="1" si="102"/>
        <v>1929.8327999999999</v>
      </c>
      <c r="HC15" s="221">
        <f t="shared" ca="1" si="49"/>
        <v>36.340000000000003</v>
      </c>
      <c r="HD15" s="221">
        <f t="shared" ca="1" si="49"/>
        <v>43.847000000000001</v>
      </c>
      <c r="HE15" s="163">
        <f t="shared" ca="1" si="103"/>
        <v>1593.3999800000001</v>
      </c>
      <c r="HG15" s="221">
        <f t="shared" ca="1" si="50"/>
        <v>35.57</v>
      </c>
      <c r="HH15" s="221">
        <f t="shared" ca="1" si="50"/>
        <v>43.798999999999999</v>
      </c>
      <c r="HI15" s="163">
        <f t="shared" ca="1" si="104"/>
        <v>1557.9304299999999</v>
      </c>
      <c r="HK15" s="221">
        <f t="shared" ca="1" si="51"/>
        <v>32.17</v>
      </c>
      <c r="HL15" s="221">
        <f t="shared" ca="1" si="51"/>
        <v>43.731000000000002</v>
      </c>
      <c r="HM15" s="163">
        <f t="shared" ca="1" si="105"/>
        <v>1406.82627</v>
      </c>
      <c r="HO15" s="148">
        <f t="shared" ca="1" si="52"/>
        <v>33.53</v>
      </c>
      <c r="HP15" s="148">
        <f t="shared" ca="1" si="52"/>
        <v>39.863999999999997</v>
      </c>
      <c r="HQ15" s="163">
        <f t="shared" ca="1" si="106"/>
        <v>1336.6399199999998</v>
      </c>
      <c r="HS15" s="148">
        <f t="shared" ca="1" si="53"/>
        <v>33.58</v>
      </c>
      <c r="HT15" s="148">
        <f t="shared" ca="1" si="53"/>
        <v>39.145000000000003</v>
      </c>
      <c r="HU15" s="163">
        <f t="shared" ca="1" si="107"/>
        <v>1314.4891</v>
      </c>
      <c r="HX15" s="149">
        <f t="shared" ca="1" si="54"/>
        <v>14</v>
      </c>
    </row>
    <row r="16" spans="2:232" s="137" customFormat="1">
      <c r="B16" s="155">
        <f t="shared" ca="1" si="108"/>
        <v>7</v>
      </c>
      <c r="C16" s="146" t="str">
        <f t="shared" ca="1" si="0"/>
        <v>CenterPoint Energy, Inc.</v>
      </c>
      <c r="D16" s="138" t="str">
        <f t="shared" ca="1" si="0"/>
        <v>CNP</v>
      </c>
      <c r="E16" s="138">
        <f t="shared" ca="1" si="0"/>
        <v>4074390</v>
      </c>
      <c r="F16" s="147"/>
      <c r="G16" s="363">
        <f t="shared" ca="1" si="1"/>
        <v>31.73</v>
      </c>
      <c r="H16" s="363">
        <f t="shared" ca="1" si="1"/>
        <v>647.79700000000003</v>
      </c>
      <c r="I16" s="364">
        <f t="shared" ca="1" si="55"/>
        <v>20554.59881</v>
      </c>
      <c r="J16" s="147"/>
      <c r="K16" s="147"/>
      <c r="L16" s="363">
        <f t="shared" ca="1" si="2"/>
        <v>29.42</v>
      </c>
      <c r="M16" s="363">
        <f t="shared" ca="1" si="2"/>
        <v>640.75400000000002</v>
      </c>
      <c r="N16" s="364">
        <f t="shared" ca="1" si="56"/>
        <v>18850.982680000001</v>
      </c>
      <c r="O16" s="147"/>
      <c r="P16" s="147"/>
      <c r="Q16" s="363">
        <f t="shared" ca="1" si="3"/>
        <v>30.98</v>
      </c>
      <c r="R16" s="363">
        <f t="shared" ca="1" si="3"/>
        <v>632.22799999999995</v>
      </c>
      <c r="S16" s="364">
        <f t="shared" ca="1" si="57"/>
        <v>19586.423439999999</v>
      </c>
      <c r="T16" s="147"/>
      <c r="U16" s="147"/>
      <c r="V16" s="363">
        <f t="shared" ca="1" si="4"/>
        <v>28.49</v>
      </c>
      <c r="W16" s="363">
        <f t="shared" ca="1" si="4"/>
        <v>631.226</v>
      </c>
      <c r="X16" s="364">
        <f t="shared" ca="1" si="58"/>
        <v>17983.62874</v>
      </c>
      <c r="Y16" s="147"/>
      <c r="Z16" s="147"/>
      <c r="AA16" s="363">
        <f t="shared" ca="1" si="5"/>
        <v>28.57</v>
      </c>
      <c r="AB16" s="363">
        <f t="shared" ca="1" si="5"/>
        <v>631.18499999999995</v>
      </c>
      <c r="AC16" s="364">
        <f t="shared" ca="1" si="59"/>
        <v>18032.955449999998</v>
      </c>
      <c r="AD16" s="147"/>
      <c r="AE16" s="147"/>
      <c r="AF16" s="363">
        <f t="shared" ca="1" si="6"/>
        <v>26.85</v>
      </c>
      <c r="AG16" s="363">
        <f t="shared" ca="1" si="6"/>
        <v>631.05700000000002</v>
      </c>
      <c r="AH16" s="364">
        <f t="shared" ca="1" si="60"/>
        <v>16943.880450000001</v>
      </c>
      <c r="AI16" s="147"/>
      <c r="AJ16" s="147"/>
      <c r="AK16" s="363">
        <f t="shared" ca="1" si="7"/>
        <v>29.15</v>
      </c>
      <c r="AL16" s="363">
        <f t="shared" ca="1" si="7"/>
        <v>630.30899999999997</v>
      </c>
      <c r="AM16" s="364">
        <f t="shared" ca="1" si="61"/>
        <v>18373.50735</v>
      </c>
      <c r="AN16" s="147"/>
      <c r="AO16" s="147"/>
      <c r="AP16" s="363">
        <f t="shared" ca="1" si="8"/>
        <v>29.46</v>
      </c>
      <c r="AQ16" s="363">
        <f t="shared" ca="1" si="8"/>
        <v>629.41499999999996</v>
      </c>
      <c r="AR16" s="364">
        <f t="shared" ca="1" si="62"/>
        <v>18542.565899999998</v>
      </c>
      <c r="AS16" s="147"/>
      <c r="AT16" s="147"/>
      <c r="AU16" s="363">
        <f t="shared" ca="1" si="9"/>
        <v>29.99</v>
      </c>
      <c r="AV16" s="363">
        <f t="shared" ca="1" si="9"/>
        <v>629.50900000000001</v>
      </c>
      <c r="AW16" s="364">
        <f t="shared" ca="1" si="63"/>
        <v>18878.974910000001</v>
      </c>
      <c r="AX16" s="147"/>
      <c r="AY16" s="147"/>
      <c r="AZ16" s="363">
        <f t="shared" ca="1" si="10"/>
        <v>28.18</v>
      </c>
      <c r="BA16" s="363">
        <f t="shared" ca="1" si="10"/>
        <v>629.47500000000002</v>
      </c>
      <c r="BB16" s="364">
        <f t="shared" ca="1" si="64"/>
        <v>17738.605500000001</v>
      </c>
      <c r="BC16" s="147"/>
      <c r="BD16" s="147"/>
      <c r="BE16" s="363">
        <f t="shared" ca="1" si="11"/>
        <v>29.58</v>
      </c>
      <c r="BF16" s="363">
        <f t="shared" ca="1" si="11"/>
        <v>629.13400000000001</v>
      </c>
      <c r="BG16" s="364">
        <f t="shared" ca="1" si="65"/>
        <v>18609.783719999999</v>
      </c>
      <c r="BH16" s="147"/>
      <c r="BI16" s="147"/>
      <c r="BJ16" s="363">
        <f t="shared" ca="1" si="12"/>
        <v>30.64</v>
      </c>
      <c r="BK16" s="363">
        <f t="shared" ca="1" si="12"/>
        <v>592.93299999999999</v>
      </c>
      <c r="BL16" s="364">
        <f t="shared" ca="1" si="66"/>
        <v>18167.467120000001</v>
      </c>
      <c r="BM16" s="147"/>
      <c r="BN16" s="147"/>
      <c r="BO16" s="363">
        <f t="shared" ca="1" si="13"/>
        <v>27.91</v>
      </c>
      <c r="BP16" s="363">
        <f t="shared" ca="1" si="13"/>
        <v>604.60699999999997</v>
      </c>
      <c r="BQ16" s="364">
        <f t="shared" ca="1" si="67"/>
        <v>16874.58137</v>
      </c>
      <c r="BR16" s="162"/>
      <c r="BS16" s="363">
        <f t="shared" ca="1" si="14"/>
        <v>24.6</v>
      </c>
      <c r="BT16" s="363">
        <f t="shared" ca="1" si="14"/>
        <v>585.72</v>
      </c>
      <c r="BU16" s="364">
        <f t="shared" ca="1" si="68"/>
        <v>14408.712000000001</v>
      </c>
      <c r="BV16" s="162"/>
      <c r="BW16" s="363">
        <f t="shared" ca="1" si="15"/>
        <v>24.52</v>
      </c>
      <c r="BX16" s="363">
        <f t="shared" ca="1" si="15"/>
        <v>551.54600000000005</v>
      </c>
      <c r="BY16" s="364">
        <f t="shared" ca="1" si="69"/>
        <v>13523.907920000001</v>
      </c>
      <c r="BZ16" s="162"/>
      <c r="CA16" s="363">
        <f t="shared" ca="1" si="16"/>
        <v>22.65</v>
      </c>
      <c r="CB16" s="363">
        <f t="shared" ca="1" si="16"/>
        <v>531.03099999999995</v>
      </c>
      <c r="CC16" s="364">
        <f t="shared" ca="1" si="70"/>
        <v>12027.852149999999</v>
      </c>
      <c r="CD16" s="162"/>
      <c r="CE16" s="363">
        <f t="shared" ca="1" si="17"/>
        <v>21.64</v>
      </c>
      <c r="CF16" s="363">
        <f t="shared" ca="1" si="17"/>
        <v>544.81100000000004</v>
      </c>
      <c r="CG16" s="364">
        <f t="shared" ca="1" si="71"/>
        <v>11789.710040000002</v>
      </c>
      <c r="CH16" s="162"/>
      <c r="CI16" s="363">
        <f t="shared" ca="1" si="18"/>
        <v>19.350000000000001</v>
      </c>
      <c r="CJ16" s="363">
        <f t="shared" ca="1" si="18"/>
        <v>528.06600000000003</v>
      </c>
      <c r="CK16" s="364">
        <f t="shared" ca="1" si="72"/>
        <v>10218.077100000002</v>
      </c>
      <c r="CL16" s="162"/>
      <c r="CM16" s="363">
        <f t="shared" ca="1" si="19"/>
        <v>18.670000000000002</v>
      </c>
      <c r="CN16" s="363">
        <f t="shared" ca="1" si="19"/>
        <v>502.38799999999998</v>
      </c>
      <c r="CO16" s="364">
        <f t="shared" ca="1" si="73"/>
        <v>9379.5839599999999</v>
      </c>
      <c r="CP16" s="162"/>
      <c r="CQ16" s="221">
        <f t="shared" ca="1" si="20"/>
        <v>15.45</v>
      </c>
      <c r="CR16" s="221">
        <f t="shared" ca="1" si="20"/>
        <v>502.05</v>
      </c>
      <c r="CS16" s="163">
        <f t="shared" ca="1" si="74"/>
        <v>7756.6724999999997</v>
      </c>
      <c r="CT16" s="162"/>
      <c r="CU16" s="221">
        <f t="shared" ca="1" si="21"/>
        <v>27.27</v>
      </c>
      <c r="CV16" s="221">
        <f t="shared" ca="1" si="21"/>
        <v>502.22800000000001</v>
      </c>
      <c r="CW16" s="163">
        <f t="shared" ca="1" si="75"/>
        <v>13695.75756</v>
      </c>
      <c r="CX16" s="162"/>
      <c r="CY16" s="221">
        <f t="shared" ca="1" si="22"/>
        <v>30.18</v>
      </c>
      <c r="CZ16" s="221">
        <f t="shared" ca="1" si="22"/>
        <v>502.2</v>
      </c>
      <c r="DA16" s="163">
        <f t="shared" ca="1" si="76"/>
        <v>15156.395999999999</v>
      </c>
      <c r="DB16" s="162"/>
      <c r="DC16" s="221">
        <f t="shared" ca="1" si="23"/>
        <v>28.63</v>
      </c>
      <c r="DD16" s="221">
        <f t="shared" ca="1" si="23"/>
        <v>501.52100000000002</v>
      </c>
      <c r="DE16" s="163">
        <f t="shared" ca="1" si="77"/>
        <v>14358.54623</v>
      </c>
      <c r="DF16" s="162"/>
      <c r="DG16" s="221">
        <f t="shared" ca="1" si="24"/>
        <v>30.7</v>
      </c>
      <c r="DH16" s="221">
        <f t="shared" ca="1" si="24"/>
        <v>448.82900000000001</v>
      </c>
      <c r="DI16" s="163">
        <f t="shared" ca="1" si="78"/>
        <v>13779.050300000001</v>
      </c>
      <c r="DJ16" s="162"/>
      <c r="DK16" s="221">
        <f t="shared" ca="1" si="25"/>
        <v>28.23</v>
      </c>
      <c r="DL16" s="221">
        <f t="shared" ca="1" si="25"/>
        <v>431.55399999999997</v>
      </c>
      <c r="DM16" s="163">
        <f t="shared" ca="1" si="79"/>
        <v>12182.769419999999</v>
      </c>
      <c r="DN16" s="162"/>
      <c r="DO16" s="221">
        <f t="shared" ca="1" si="26"/>
        <v>27.65</v>
      </c>
      <c r="DP16" s="221">
        <f t="shared" ca="1" si="26"/>
        <v>431.52300000000002</v>
      </c>
      <c r="DQ16" s="163">
        <f t="shared" ca="1" si="80"/>
        <v>11931.61095</v>
      </c>
      <c r="DR16" s="162"/>
      <c r="DS16" s="221">
        <f t="shared" ca="1" si="27"/>
        <v>27.71</v>
      </c>
      <c r="DT16" s="221">
        <f t="shared" ca="1" si="27"/>
        <v>431.23099999999999</v>
      </c>
      <c r="DU16" s="163">
        <f t="shared" ca="1" si="81"/>
        <v>11949.41101</v>
      </c>
      <c r="DV16" s="162"/>
      <c r="DW16" s="221">
        <f t="shared" ca="1" si="28"/>
        <v>27.4</v>
      </c>
      <c r="DX16" s="221">
        <f t="shared" ca="1" si="28"/>
        <v>431.03800000000001</v>
      </c>
      <c r="DY16" s="163">
        <f t="shared" ca="1" si="82"/>
        <v>11810.441199999999</v>
      </c>
      <c r="DZ16" s="162"/>
      <c r="EA16" s="221">
        <f t="shared" ca="1" si="29"/>
        <v>28.36</v>
      </c>
      <c r="EB16" s="221">
        <f t="shared" ca="1" si="29"/>
        <v>431.02600000000001</v>
      </c>
      <c r="EC16" s="163">
        <f t="shared" ca="1" si="83"/>
        <v>12223.897360000001</v>
      </c>
      <c r="ED16" s="162"/>
      <c r="EE16" s="221">
        <f t="shared" ca="1" si="30"/>
        <v>29.21</v>
      </c>
      <c r="EF16" s="221">
        <f t="shared" ca="1" si="30"/>
        <v>430.99599999999998</v>
      </c>
      <c r="EG16" s="163">
        <f t="shared" ca="1" si="84"/>
        <v>12589.39316</v>
      </c>
      <c r="EH16" s="162"/>
      <c r="EI16" s="221">
        <f t="shared" ca="1" si="31"/>
        <v>27.38</v>
      </c>
      <c r="EJ16" s="221">
        <f t="shared" ca="1" si="31"/>
        <v>430.79399999999998</v>
      </c>
      <c r="EK16" s="163">
        <f t="shared" ca="1" si="85"/>
        <v>11795.139719999999</v>
      </c>
      <c r="EL16" s="162"/>
      <c r="EM16" s="221">
        <f t="shared" ca="1" si="32"/>
        <v>27.57</v>
      </c>
      <c r="EN16" s="221">
        <f t="shared" ca="1" si="32"/>
        <v>430.60599999999999</v>
      </c>
      <c r="EO16" s="163">
        <f t="shared" ca="1" si="86"/>
        <v>11871.807419999999</v>
      </c>
      <c r="EP16" s="162"/>
      <c r="EQ16" s="221">
        <f t="shared" ca="1" si="33"/>
        <v>24.64</v>
      </c>
      <c r="ER16" s="221">
        <f t="shared" ca="1" si="33"/>
        <v>430.68200000000002</v>
      </c>
      <c r="ES16" s="163">
        <f t="shared" ca="1" si="87"/>
        <v>10612.004480000001</v>
      </c>
      <c r="ET16" s="162"/>
      <c r="EU16" s="221">
        <f t="shared" ca="1" si="34"/>
        <v>23.23</v>
      </c>
      <c r="EV16" s="221">
        <f t="shared" ca="1" si="34"/>
        <v>430.65300000000002</v>
      </c>
      <c r="EW16" s="163">
        <f t="shared" ca="1" si="88"/>
        <v>10004.06919</v>
      </c>
      <c r="EX16" s="162"/>
      <c r="EY16" s="221">
        <f t="shared" ca="1" si="35"/>
        <v>24</v>
      </c>
      <c r="EZ16" s="221">
        <f t="shared" ca="1" si="35"/>
        <v>430.40699999999998</v>
      </c>
      <c r="FA16" s="163">
        <f t="shared" ca="1" si="89"/>
        <v>10329.768</v>
      </c>
      <c r="FB16" s="162"/>
      <c r="FC16" s="221">
        <f t="shared" ca="1" si="36"/>
        <v>20.92</v>
      </c>
      <c r="FD16" s="221">
        <f t="shared" ca="1" si="36"/>
        <v>430.18</v>
      </c>
      <c r="FE16" s="163">
        <f t="shared" ca="1" si="90"/>
        <v>8999.365600000001</v>
      </c>
      <c r="FF16" s="162"/>
      <c r="FG16" s="221">
        <f t="shared" ca="1" si="37"/>
        <v>18.36</v>
      </c>
      <c r="FH16" s="221">
        <f t="shared" ca="1" si="37"/>
        <v>430.262</v>
      </c>
      <c r="FI16" s="163">
        <f t="shared" ca="1" si="91"/>
        <v>7899.6103199999998</v>
      </c>
      <c r="FJ16" s="162"/>
      <c r="FK16" s="221">
        <f t="shared" ca="1" si="38"/>
        <v>18.04</v>
      </c>
      <c r="FL16" s="221">
        <f t="shared" ca="1" si="38"/>
        <v>430.23500000000001</v>
      </c>
      <c r="FM16" s="163">
        <f t="shared" ca="1" si="92"/>
        <v>7761.4394000000002</v>
      </c>
      <c r="FN16" s="162"/>
      <c r="FO16" s="221">
        <f t="shared" ca="1" si="39"/>
        <v>19.03</v>
      </c>
      <c r="FP16" s="221">
        <f t="shared" ca="1" si="39"/>
        <v>429.95499999999998</v>
      </c>
      <c r="FQ16" s="163">
        <f t="shared" ca="1" si="93"/>
        <v>8182.0436500000005</v>
      </c>
      <c r="FR16" s="162"/>
      <c r="FS16" s="221">
        <f t="shared" ca="1" si="40"/>
        <v>20.41</v>
      </c>
      <c r="FT16" s="221">
        <f t="shared" ca="1" si="40"/>
        <v>429.79599999999999</v>
      </c>
      <c r="FU16" s="163">
        <f t="shared" ca="1" si="94"/>
        <v>8772.1363600000004</v>
      </c>
      <c r="FW16" s="221">
        <f t="shared" ca="1" si="41"/>
        <v>23.43</v>
      </c>
      <c r="FX16" s="221">
        <f t="shared" ca="1" si="41"/>
        <v>429.79599999999999</v>
      </c>
      <c r="FY16" s="163">
        <f t="shared" ca="1" si="95"/>
        <v>10070.120279999999</v>
      </c>
      <c r="GA16" s="221">
        <f t="shared" ca="1" si="42"/>
        <v>24.47</v>
      </c>
      <c r="GB16" s="221">
        <f t="shared" ca="1" si="42"/>
        <v>429.77300000000002</v>
      </c>
      <c r="GC16" s="163">
        <f t="shared" ca="1" si="96"/>
        <v>10516.54531</v>
      </c>
      <c r="GE16" s="221">
        <f t="shared" ca="1" si="43"/>
        <v>25.54</v>
      </c>
      <c r="GF16" s="221">
        <f t="shared" ca="1" si="43"/>
        <v>429.16300000000001</v>
      </c>
      <c r="GG16" s="163">
        <f t="shared" ca="1" si="97"/>
        <v>10960.82302</v>
      </c>
      <c r="GI16" s="221">
        <f t="shared" ca="1" si="44"/>
        <v>23.69</v>
      </c>
      <c r="GJ16" s="221">
        <f t="shared" ca="1" si="44"/>
        <v>428.46600000000001</v>
      </c>
      <c r="GK16" s="163">
        <f t="shared" ca="1" si="98"/>
        <v>10150.359540000001</v>
      </c>
      <c r="GM16" s="221">
        <f t="shared" ca="1" si="45"/>
        <v>23.18</v>
      </c>
      <c r="GN16" s="221">
        <f t="shared" ca="1" si="45"/>
        <v>428.62799999999999</v>
      </c>
      <c r="GO16" s="163">
        <f t="shared" ca="1" si="99"/>
        <v>9935.5970399999987</v>
      </c>
      <c r="GQ16" s="221">
        <f t="shared" ca="1" si="46"/>
        <v>23.97</v>
      </c>
      <c r="GR16" s="221">
        <f t="shared" ca="1" si="46"/>
        <v>428.57100000000003</v>
      </c>
      <c r="GS16" s="163">
        <f t="shared" ca="1" si="100"/>
        <v>10272.846869999999</v>
      </c>
      <c r="GU16" s="221">
        <f t="shared" ca="1" si="47"/>
        <v>23.49</v>
      </c>
      <c r="GV16" s="221">
        <f t="shared" ca="1" si="47"/>
        <v>427.96100000000001</v>
      </c>
      <c r="GW16" s="163">
        <f t="shared" ca="1" si="101"/>
        <v>10052.803889999999</v>
      </c>
      <c r="GY16" s="221">
        <f t="shared" ca="1" si="48"/>
        <v>23.96</v>
      </c>
      <c r="GZ16" s="221">
        <f t="shared" ca="1" si="48"/>
        <v>427.18900000000002</v>
      </c>
      <c r="HA16" s="163">
        <f t="shared" ca="1" si="102"/>
        <v>10235.44844</v>
      </c>
      <c r="HC16" s="221">
        <f t="shared" ca="1" si="49"/>
        <v>19.25</v>
      </c>
      <c r="HD16" s="221">
        <f t="shared" ca="1" si="49"/>
        <v>427.40600000000001</v>
      </c>
      <c r="HE16" s="163">
        <f t="shared" ca="1" si="103"/>
        <v>8227.5655000000006</v>
      </c>
      <c r="HG16" s="221">
        <f t="shared" ca="1" si="50"/>
        <v>21.3</v>
      </c>
      <c r="HH16" s="221">
        <f t="shared" ca="1" si="50"/>
        <v>427.34899999999999</v>
      </c>
      <c r="HI16" s="163">
        <f t="shared" ca="1" si="104"/>
        <v>9102.5337</v>
      </c>
      <c r="HK16" s="221">
        <f t="shared" ca="1" si="51"/>
        <v>20.655000000000001</v>
      </c>
      <c r="HL16" s="221">
        <f t="shared" ca="1" si="51"/>
        <v>426.49900000000002</v>
      </c>
      <c r="HM16" s="163">
        <f t="shared" ca="1" si="105"/>
        <v>8809.3368450000016</v>
      </c>
      <c r="HO16" s="148">
        <f t="shared" ca="1" si="52"/>
        <v>19.72</v>
      </c>
      <c r="HP16" s="148">
        <f t="shared" ca="1" si="52"/>
        <v>425.63600000000002</v>
      </c>
      <c r="HQ16" s="163">
        <f t="shared" ca="1" si="106"/>
        <v>8393.5419199999997</v>
      </c>
      <c r="HS16" s="148">
        <f t="shared" ca="1" si="53"/>
        <v>20.09</v>
      </c>
      <c r="HT16" s="148">
        <f t="shared" ca="1" si="53"/>
        <v>425.88499999999999</v>
      </c>
      <c r="HU16" s="163">
        <f t="shared" ca="1" si="107"/>
        <v>8556.0296500000004</v>
      </c>
      <c r="HX16" s="149">
        <f t="shared" ca="1" si="54"/>
        <v>38</v>
      </c>
    </row>
    <row r="17" spans="2:232" s="137" customFormat="1">
      <c r="B17" s="155">
        <f t="shared" ca="1" si="108"/>
        <v>8</v>
      </c>
      <c r="C17" s="146" t="str">
        <f t="shared" ca="1" si="0"/>
        <v>CMS Energy Corporation</v>
      </c>
      <c r="D17" s="138" t="str">
        <f t="shared" ca="1" si="0"/>
        <v>CMS</v>
      </c>
      <c r="E17" s="138">
        <f t="shared" ca="1" si="0"/>
        <v>4004172</v>
      </c>
      <c r="F17" s="147"/>
      <c r="G17" s="363">
        <f t="shared" ca="1" si="1"/>
        <v>66.650000000000006</v>
      </c>
      <c r="H17" s="363">
        <f t="shared" ca="1" si="1"/>
        <v>298</v>
      </c>
      <c r="I17" s="364">
        <f t="shared" ca="1" si="55"/>
        <v>19861.7</v>
      </c>
      <c r="J17" s="147"/>
      <c r="K17" s="147"/>
      <c r="L17" s="363">
        <f t="shared" ca="1" si="2"/>
        <v>70.63</v>
      </c>
      <c r="M17" s="363">
        <f t="shared" ca="1" si="2"/>
        <v>297.89999999999998</v>
      </c>
      <c r="N17" s="364">
        <f t="shared" ca="1" si="56"/>
        <v>21040.676999999996</v>
      </c>
      <c r="O17" s="147"/>
      <c r="P17" s="147"/>
      <c r="Q17" s="363">
        <f t="shared" ca="1" si="3"/>
        <v>59.53</v>
      </c>
      <c r="R17" s="363">
        <f t="shared" ca="1" si="3"/>
        <v>296.5</v>
      </c>
      <c r="S17" s="364">
        <f t="shared" ca="1" si="57"/>
        <v>17650.645</v>
      </c>
      <c r="T17" s="147"/>
      <c r="U17" s="147"/>
      <c r="V17" s="363">
        <f t="shared" ca="1" si="4"/>
        <v>60.34</v>
      </c>
      <c r="W17" s="363">
        <f t="shared" ca="1" si="4"/>
        <v>292.10000000000002</v>
      </c>
      <c r="X17" s="364">
        <f t="shared" ca="1" si="58"/>
        <v>17625.314000000002</v>
      </c>
      <c r="Y17" s="147"/>
      <c r="Z17" s="147"/>
      <c r="AA17" s="363">
        <f t="shared" ca="1" si="5"/>
        <v>58.07</v>
      </c>
      <c r="AB17" s="363">
        <f t="shared" ca="1" si="5"/>
        <v>291</v>
      </c>
      <c r="AC17" s="364">
        <f t="shared" ca="1" si="59"/>
        <v>16898.37</v>
      </c>
      <c r="AD17" s="147"/>
      <c r="AE17" s="147"/>
      <c r="AF17" s="363">
        <f t="shared" ca="1" si="6"/>
        <v>53.11</v>
      </c>
      <c r="AG17" s="363">
        <f t="shared" ca="1" si="6"/>
        <v>290.89999999999998</v>
      </c>
      <c r="AH17" s="364">
        <f t="shared" ca="1" si="60"/>
        <v>15449.698999999999</v>
      </c>
      <c r="AI17" s="147"/>
      <c r="AJ17" s="147"/>
      <c r="AK17" s="363">
        <f t="shared" ca="1" si="7"/>
        <v>58.75</v>
      </c>
      <c r="AL17" s="363">
        <f t="shared" ca="1" si="7"/>
        <v>290.7</v>
      </c>
      <c r="AM17" s="364">
        <f t="shared" ca="1" si="61"/>
        <v>17078.625</v>
      </c>
      <c r="AN17" s="147"/>
      <c r="AO17" s="147"/>
      <c r="AP17" s="363">
        <f t="shared" ca="1" si="8"/>
        <v>61.38</v>
      </c>
      <c r="AQ17" s="363">
        <f t="shared" ca="1" si="8"/>
        <v>289.5</v>
      </c>
      <c r="AR17" s="364">
        <f t="shared" ca="1" si="62"/>
        <v>17769.510000000002</v>
      </c>
      <c r="AS17" s="147"/>
      <c r="AT17" s="147"/>
      <c r="AU17" s="363">
        <f t="shared" ca="1" si="9"/>
        <v>63.33</v>
      </c>
      <c r="AV17" s="363">
        <f t="shared" ca="1" si="9"/>
        <v>289.60000000000002</v>
      </c>
      <c r="AW17" s="364">
        <f t="shared" ca="1" si="63"/>
        <v>18340.368000000002</v>
      </c>
      <c r="AX17" s="147"/>
      <c r="AY17" s="147"/>
      <c r="AZ17" s="363">
        <f t="shared" ca="1" si="10"/>
        <v>58.24</v>
      </c>
      <c r="BA17" s="363">
        <f t="shared" ca="1" si="10"/>
        <v>289.5</v>
      </c>
      <c r="BB17" s="364">
        <f t="shared" ca="1" si="64"/>
        <v>16860.48</v>
      </c>
      <c r="BC17" s="147"/>
      <c r="BD17" s="147"/>
      <c r="BE17" s="363">
        <f t="shared" ca="1" si="11"/>
        <v>67.5</v>
      </c>
      <c r="BF17" s="363">
        <f t="shared" ca="1" si="11"/>
        <v>289.3</v>
      </c>
      <c r="BG17" s="364">
        <f t="shared" ca="1" si="65"/>
        <v>19527.75</v>
      </c>
      <c r="BH17" s="147"/>
      <c r="BI17" s="147"/>
      <c r="BJ17" s="363">
        <f t="shared" ca="1" si="12"/>
        <v>69.94</v>
      </c>
      <c r="BK17" s="363">
        <f t="shared" ca="1" si="12"/>
        <v>289</v>
      </c>
      <c r="BL17" s="364">
        <f t="shared" ca="1" si="66"/>
        <v>20212.66</v>
      </c>
      <c r="BM17" s="147"/>
      <c r="BN17" s="147"/>
      <c r="BO17" s="363">
        <f t="shared" ca="1" si="13"/>
        <v>65.05</v>
      </c>
      <c r="BP17" s="363">
        <f t="shared" ca="1" si="13"/>
        <v>289.10000000000002</v>
      </c>
      <c r="BQ17" s="364">
        <f t="shared" ca="1" si="67"/>
        <v>18805.955000000002</v>
      </c>
      <c r="BR17" s="162"/>
      <c r="BS17" s="363">
        <f t="shared" ca="1" si="14"/>
        <v>59.73</v>
      </c>
      <c r="BT17" s="363">
        <f t="shared" ca="1" si="14"/>
        <v>289</v>
      </c>
      <c r="BU17" s="364">
        <f t="shared" ca="1" si="68"/>
        <v>17261.969999999998</v>
      </c>
      <c r="BV17" s="162"/>
      <c r="BW17" s="363">
        <f t="shared" ca="1" si="15"/>
        <v>59.08</v>
      </c>
      <c r="BX17" s="363">
        <f t="shared" ca="1" si="15"/>
        <v>288.60000000000002</v>
      </c>
      <c r="BY17" s="364">
        <f t="shared" ca="1" si="69"/>
        <v>17050.488000000001</v>
      </c>
      <c r="BZ17" s="162"/>
      <c r="CA17" s="363">
        <f t="shared" ca="1" si="16"/>
        <v>61.22</v>
      </c>
      <c r="CB17" s="363">
        <f t="shared" ca="1" si="16"/>
        <v>285</v>
      </c>
      <c r="CC17" s="364">
        <f t="shared" ca="1" si="70"/>
        <v>17447.7</v>
      </c>
      <c r="CD17" s="162"/>
      <c r="CE17" s="363">
        <f t="shared" ca="1" si="17"/>
        <v>61.01</v>
      </c>
      <c r="CF17" s="363">
        <f t="shared" ca="1" si="17"/>
        <v>285.60000000000002</v>
      </c>
      <c r="CG17" s="364">
        <f t="shared" ca="1" si="71"/>
        <v>17424.456000000002</v>
      </c>
      <c r="CH17" s="162"/>
      <c r="CI17" s="363">
        <f t="shared" ca="1" si="18"/>
        <v>61.41</v>
      </c>
      <c r="CJ17" s="363">
        <f t="shared" ca="1" si="18"/>
        <v>285.5</v>
      </c>
      <c r="CK17" s="364">
        <f t="shared" ca="1" si="72"/>
        <v>17532.555</v>
      </c>
      <c r="CL17" s="162"/>
      <c r="CM17" s="363">
        <f t="shared" ca="1" si="19"/>
        <v>58.42</v>
      </c>
      <c r="CN17" s="363">
        <f t="shared" ca="1" si="19"/>
        <v>283.3</v>
      </c>
      <c r="CO17" s="364">
        <f t="shared" ca="1" si="73"/>
        <v>16550.386000000002</v>
      </c>
      <c r="CP17" s="162"/>
      <c r="CQ17" s="221">
        <f t="shared" ca="1" si="20"/>
        <v>58.75</v>
      </c>
      <c r="CR17" s="221">
        <f t="shared" ca="1" si="20"/>
        <v>283</v>
      </c>
      <c r="CS17" s="163">
        <f t="shared" ca="1" si="74"/>
        <v>16626.25</v>
      </c>
      <c r="CT17" s="162"/>
      <c r="CU17" s="221">
        <f t="shared" ca="1" si="21"/>
        <v>62.84</v>
      </c>
      <c r="CV17" s="221">
        <f t="shared" ca="1" si="21"/>
        <v>283</v>
      </c>
      <c r="CW17" s="163">
        <f t="shared" ca="1" si="75"/>
        <v>17783.72</v>
      </c>
      <c r="CX17" s="162"/>
      <c r="CY17" s="221">
        <f t="shared" ca="1" si="22"/>
        <v>63.95</v>
      </c>
      <c r="CZ17" s="221">
        <f t="shared" ca="1" si="22"/>
        <v>282.89999999999998</v>
      </c>
      <c r="DA17" s="163">
        <f t="shared" ca="1" si="76"/>
        <v>18091.454999999998</v>
      </c>
      <c r="DB17" s="162"/>
      <c r="DC17" s="221">
        <f t="shared" ca="1" si="23"/>
        <v>57.91</v>
      </c>
      <c r="DD17" s="221">
        <f t="shared" ca="1" si="23"/>
        <v>282.8</v>
      </c>
      <c r="DE17" s="163">
        <f t="shared" ca="1" si="77"/>
        <v>16376.948</v>
      </c>
      <c r="DF17" s="162"/>
      <c r="DG17" s="221">
        <f t="shared" ca="1" si="24"/>
        <v>55.54</v>
      </c>
      <c r="DH17" s="221">
        <f t="shared" ca="1" si="24"/>
        <v>282.17099999999999</v>
      </c>
      <c r="DI17" s="163">
        <f t="shared" ca="1" si="78"/>
        <v>15671.777339999999</v>
      </c>
      <c r="DJ17" s="162"/>
      <c r="DK17" s="221">
        <f t="shared" ca="1" si="25"/>
        <v>49.65</v>
      </c>
      <c r="DL17" s="221">
        <f t="shared" ca="1" si="25"/>
        <v>282.5</v>
      </c>
      <c r="DM17" s="163">
        <f t="shared" ca="1" si="79"/>
        <v>14026.125</v>
      </c>
      <c r="DN17" s="162"/>
      <c r="DO17" s="221">
        <f t="shared" ca="1" si="26"/>
        <v>49</v>
      </c>
      <c r="DP17" s="221">
        <f t="shared" ca="1" si="26"/>
        <v>282.10000000000002</v>
      </c>
      <c r="DQ17" s="163">
        <f t="shared" ca="1" si="80"/>
        <v>13822.900000000001</v>
      </c>
      <c r="DR17" s="162"/>
      <c r="DS17" s="221">
        <f t="shared" ca="1" si="27"/>
        <v>47.28</v>
      </c>
      <c r="DT17" s="221">
        <f t="shared" ca="1" si="27"/>
        <v>281.5</v>
      </c>
      <c r="DU17" s="163">
        <f t="shared" ca="1" si="81"/>
        <v>13309.32</v>
      </c>
      <c r="DV17" s="162"/>
      <c r="DW17" s="221">
        <f t="shared" ca="1" si="28"/>
        <v>45.29</v>
      </c>
      <c r="DX17" s="221">
        <f t="shared" ca="1" si="28"/>
        <v>280.8</v>
      </c>
      <c r="DY17" s="163">
        <f t="shared" ca="1" si="82"/>
        <v>12717.432000000001</v>
      </c>
      <c r="DZ17" s="162"/>
      <c r="EA17" s="221">
        <f t="shared" ca="1" si="29"/>
        <v>47.3</v>
      </c>
      <c r="EB17" s="221">
        <f t="shared" ca="1" si="29"/>
        <v>280.8</v>
      </c>
      <c r="EC17" s="163">
        <f t="shared" ca="1" si="83"/>
        <v>13281.84</v>
      </c>
      <c r="ED17" s="162"/>
      <c r="EE17" s="221">
        <f t="shared" ca="1" si="30"/>
        <v>46.32</v>
      </c>
      <c r="EF17" s="221">
        <f t="shared" ca="1" si="30"/>
        <v>279.5</v>
      </c>
      <c r="EG17" s="163">
        <f t="shared" ca="1" si="84"/>
        <v>12946.44</v>
      </c>
      <c r="EH17" s="162"/>
      <c r="EI17" s="221">
        <f t="shared" ca="1" si="31"/>
        <v>46.25</v>
      </c>
      <c r="EJ17" s="221">
        <f t="shared" ca="1" si="31"/>
        <v>278.89999999999998</v>
      </c>
      <c r="EK17" s="163">
        <f t="shared" ca="1" si="85"/>
        <v>12899.124999999998</v>
      </c>
      <c r="EL17" s="162"/>
      <c r="EM17" s="221">
        <f t="shared" ca="1" si="32"/>
        <v>44.74</v>
      </c>
      <c r="EN17" s="221">
        <f t="shared" ca="1" si="32"/>
        <v>277.851</v>
      </c>
      <c r="EO17" s="163">
        <f t="shared" ca="1" si="86"/>
        <v>12431.053740000001</v>
      </c>
      <c r="EP17" s="162"/>
      <c r="EQ17" s="221">
        <f t="shared" ca="1" si="33"/>
        <v>41.62</v>
      </c>
      <c r="ER17" s="221">
        <f t="shared" ca="1" si="33"/>
        <v>278.2</v>
      </c>
      <c r="ES17" s="163">
        <f t="shared" ca="1" si="87"/>
        <v>11578.683999999999</v>
      </c>
      <c r="ET17" s="162"/>
      <c r="EU17" s="221">
        <f t="shared" ca="1" si="34"/>
        <v>42.01</v>
      </c>
      <c r="EV17" s="221">
        <f t="shared" ca="1" si="34"/>
        <v>278.2</v>
      </c>
      <c r="EW17" s="163">
        <f t="shared" ca="1" si="88"/>
        <v>11687.181999999999</v>
      </c>
      <c r="EX17" s="162"/>
      <c r="EY17" s="221">
        <f t="shared" ca="1" si="35"/>
        <v>45.86</v>
      </c>
      <c r="EZ17" s="221">
        <f t="shared" ca="1" si="35"/>
        <v>276.7</v>
      </c>
      <c r="FA17" s="163">
        <f t="shared" ca="1" si="89"/>
        <v>12689.462</v>
      </c>
      <c r="FB17" s="162"/>
      <c r="FC17" s="221">
        <f t="shared" ca="1" si="36"/>
        <v>42.44</v>
      </c>
      <c r="FD17" s="221">
        <f t="shared" ca="1" si="36"/>
        <v>275.60000000000002</v>
      </c>
      <c r="FE17" s="163">
        <f t="shared" ca="1" si="90"/>
        <v>11696.464</v>
      </c>
      <c r="FF17" s="162"/>
      <c r="FG17" s="221">
        <f t="shared" ca="1" si="37"/>
        <v>36.08</v>
      </c>
      <c r="FH17" s="221">
        <f t="shared" ca="1" si="37"/>
        <v>276</v>
      </c>
      <c r="FI17" s="163">
        <f t="shared" ca="1" si="91"/>
        <v>9958.08</v>
      </c>
      <c r="FJ17" s="162"/>
      <c r="FK17" s="221">
        <f t="shared" ca="1" si="38"/>
        <v>35.32</v>
      </c>
      <c r="FL17" s="221">
        <f t="shared" ca="1" si="38"/>
        <v>275.39999999999998</v>
      </c>
      <c r="FM17" s="163">
        <f t="shared" ca="1" si="92"/>
        <v>9727.1279999999988</v>
      </c>
      <c r="FN17" s="162"/>
      <c r="FO17" s="221">
        <f t="shared" ca="1" si="39"/>
        <v>31.84</v>
      </c>
      <c r="FP17" s="221">
        <f t="shared" ca="1" si="39"/>
        <v>274.8</v>
      </c>
      <c r="FQ17" s="163">
        <f t="shared" ca="1" si="93"/>
        <v>8749.6319999999996</v>
      </c>
      <c r="FR17" s="162"/>
      <c r="FS17" s="221">
        <f t="shared" ca="1" si="40"/>
        <v>34.909999999999997</v>
      </c>
      <c r="FT17" s="221">
        <f t="shared" ca="1" si="40"/>
        <v>274.10000000000002</v>
      </c>
      <c r="FU17" s="163">
        <f t="shared" ca="1" si="94"/>
        <v>9568.8310000000001</v>
      </c>
      <c r="FW17" s="221">
        <f t="shared" ca="1" si="41"/>
        <v>34.75</v>
      </c>
      <c r="FX17" s="221">
        <f t="shared" ca="1" si="41"/>
        <v>274</v>
      </c>
      <c r="FY17" s="163">
        <f t="shared" ca="1" si="95"/>
        <v>9521.5</v>
      </c>
      <c r="GA17" s="221">
        <f t="shared" ca="1" si="42"/>
        <v>29.66</v>
      </c>
      <c r="GB17" s="221">
        <f t="shared" ca="1" si="42"/>
        <v>268</v>
      </c>
      <c r="GC17" s="163">
        <f t="shared" ca="1" si="96"/>
        <v>7948.88</v>
      </c>
      <c r="GE17" s="221">
        <f t="shared" ca="1" si="43"/>
        <v>31.15</v>
      </c>
      <c r="GF17" s="221">
        <f t="shared" ca="1" si="43"/>
        <v>266.10000000000002</v>
      </c>
      <c r="GG17" s="163">
        <f t="shared" ca="1" si="97"/>
        <v>8289.0150000000012</v>
      </c>
      <c r="GI17" s="221">
        <f t="shared" ca="1" si="44"/>
        <v>29.28</v>
      </c>
      <c r="GJ17" s="221">
        <f t="shared" ca="1" si="44"/>
        <v>264.51100000000002</v>
      </c>
      <c r="GK17" s="163">
        <f t="shared" ca="1" si="98"/>
        <v>7744.8820800000012</v>
      </c>
      <c r="GM17" s="221">
        <f t="shared" ca="1" si="45"/>
        <v>26.77</v>
      </c>
      <c r="GN17" s="221">
        <f t="shared" ca="1" si="45"/>
        <v>264.8</v>
      </c>
      <c r="GO17" s="163">
        <f t="shared" ca="1" si="99"/>
        <v>7088.6959999999999</v>
      </c>
      <c r="GQ17" s="221">
        <f t="shared" ca="1" si="46"/>
        <v>26.32</v>
      </c>
      <c r="GR17" s="221">
        <f t="shared" ca="1" si="46"/>
        <v>264.5</v>
      </c>
      <c r="GS17" s="163">
        <f t="shared" ca="1" si="100"/>
        <v>6961.64</v>
      </c>
      <c r="GU17" s="221">
        <f t="shared" ca="1" si="47"/>
        <v>27.17</v>
      </c>
      <c r="GV17" s="221">
        <f t="shared" ca="1" si="47"/>
        <v>263.60000000000002</v>
      </c>
      <c r="GW17" s="163">
        <f t="shared" ca="1" si="101"/>
        <v>7162.0120000000006</v>
      </c>
      <c r="GY17" s="221">
        <f t="shared" ca="1" si="48"/>
        <v>27.94</v>
      </c>
      <c r="GZ17" s="221">
        <f t="shared" ca="1" si="48"/>
        <v>260.678</v>
      </c>
      <c r="HA17" s="163">
        <f t="shared" ca="1" si="102"/>
        <v>7283.3433199999999</v>
      </c>
      <c r="HC17" s="221">
        <f t="shared" ca="1" si="49"/>
        <v>24.38</v>
      </c>
      <c r="HD17" s="221">
        <f t="shared" ca="1" si="49"/>
        <v>262.89999999999998</v>
      </c>
      <c r="HE17" s="163">
        <f t="shared" ca="1" si="103"/>
        <v>6409.5019999999995</v>
      </c>
      <c r="HG17" s="221">
        <f t="shared" ca="1" si="50"/>
        <v>23.55</v>
      </c>
      <c r="HH17" s="221">
        <f t="shared" ca="1" si="50"/>
        <v>261.2</v>
      </c>
      <c r="HI17" s="163">
        <f t="shared" ca="1" si="104"/>
        <v>6151.26</v>
      </c>
      <c r="HK17" s="221">
        <f t="shared" ca="1" si="51"/>
        <v>23.5</v>
      </c>
      <c r="HL17" s="221">
        <f t="shared" ca="1" si="51"/>
        <v>255.6</v>
      </c>
      <c r="HM17" s="163">
        <f t="shared" ca="1" si="105"/>
        <v>6006.5999999999995</v>
      </c>
      <c r="HO17" s="148">
        <f t="shared" ca="1" si="52"/>
        <v>22</v>
      </c>
      <c r="HP17" s="148">
        <f t="shared" ca="1" si="52"/>
        <v>250.82400000000001</v>
      </c>
      <c r="HQ17" s="163">
        <f t="shared" ca="1" si="106"/>
        <v>5518.1280000000006</v>
      </c>
      <c r="HS17" s="148">
        <f t="shared" ca="1" si="53"/>
        <v>22.11</v>
      </c>
      <c r="HT17" s="148">
        <f t="shared" ca="1" si="53"/>
        <v>251.3</v>
      </c>
      <c r="HU17" s="163">
        <f t="shared" ca="1" si="107"/>
        <v>5556.2430000000004</v>
      </c>
      <c r="HX17" s="149">
        <f t="shared" ca="1" si="54"/>
        <v>71</v>
      </c>
    </row>
    <row r="18" spans="2:232" s="137" customFormat="1">
      <c r="B18" s="155">
        <f t="shared" ca="1" si="108"/>
        <v>9</v>
      </c>
      <c r="C18" s="146" t="str">
        <f t="shared" ca="1" si="0"/>
        <v>Consolidated Edison, Inc.</v>
      </c>
      <c r="D18" s="138" t="str">
        <f t="shared" ca="1" si="0"/>
        <v>ED</v>
      </c>
      <c r="E18" s="138">
        <f t="shared" ca="1" si="0"/>
        <v>4057041</v>
      </c>
      <c r="F18" s="147"/>
      <c r="G18" s="363">
        <f t="shared" ca="1" si="1"/>
        <v>89.23</v>
      </c>
      <c r="H18" s="363">
        <f t="shared" ca="1" si="1"/>
        <v>346.2</v>
      </c>
      <c r="I18" s="364">
        <f t="shared" ca="1" si="55"/>
        <v>30891.425999999999</v>
      </c>
      <c r="J18" s="147"/>
      <c r="K18" s="147"/>
      <c r="L18" s="363">
        <f t="shared" ca="1" si="2"/>
        <v>104.13</v>
      </c>
      <c r="M18" s="363">
        <f t="shared" ca="1" si="2"/>
        <v>345.9</v>
      </c>
      <c r="N18" s="364">
        <f t="shared" ca="1" si="56"/>
        <v>36018.566999999995</v>
      </c>
      <c r="O18" s="147"/>
      <c r="P18" s="147"/>
      <c r="Q18" s="363">
        <f t="shared" ca="1" si="3"/>
        <v>89.42</v>
      </c>
      <c r="R18" s="363">
        <f t="shared" ca="1" si="3"/>
        <v>345.5</v>
      </c>
      <c r="S18" s="364">
        <f t="shared" ca="1" si="57"/>
        <v>30894.61</v>
      </c>
      <c r="T18" s="147"/>
      <c r="U18" s="147"/>
      <c r="V18" s="363">
        <f t="shared" ca="1" si="4"/>
        <v>90.81</v>
      </c>
      <c r="W18" s="363">
        <f t="shared" ca="1" si="4"/>
        <v>345.3</v>
      </c>
      <c r="X18" s="364">
        <f t="shared" ca="1" si="58"/>
        <v>31356.693000000003</v>
      </c>
      <c r="Y18" s="147"/>
      <c r="Z18" s="147"/>
      <c r="AA18" s="363">
        <f t="shared" ca="1" si="5"/>
        <v>90.97</v>
      </c>
      <c r="AB18" s="363">
        <f t="shared" ca="1" si="5"/>
        <v>345</v>
      </c>
      <c r="AC18" s="364">
        <f t="shared" ca="1" si="59"/>
        <v>31384.649999999998</v>
      </c>
      <c r="AD18" s="147"/>
      <c r="AE18" s="147"/>
      <c r="AF18" s="363">
        <f t="shared" ca="1" si="6"/>
        <v>85.53</v>
      </c>
      <c r="AG18" s="363">
        <f t="shared" ca="1" si="6"/>
        <v>345.9</v>
      </c>
      <c r="AH18" s="364">
        <f t="shared" ca="1" si="60"/>
        <v>29584.826999999997</v>
      </c>
      <c r="AI18" s="147"/>
      <c r="AJ18" s="147"/>
      <c r="AK18" s="363">
        <f t="shared" ca="1" si="7"/>
        <v>90.4</v>
      </c>
      <c r="AL18" s="363">
        <f t="shared" ca="1" si="7"/>
        <v>352.9</v>
      </c>
      <c r="AM18" s="364">
        <f t="shared" ca="1" si="61"/>
        <v>31902.16</v>
      </c>
      <c r="AN18" s="147"/>
      <c r="AO18" s="147"/>
      <c r="AP18" s="363">
        <f t="shared" ca="1" si="8"/>
        <v>95.67</v>
      </c>
      <c r="AQ18" s="363">
        <f t="shared" ca="1" si="8"/>
        <v>354.5</v>
      </c>
      <c r="AR18" s="364">
        <f t="shared" ca="1" si="62"/>
        <v>33915.014999999999</v>
      </c>
      <c r="AS18" s="147"/>
      <c r="AT18" s="147"/>
      <c r="AU18" s="363">
        <f t="shared" ca="1" si="9"/>
        <v>95.31</v>
      </c>
      <c r="AV18" s="363">
        <f t="shared" ca="1" si="9"/>
        <v>354.6</v>
      </c>
      <c r="AW18" s="364">
        <f t="shared" ca="1" si="63"/>
        <v>33796.925999999999</v>
      </c>
      <c r="AX18" s="147"/>
      <c r="AY18" s="147"/>
      <c r="AZ18" s="363">
        <f t="shared" ca="1" si="10"/>
        <v>85.76</v>
      </c>
      <c r="BA18" s="363">
        <f t="shared" ca="1" si="10"/>
        <v>354.3</v>
      </c>
      <c r="BB18" s="364">
        <f t="shared" ca="1" si="64"/>
        <v>30384.768000000004</v>
      </c>
      <c r="BC18" s="147"/>
      <c r="BD18" s="147"/>
      <c r="BE18" s="363">
        <f t="shared" ca="1" si="11"/>
        <v>95.1</v>
      </c>
      <c r="BF18" s="363">
        <f t="shared" ca="1" si="11"/>
        <v>354.1</v>
      </c>
      <c r="BG18" s="364">
        <f t="shared" ca="1" si="65"/>
        <v>33674.910000000003</v>
      </c>
      <c r="BH18" s="147"/>
      <c r="BI18" s="147"/>
      <c r="BJ18" s="363">
        <f t="shared" ca="1" si="12"/>
        <v>94.68</v>
      </c>
      <c r="BK18" s="363">
        <f t="shared" ca="1" si="12"/>
        <v>348.4</v>
      </c>
      <c r="BL18" s="364">
        <f t="shared" ca="1" si="66"/>
        <v>32986.512000000002</v>
      </c>
      <c r="BM18" s="147"/>
      <c r="BN18" s="147"/>
      <c r="BO18" s="363">
        <f t="shared" ca="1" si="13"/>
        <v>85.32</v>
      </c>
      <c r="BP18" s="363">
        <f t="shared" ca="1" si="13"/>
        <v>353.4</v>
      </c>
      <c r="BQ18" s="364">
        <f t="shared" ca="1" si="67"/>
        <v>30152.087999999996</v>
      </c>
      <c r="BR18" s="162"/>
      <c r="BS18" s="363">
        <f t="shared" ca="1" si="14"/>
        <v>72.59</v>
      </c>
      <c r="BT18" s="363">
        <f t="shared" ca="1" si="14"/>
        <v>345.4</v>
      </c>
      <c r="BU18" s="364">
        <f t="shared" ca="1" si="68"/>
        <v>25072.585999999999</v>
      </c>
      <c r="BV18" s="162"/>
      <c r="BW18" s="363">
        <f t="shared" ca="1" si="15"/>
        <v>71.72</v>
      </c>
      <c r="BX18" s="363">
        <f t="shared" ca="1" si="15"/>
        <v>342.2</v>
      </c>
      <c r="BY18" s="364">
        <f t="shared" ca="1" si="69"/>
        <v>24542.583999999999</v>
      </c>
      <c r="BZ18" s="162"/>
      <c r="CA18" s="363">
        <f t="shared" ca="1" si="16"/>
        <v>74.8</v>
      </c>
      <c r="CB18" s="363">
        <f t="shared" ca="1" si="16"/>
        <v>334.8</v>
      </c>
      <c r="CC18" s="364">
        <f t="shared" ca="1" si="70"/>
        <v>25043.040000000001</v>
      </c>
      <c r="CD18" s="162"/>
      <c r="CE18" s="363">
        <f t="shared" ca="1" si="17"/>
        <v>72.27</v>
      </c>
      <c r="CF18" s="363">
        <f t="shared" ca="1" si="17"/>
        <v>334.5</v>
      </c>
      <c r="CG18" s="364">
        <f t="shared" ca="1" si="71"/>
        <v>24174.314999999999</v>
      </c>
      <c r="CH18" s="162"/>
      <c r="CI18" s="363">
        <f t="shared" ca="1" si="18"/>
        <v>77.8</v>
      </c>
      <c r="CJ18" s="363">
        <f t="shared" ca="1" si="18"/>
        <v>334.1</v>
      </c>
      <c r="CK18" s="364">
        <f t="shared" ca="1" si="72"/>
        <v>25992.98</v>
      </c>
      <c r="CL18" s="162"/>
      <c r="CM18" s="363">
        <f t="shared" ca="1" si="19"/>
        <v>71.930000000000007</v>
      </c>
      <c r="CN18" s="363">
        <f t="shared" ca="1" si="19"/>
        <v>333.6</v>
      </c>
      <c r="CO18" s="364">
        <f t="shared" ca="1" si="73"/>
        <v>23995.848000000005</v>
      </c>
      <c r="CP18" s="162"/>
      <c r="CQ18" s="221">
        <f t="shared" ca="1" si="20"/>
        <v>78</v>
      </c>
      <c r="CR18" s="221">
        <f t="shared" ca="1" si="20"/>
        <v>328.5</v>
      </c>
      <c r="CS18" s="163">
        <f t="shared" ca="1" si="74"/>
        <v>25623</v>
      </c>
      <c r="CT18" s="162"/>
      <c r="CU18" s="221">
        <f t="shared" ca="1" si="21"/>
        <v>90.47</v>
      </c>
      <c r="CV18" s="221">
        <f t="shared" ca="1" si="21"/>
        <v>332.2</v>
      </c>
      <c r="CW18" s="163">
        <f t="shared" ca="1" si="75"/>
        <v>30054.133999999998</v>
      </c>
      <c r="CX18" s="162"/>
      <c r="CY18" s="221">
        <f t="shared" ca="1" si="22"/>
        <v>94.47</v>
      </c>
      <c r="CZ18" s="221">
        <f t="shared" ca="1" si="22"/>
        <v>328.3</v>
      </c>
      <c r="DA18" s="163">
        <f t="shared" ca="1" si="76"/>
        <v>31014.501</v>
      </c>
      <c r="DB18" s="162"/>
      <c r="DC18" s="221">
        <f t="shared" ca="1" si="23"/>
        <v>87.68</v>
      </c>
      <c r="DD18" s="221">
        <f t="shared" ca="1" si="23"/>
        <v>322.5</v>
      </c>
      <c r="DE18" s="163">
        <f t="shared" ca="1" si="77"/>
        <v>28276.800000000003</v>
      </c>
      <c r="DF18" s="162"/>
      <c r="DG18" s="221">
        <f t="shared" ca="1" si="24"/>
        <v>84.81</v>
      </c>
      <c r="DH18" s="221">
        <f t="shared" ca="1" si="24"/>
        <v>311.7</v>
      </c>
      <c r="DI18" s="163">
        <f t="shared" ca="1" si="78"/>
        <v>26435.276999999998</v>
      </c>
      <c r="DJ18" s="162"/>
      <c r="DK18" s="221">
        <f t="shared" ca="1" si="25"/>
        <v>76.459999999999994</v>
      </c>
      <c r="DL18" s="221">
        <f t="shared" ca="1" si="25"/>
        <v>311.10000000000002</v>
      </c>
      <c r="DM18" s="163">
        <f t="shared" ca="1" si="79"/>
        <v>23786.705999999998</v>
      </c>
      <c r="DN18" s="162"/>
      <c r="DO18" s="221">
        <f t="shared" ca="1" si="26"/>
        <v>76.19</v>
      </c>
      <c r="DP18" s="221">
        <f t="shared" ca="1" si="26"/>
        <v>310.8</v>
      </c>
      <c r="DQ18" s="163">
        <f t="shared" ca="1" si="80"/>
        <v>23679.851999999999</v>
      </c>
      <c r="DR18" s="162"/>
      <c r="DS18" s="221">
        <f t="shared" ca="1" si="27"/>
        <v>77.98</v>
      </c>
      <c r="DT18" s="221">
        <f t="shared" ca="1" si="27"/>
        <v>310.39999999999998</v>
      </c>
      <c r="DU18" s="163">
        <f t="shared" ca="1" si="81"/>
        <v>24204.991999999998</v>
      </c>
      <c r="DV18" s="162"/>
      <c r="DW18" s="221">
        <f t="shared" ca="1" si="28"/>
        <v>77.94</v>
      </c>
      <c r="DX18" s="221">
        <f t="shared" ca="1" si="28"/>
        <v>310.10000000000002</v>
      </c>
      <c r="DY18" s="163">
        <f t="shared" ca="1" si="82"/>
        <v>24169.194</v>
      </c>
      <c r="DZ18" s="162"/>
      <c r="EA18" s="221">
        <f t="shared" ca="1" si="29"/>
        <v>84.95</v>
      </c>
      <c r="EB18" s="221">
        <f t="shared" ca="1" si="29"/>
        <v>307.8</v>
      </c>
      <c r="EC18" s="163">
        <f t="shared" ca="1" si="83"/>
        <v>26147.61</v>
      </c>
      <c r="ED18" s="162"/>
      <c r="EE18" s="221">
        <f t="shared" ca="1" si="30"/>
        <v>80.680000000000007</v>
      </c>
      <c r="EF18" s="221">
        <f t="shared" ca="1" si="30"/>
        <v>305.39999999999998</v>
      </c>
      <c r="EG18" s="163">
        <f t="shared" ca="1" si="84"/>
        <v>24639.671999999999</v>
      </c>
      <c r="EH18" s="162"/>
      <c r="EI18" s="221">
        <f t="shared" ca="1" si="31"/>
        <v>80.819999999999993</v>
      </c>
      <c r="EJ18" s="221">
        <f t="shared" ca="1" si="31"/>
        <v>305.10000000000002</v>
      </c>
      <c r="EK18" s="163">
        <f t="shared" ca="1" si="85"/>
        <v>24658.182000000001</v>
      </c>
      <c r="EL18" s="162"/>
      <c r="EM18" s="221">
        <f t="shared" ca="1" si="32"/>
        <v>77.66</v>
      </c>
      <c r="EN18" s="221">
        <f t="shared" ca="1" si="32"/>
        <v>300.39999999999998</v>
      </c>
      <c r="EO18" s="163">
        <f t="shared" ca="1" si="86"/>
        <v>23329.063999999998</v>
      </c>
      <c r="EP18" s="162"/>
      <c r="EQ18" s="221">
        <f t="shared" ca="1" si="33"/>
        <v>73.680000000000007</v>
      </c>
      <c r="ER18" s="221">
        <f t="shared" ca="1" si="33"/>
        <v>304.5</v>
      </c>
      <c r="ES18" s="163">
        <f t="shared" ca="1" si="87"/>
        <v>22435.56</v>
      </c>
      <c r="ET18" s="162"/>
      <c r="EU18" s="221">
        <f t="shared" ca="1" si="34"/>
        <v>75.3</v>
      </c>
      <c r="EV18" s="221">
        <f t="shared" ca="1" si="34"/>
        <v>299.10000000000002</v>
      </c>
      <c r="EW18" s="163">
        <f t="shared" ca="1" si="88"/>
        <v>22522.23</v>
      </c>
      <c r="EX18" s="162"/>
      <c r="EY18" s="221">
        <f t="shared" ca="1" si="35"/>
        <v>80.44</v>
      </c>
      <c r="EZ18" s="221">
        <f t="shared" ca="1" si="35"/>
        <v>293.7</v>
      </c>
      <c r="FA18" s="163">
        <f t="shared" ca="1" si="89"/>
        <v>23625.227999999999</v>
      </c>
      <c r="FB18" s="162"/>
      <c r="FC18" s="221">
        <f t="shared" ca="1" si="36"/>
        <v>76.62</v>
      </c>
      <c r="FD18" s="221">
        <f t="shared" ca="1" si="36"/>
        <v>293</v>
      </c>
      <c r="FE18" s="163">
        <f t="shared" ca="1" si="90"/>
        <v>22449.66</v>
      </c>
      <c r="FF18" s="162"/>
      <c r="FG18" s="221">
        <f t="shared" ca="1" si="37"/>
        <v>64.27</v>
      </c>
      <c r="FH18" s="221">
        <f t="shared" ca="1" si="37"/>
        <v>292.89999999999998</v>
      </c>
      <c r="FI18" s="163">
        <f t="shared" ca="1" si="91"/>
        <v>18824.682999999997</v>
      </c>
      <c r="FJ18" s="162"/>
      <c r="FK18" s="221">
        <f t="shared" ca="1" si="38"/>
        <v>66.849999999999994</v>
      </c>
      <c r="FL18" s="221">
        <f t="shared" ca="1" si="38"/>
        <v>292.89999999999998</v>
      </c>
      <c r="FM18" s="163">
        <f t="shared" ca="1" si="92"/>
        <v>19580.364999999998</v>
      </c>
      <c r="FN18" s="162"/>
      <c r="FO18" s="221">
        <f t="shared" ca="1" si="39"/>
        <v>57.88</v>
      </c>
      <c r="FP18" s="221">
        <f t="shared" ca="1" si="39"/>
        <v>292.89999999999998</v>
      </c>
      <c r="FQ18" s="163">
        <f t="shared" ca="1" si="93"/>
        <v>16953.052</v>
      </c>
      <c r="FR18" s="162"/>
      <c r="FS18" s="221">
        <f t="shared" ca="1" si="40"/>
        <v>61</v>
      </c>
      <c r="FT18" s="221">
        <f t="shared" ca="1" si="40"/>
        <v>292.89999999999998</v>
      </c>
      <c r="FU18" s="163">
        <f t="shared" ca="1" si="94"/>
        <v>17866.899999999998</v>
      </c>
      <c r="FW18" s="221">
        <f t="shared" ca="1" si="41"/>
        <v>66.010000000000005</v>
      </c>
      <c r="FX18" s="221">
        <f t="shared" ca="1" si="41"/>
        <v>292.89999999999998</v>
      </c>
      <c r="FY18" s="163">
        <f t="shared" ca="1" si="95"/>
        <v>19334.329000000002</v>
      </c>
      <c r="GA18" s="221">
        <f t="shared" ca="1" si="42"/>
        <v>56.66</v>
      </c>
      <c r="GB18" s="221">
        <f t="shared" ca="1" si="42"/>
        <v>292.89999999999998</v>
      </c>
      <c r="GC18" s="163">
        <f t="shared" ca="1" si="96"/>
        <v>16595.713999999996</v>
      </c>
      <c r="GE18" s="221">
        <f t="shared" ca="1" si="43"/>
        <v>57.74</v>
      </c>
      <c r="GF18" s="221">
        <f t="shared" ca="1" si="43"/>
        <v>292.89999999999998</v>
      </c>
      <c r="GG18" s="163">
        <f t="shared" ca="1" si="97"/>
        <v>16912.045999999998</v>
      </c>
      <c r="GI18" s="221">
        <f t="shared" ca="1" si="44"/>
        <v>53.65</v>
      </c>
      <c r="GJ18" s="221">
        <f t="shared" ca="1" si="44"/>
        <v>292.89999999999998</v>
      </c>
      <c r="GK18" s="163">
        <f t="shared" ca="1" si="98"/>
        <v>15714.084999999999</v>
      </c>
      <c r="GM18" s="221">
        <f t="shared" ca="1" si="45"/>
        <v>55.28</v>
      </c>
      <c r="GN18" s="221">
        <f t="shared" ca="1" si="45"/>
        <v>292.89999999999998</v>
      </c>
      <c r="GO18" s="163">
        <f t="shared" ca="1" si="99"/>
        <v>16191.511999999999</v>
      </c>
      <c r="GQ18" s="221">
        <f t="shared" ca="1" si="46"/>
        <v>55.14</v>
      </c>
      <c r="GR18" s="221">
        <f t="shared" ca="1" si="46"/>
        <v>292.89999999999998</v>
      </c>
      <c r="GS18" s="163">
        <f t="shared" ca="1" si="100"/>
        <v>16150.505999999999</v>
      </c>
      <c r="GU18" s="221">
        <f t="shared" ca="1" si="47"/>
        <v>58.31</v>
      </c>
      <c r="GV18" s="221">
        <f t="shared" ca="1" si="47"/>
        <v>292.89999999999998</v>
      </c>
      <c r="GW18" s="163">
        <f t="shared" ca="1" si="101"/>
        <v>17078.999</v>
      </c>
      <c r="GY18" s="221">
        <f t="shared" ca="1" si="48"/>
        <v>61.03</v>
      </c>
      <c r="GZ18" s="221">
        <f t="shared" ca="1" si="48"/>
        <v>292.89999999999998</v>
      </c>
      <c r="HA18" s="163">
        <f t="shared" ca="1" si="102"/>
        <v>17875.686999999998</v>
      </c>
      <c r="HC18" s="221">
        <f t="shared" ca="1" si="49"/>
        <v>55.54</v>
      </c>
      <c r="HD18" s="221">
        <f t="shared" ca="1" si="49"/>
        <v>292.89999999999998</v>
      </c>
      <c r="HE18" s="163">
        <f t="shared" ca="1" si="103"/>
        <v>16267.665999999999</v>
      </c>
      <c r="HG18" s="221">
        <f t="shared" ca="1" si="50"/>
        <v>59.89</v>
      </c>
      <c r="HH18" s="221">
        <f t="shared" ca="1" si="50"/>
        <v>292.89999999999998</v>
      </c>
      <c r="HI18" s="163">
        <f t="shared" ca="1" si="104"/>
        <v>17541.780999999999</v>
      </c>
      <c r="HK18" s="221">
        <f t="shared" ca="1" si="51"/>
        <v>62.18</v>
      </c>
      <c r="HL18" s="221">
        <f t="shared" ca="1" si="51"/>
        <v>292.89999999999998</v>
      </c>
      <c r="HM18" s="163">
        <f t="shared" ca="1" si="105"/>
        <v>18212.521999999997</v>
      </c>
      <c r="HO18" s="148">
        <f t="shared" ca="1" si="52"/>
        <v>58.42</v>
      </c>
      <c r="HP18" s="148">
        <f t="shared" ca="1" si="52"/>
        <v>292.60000000000002</v>
      </c>
      <c r="HQ18" s="163">
        <f t="shared" ca="1" si="106"/>
        <v>17093.692000000003</v>
      </c>
      <c r="HS18" s="148">
        <f t="shared" ca="1" si="53"/>
        <v>62.03</v>
      </c>
      <c r="HT18" s="148">
        <f t="shared" ca="1" si="53"/>
        <v>292.89999999999998</v>
      </c>
      <c r="HU18" s="163">
        <f t="shared" ca="1" si="107"/>
        <v>18168.587</v>
      </c>
      <c r="HX18" s="149">
        <f t="shared" ca="1" si="54"/>
        <v>76</v>
      </c>
    </row>
    <row r="19" spans="2:232" s="137" customFormat="1">
      <c r="B19" s="155">
        <f t="shared" ca="1" si="108"/>
        <v>10</v>
      </c>
      <c r="C19" s="146" t="str">
        <f t="shared" ca="1" si="0"/>
        <v>Dominion Energy, Inc.</v>
      </c>
      <c r="D19" s="138" t="str">
        <f t="shared" ca="1" si="0"/>
        <v>D</v>
      </c>
      <c r="E19" s="138">
        <f t="shared" ca="1" si="0"/>
        <v>4001616</v>
      </c>
      <c r="F19" s="147"/>
      <c r="G19" s="363">
        <f t="shared" ca="1" si="1"/>
        <v>53.86</v>
      </c>
      <c r="H19" s="363">
        <f t="shared" ca="1" si="1"/>
        <v>839</v>
      </c>
      <c r="I19" s="364">
        <f t="shared" ca="1" si="55"/>
        <v>45188.54</v>
      </c>
      <c r="J19" s="147"/>
      <c r="K19" s="147"/>
      <c r="L19" s="363">
        <f t="shared" ca="1" si="2"/>
        <v>57.79</v>
      </c>
      <c r="M19" s="363">
        <f t="shared" ca="1" si="2"/>
        <v>838.3</v>
      </c>
      <c r="N19" s="364">
        <f t="shared" ca="1" si="56"/>
        <v>48445.356999999996</v>
      </c>
      <c r="O19" s="147"/>
      <c r="P19" s="147"/>
      <c r="Q19" s="363">
        <f t="shared" ca="1" si="3"/>
        <v>49</v>
      </c>
      <c r="R19" s="363">
        <f t="shared" ca="1" si="3"/>
        <v>837.6</v>
      </c>
      <c r="S19" s="364">
        <f t="shared" ca="1" si="57"/>
        <v>41042.400000000001</v>
      </c>
      <c r="T19" s="147"/>
      <c r="U19" s="147"/>
      <c r="V19" s="363">
        <f t="shared" ca="1" si="4"/>
        <v>49.19</v>
      </c>
      <c r="W19" s="363">
        <f t="shared" ca="1" si="4"/>
        <v>837.6</v>
      </c>
      <c r="X19" s="364">
        <f t="shared" ca="1" si="58"/>
        <v>41201.544000000002</v>
      </c>
      <c r="Y19" s="147"/>
      <c r="Z19" s="147"/>
      <c r="AA19" s="363">
        <f t="shared" ca="1" si="5"/>
        <v>47</v>
      </c>
      <c r="AB19" s="363">
        <f t="shared" ca="1" si="5"/>
        <v>836.8</v>
      </c>
      <c r="AC19" s="364">
        <f t="shared" ca="1" si="59"/>
        <v>39329.599999999999</v>
      </c>
      <c r="AD19" s="147"/>
      <c r="AE19" s="147"/>
      <c r="AF19" s="363">
        <f t="shared" ca="1" si="6"/>
        <v>44.67</v>
      </c>
      <c r="AG19" s="363">
        <f t="shared" ca="1" si="6"/>
        <v>836</v>
      </c>
      <c r="AH19" s="364">
        <f t="shared" ca="1" si="60"/>
        <v>37344.120000000003</v>
      </c>
      <c r="AI19" s="147"/>
      <c r="AJ19" s="147"/>
      <c r="AK19" s="363">
        <f t="shared" ca="1" si="7"/>
        <v>51.79</v>
      </c>
      <c r="AL19" s="363">
        <f t="shared" ca="1" si="7"/>
        <v>835.2</v>
      </c>
      <c r="AM19" s="364">
        <f t="shared" ca="1" si="61"/>
        <v>43255.008000000002</v>
      </c>
      <c r="AN19" s="147"/>
      <c r="AO19" s="147"/>
      <c r="AP19" s="363">
        <f t="shared" ca="1" si="8"/>
        <v>55.91</v>
      </c>
      <c r="AQ19" s="363">
        <f t="shared" ca="1" si="8"/>
        <v>823.9</v>
      </c>
      <c r="AR19" s="364">
        <f t="shared" ca="1" si="62"/>
        <v>46064.248999999996</v>
      </c>
      <c r="AS19" s="147"/>
      <c r="AT19" s="147"/>
      <c r="AU19" s="363">
        <f t="shared" ca="1" si="9"/>
        <v>61.32</v>
      </c>
      <c r="AV19" s="363">
        <f t="shared" ca="1" si="9"/>
        <v>832.6</v>
      </c>
      <c r="AW19" s="364">
        <f t="shared" ca="1" si="63"/>
        <v>51055.031999999999</v>
      </c>
      <c r="AX19" s="147"/>
      <c r="AY19" s="147"/>
      <c r="AZ19" s="363">
        <f t="shared" ca="1" si="10"/>
        <v>69.11</v>
      </c>
      <c r="BA19" s="363">
        <f t="shared" ca="1" si="10"/>
        <v>818.4</v>
      </c>
      <c r="BB19" s="364">
        <f t="shared" ca="1" si="64"/>
        <v>56559.623999999996</v>
      </c>
      <c r="BC19" s="147"/>
      <c r="BD19" s="147"/>
      <c r="BE19" s="363">
        <f t="shared" ca="1" si="11"/>
        <v>79.81</v>
      </c>
      <c r="BF19" s="363">
        <f t="shared" ca="1" si="11"/>
        <v>810.6</v>
      </c>
      <c r="BG19" s="364">
        <f t="shared" ca="1" si="65"/>
        <v>64693.986000000004</v>
      </c>
      <c r="BH19" s="147"/>
      <c r="BI19" s="147"/>
      <c r="BJ19" s="363">
        <f t="shared" ca="1" si="12"/>
        <v>84.97</v>
      </c>
      <c r="BK19" s="363">
        <f t="shared" ca="1" si="12"/>
        <v>807.8</v>
      </c>
      <c r="BL19" s="364">
        <f t="shared" ca="1" si="66"/>
        <v>68638.765999999989</v>
      </c>
      <c r="BM19" s="147"/>
      <c r="BN19" s="147"/>
      <c r="BO19" s="363">
        <f t="shared" ca="1" si="13"/>
        <v>78.56</v>
      </c>
      <c r="BP19" s="363">
        <f t="shared" ca="1" si="13"/>
        <v>808.7</v>
      </c>
      <c r="BQ19" s="364">
        <f t="shared" ca="1" si="67"/>
        <v>63531.472000000009</v>
      </c>
      <c r="BR19" s="162"/>
      <c r="BS19" s="363">
        <f t="shared" ca="1" si="14"/>
        <v>73.02</v>
      </c>
      <c r="BT19" s="363">
        <f t="shared" ca="1" si="14"/>
        <v>806.6</v>
      </c>
      <c r="BU19" s="364">
        <f t="shared" ca="1" si="68"/>
        <v>58897.932000000001</v>
      </c>
      <c r="BV19" s="162"/>
      <c r="BW19" s="363">
        <f t="shared" ca="1" si="15"/>
        <v>73.569999999999993</v>
      </c>
      <c r="BX19" s="363">
        <f t="shared" ca="1" si="15"/>
        <v>805.9</v>
      </c>
      <c r="BY19" s="364">
        <f t="shared" ca="1" si="69"/>
        <v>59290.062999999995</v>
      </c>
      <c r="BZ19" s="162"/>
      <c r="CA19" s="363">
        <f t="shared" ca="1" si="16"/>
        <v>75.959999999999994</v>
      </c>
      <c r="CB19" s="363">
        <f t="shared" ca="1" si="16"/>
        <v>831</v>
      </c>
      <c r="CC19" s="364">
        <f t="shared" ca="1" si="70"/>
        <v>63122.759999999995</v>
      </c>
      <c r="CD19" s="162"/>
      <c r="CE19" s="363">
        <f t="shared" ca="1" si="17"/>
        <v>75.2</v>
      </c>
      <c r="CF19" s="363">
        <f t="shared" ca="1" si="17"/>
        <v>833.8</v>
      </c>
      <c r="CG19" s="364">
        <f t="shared" ca="1" si="71"/>
        <v>62701.760000000002</v>
      </c>
      <c r="CH19" s="162"/>
      <c r="CI19" s="363">
        <f t="shared" ca="1" si="18"/>
        <v>78.930000000000007</v>
      </c>
      <c r="CJ19" s="363">
        <f t="shared" ca="1" si="18"/>
        <v>839.4</v>
      </c>
      <c r="CK19" s="364">
        <f t="shared" ca="1" si="72"/>
        <v>66253.842000000004</v>
      </c>
      <c r="CL19" s="162"/>
      <c r="CM19" s="363">
        <f t="shared" ca="1" si="19"/>
        <v>81.180000000000007</v>
      </c>
      <c r="CN19" s="363">
        <f t="shared" ca="1" si="19"/>
        <v>838.2</v>
      </c>
      <c r="CO19" s="364">
        <f t="shared" ca="1" si="73"/>
        <v>68045.076000000015</v>
      </c>
      <c r="CP19" s="162"/>
      <c r="CQ19" s="221">
        <f t="shared" ca="1" si="20"/>
        <v>72.19</v>
      </c>
      <c r="CR19" s="221">
        <f t="shared" ca="1" si="20"/>
        <v>808.8</v>
      </c>
      <c r="CS19" s="163">
        <f t="shared" ca="1" si="74"/>
        <v>58387.271999999997</v>
      </c>
      <c r="CT19" s="162"/>
      <c r="CU19" s="221">
        <f t="shared" ca="1" si="21"/>
        <v>82.82</v>
      </c>
      <c r="CV19" s="221">
        <f t="shared" ca="1" si="21"/>
        <v>813</v>
      </c>
      <c r="CW19" s="163">
        <f t="shared" ca="1" si="75"/>
        <v>67332.659999999989</v>
      </c>
      <c r="CX19" s="162"/>
      <c r="CY19" s="221">
        <f t="shared" ca="1" si="22"/>
        <v>81.040000000000006</v>
      </c>
      <c r="CZ19" s="221">
        <f t="shared" ca="1" si="22"/>
        <v>802.5</v>
      </c>
      <c r="DA19" s="163">
        <f t="shared" ca="1" si="76"/>
        <v>65034.600000000006</v>
      </c>
      <c r="DB19" s="162"/>
      <c r="DC19" s="221">
        <f t="shared" ca="1" si="23"/>
        <v>77.319999999999993</v>
      </c>
      <c r="DD19" s="221">
        <f t="shared" ca="1" si="23"/>
        <v>793.1</v>
      </c>
      <c r="DE19" s="163">
        <f t="shared" ca="1" si="77"/>
        <v>61322.491999999998</v>
      </c>
      <c r="DF19" s="162"/>
      <c r="DG19" s="221">
        <f t="shared" ca="1" si="24"/>
        <v>76.66</v>
      </c>
      <c r="DH19" s="221">
        <f t="shared" ca="1" si="24"/>
        <v>654.20000000000005</v>
      </c>
      <c r="DI19" s="163">
        <f t="shared" ca="1" si="78"/>
        <v>50150.972000000002</v>
      </c>
      <c r="DJ19" s="162"/>
      <c r="DK19" s="221">
        <f t="shared" ca="1" si="25"/>
        <v>71.459999999999994</v>
      </c>
      <c r="DL19" s="221">
        <f t="shared" ca="1" si="25"/>
        <v>653.9</v>
      </c>
      <c r="DM19" s="163">
        <f t="shared" ca="1" si="79"/>
        <v>46727.693999999996</v>
      </c>
      <c r="DN19" s="162"/>
      <c r="DO19" s="221">
        <f t="shared" ca="1" si="26"/>
        <v>70.28</v>
      </c>
      <c r="DP19" s="221">
        <f t="shared" ca="1" si="26"/>
        <v>652.79999999999995</v>
      </c>
      <c r="DQ19" s="163">
        <f t="shared" ca="1" si="80"/>
        <v>45878.784</v>
      </c>
      <c r="DR19" s="162"/>
      <c r="DS19" s="221">
        <f t="shared" ca="1" si="27"/>
        <v>68.180000000000007</v>
      </c>
      <c r="DT19" s="221">
        <f t="shared" ca="1" si="27"/>
        <v>650.5</v>
      </c>
      <c r="DU19" s="163">
        <f t="shared" ca="1" si="81"/>
        <v>44351.090000000004</v>
      </c>
      <c r="DV19" s="162"/>
      <c r="DW19" s="221">
        <f t="shared" ca="1" si="28"/>
        <v>67.430000000000007</v>
      </c>
      <c r="DX19" s="221">
        <f t="shared" ca="1" si="28"/>
        <v>643.9</v>
      </c>
      <c r="DY19" s="163">
        <f t="shared" ca="1" si="82"/>
        <v>43418.177000000003</v>
      </c>
      <c r="DZ19" s="162"/>
      <c r="EA19" s="221">
        <f t="shared" ca="1" si="29"/>
        <v>81.06</v>
      </c>
      <c r="EB19" s="221">
        <f t="shared" ca="1" si="29"/>
        <v>642.5</v>
      </c>
      <c r="EC19" s="163">
        <f t="shared" ca="1" si="83"/>
        <v>52081.05</v>
      </c>
      <c r="ED19" s="162"/>
      <c r="EE19" s="221">
        <f t="shared" ca="1" si="30"/>
        <v>76.930000000000007</v>
      </c>
      <c r="EF19" s="221">
        <f t="shared" ca="1" si="30"/>
        <v>629.20000000000005</v>
      </c>
      <c r="EG19" s="163">
        <f t="shared" ca="1" si="84"/>
        <v>48404.356000000007</v>
      </c>
      <c r="EH19" s="162"/>
      <c r="EI19" s="221">
        <f t="shared" ca="1" si="31"/>
        <v>76.63</v>
      </c>
      <c r="EJ19" s="221">
        <f t="shared" ca="1" si="31"/>
        <v>628.1</v>
      </c>
      <c r="EK19" s="163">
        <f t="shared" ca="1" si="85"/>
        <v>48131.303</v>
      </c>
      <c r="EL19" s="162"/>
      <c r="EM19" s="221">
        <f t="shared" ca="1" si="32"/>
        <v>77.569999999999993</v>
      </c>
      <c r="EN19" s="221">
        <f t="shared" ca="1" si="32"/>
        <v>616.4</v>
      </c>
      <c r="EO19" s="163">
        <f t="shared" ca="1" si="86"/>
        <v>47814.147999999994</v>
      </c>
      <c r="EP19" s="162"/>
      <c r="EQ19" s="221">
        <f t="shared" ca="1" si="33"/>
        <v>76.59</v>
      </c>
      <c r="ER19" s="221">
        <f t="shared" ca="1" si="33"/>
        <v>625.9</v>
      </c>
      <c r="ES19" s="163">
        <f t="shared" ca="1" si="87"/>
        <v>47937.680999999997</v>
      </c>
      <c r="ET19" s="162"/>
      <c r="EU19" s="221">
        <f t="shared" ca="1" si="34"/>
        <v>74.27</v>
      </c>
      <c r="EV19" s="221">
        <f t="shared" ca="1" si="34"/>
        <v>615.6</v>
      </c>
      <c r="EW19" s="163">
        <f t="shared" ca="1" si="88"/>
        <v>45720.612000000001</v>
      </c>
      <c r="EX19" s="162"/>
      <c r="EY19" s="221">
        <f t="shared" ca="1" si="35"/>
        <v>77.930000000000007</v>
      </c>
      <c r="EZ19" s="221">
        <f t="shared" ca="1" si="35"/>
        <v>596.6</v>
      </c>
      <c r="FA19" s="163">
        <f t="shared" ca="1" si="89"/>
        <v>46493.038000000008</v>
      </c>
      <c r="FB19" s="162"/>
      <c r="FC19" s="221">
        <f t="shared" ca="1" si="36"/>
        <v>75.12</v>
      </c>
      <c r="FD19" s="221">
        <f t="shared" ca="1" si="36"/>
        <v>592.4</v>
      </c>
      <c r="FE19" s="163">
        <f t="shared" ca="1" si="90"/>
        <v>44501.088000000003</v>
      </c>
      <c r="FF19" s="162"/>
      <c r="FG19" s="221">
        <f t="shared" ca="1" si="37"/>
        <v>67.64</v>
      </c>
      <c r="FH19" s="221">
        <f t="shared" ca="1" si="37"/>
        <v>594.6</v>
      </c>
      <c r="FI19" s="163">
        <f t="shared" ca="1" si="91"/>
        <v>40218.743999999999</v>
      </c>
      <c r="FJ19" s="162"/>
      <c r="FK19" s="221">
        <f t="shared" ca="1" si="38"/>
        <v>70.38</v>
      </c>
      <c r="FL19" s="221">
        <f t="shared" ca="1" si="38"/>
        <v>591.5</v>
      </c>
      <c r="FM19" s="163">
        <f t="shared" ca="1" si="92"/>
        <v>41629.769999999997</v>
      </c>
      <c r="FN19" s="162"/>
      <c r="FO19" s="221">
        <f t="shared" ca="1" si="39"/>
        <v>66.87</v>
      </c>
      <c r="FP19" s="221">
        <f t="shared" ca="1" si="39"/>
        <v>587.9</v>
      </c>
      <c r="FQ19" s="163">
        <f t="shared" ca="1" si="93"/>
        <v>39312.873</v>
      </c>
      <c r="FR19" s="162"/>
      <c r="FS19" s="221">
        <f t="shared" ca="1" si="40"/>
        <v>70.87</v>
      </c>
      <c r="FT19" s="221">
        <f t="shared" ca="1" si="40"/>
        <v>584.20000000000005</v>
      </c>
      <c r="FU19" s="163">
        <f t="shared" ca="1" si="94"/>
        <v>41402.254000000008</v>
      </c>
      <c r="FW19" s="221">
        <f t="shared" ca="1" si="41"/>
        <v>76.900000000000006</v>
      </c>
      <c r="FX19" s="221">
        <f t="shared" ca="1" si="41"/>
        <v>583.1</v>
      </c>
      <c r="FY19" s="163">
        <f t="shared" ca="1" si="95"/>
        <v>44840.390000000007</v>
      </c>
      <c r="GA19" s="221">
        <f t="shared" ca="1" si="42"/>
        <v>69.09</v>
      </c>
      <c r="GB19" s="221">
        <f t="shared" ca="1" si="42"/>
        <v>581.9</v>
      </c>
      <c r="GC19" s="163">
        <f t="shared" ca="1" si="96"/>
        <v>40203.470999999998</v>
      </c>
      <c r="GE19" s="221">
        <f t="shared" ca="1" si="43"/>
        <v>71.52</v>
      </c>
      <c r="GF19" s="221">
        <f t="shared" ca="1" si="43"/>
        <v>581.6</v>
      </c>
      <c r="GG19" s="163">
        <f t="shared" ca="1" si="97"/>
        <v>41596.031999999999</v>
      </c>
      <c r="GI19" s="221">
        <f t="shared" ca="1" si="44"/>
        <v>70.989999999999995</v>
      </c>
      <c r="GJ19" s="221">
        <f t="shared" ca="1" si="44"/>
        <v>578.70000000000005</v>
      </c>
      <c r="GK19" s="163">
        <f t="shared" ca="1" si="98"/>
        <v>41081.913</v>
      </c>
      <c r="GM19" s="221">
        <f t="shared" ca="1" si="45"/>
        <v>64.69</v>
      </c>
      <c r="GN19" s="221">
        <f t="shared" ca="1" si="45"/>
        <v>579.4</v>
      </c>
      <c r="GO19" s="163">
        <f t="shared" ca="1" si="99"/>
        <v>37481.385999999999</v>
      </c>
      <c r="GQ19" s="221">
        <f t="shared" ca="1" si="46"/>
        <v>62.48</v>
      </c>
      <c r="GR19" s="221">
        <f t="shared" ca="1" si="46"/>
        <v>578.1</v>
      </c>
      <c r="GS19" s="163">
        <f t="shared" ca="1" si="100"/>
        <v>36119.688000000002</v>
      </c>
      <c r="GU19" s="221">
        <f t="shared" ca="1" si="47"/>
        <v>56.82</v>
      </c>
      <c r="GV19" s="221">
        <f t="shared" ca="1" si="47"/>
        <v>576.6</v>
      </c>
      <c r="GW19" s="163">
        <f t="shared" ca="1" si="101"/>
        <v>32762.412</v>
      </c>
      <c r="GY19" s="221">
        <f t="shared" ca="1" si="48"/>
        <v>58.18</v>
      </c>
      <c r="GZ19" s="221">
        <f t="shared" ca="1" si="48"/>
        <v>572.9</v>
      </c>
      <c r="HA19" s="163">
        <f t="shared" ca="1" si="102"/>
        <v>33331.322</v>
      </c>
      <c r="HC19" s="221">
        <f t="shared" ca="1" si="49"/>
        <v>51.8</v>
      </c>
      <c r="HD19" s="221">
        <f t="shared" ca="1" si="49"/>
        <v>573.79999999999995</v>
      </c>
      <c r="HE19" s="163">
        <f t="shared" ca="1" si="103"/>
        <v>29722.839999999997</v>
      </c>
      <c r="HG19" s="221">
        <f t="shared" ca="1" si="50"/>
        <v>52.94</v>
      </c>
      <c r="HH19" s="221">
        <f t="shared" ca="1" si="50"/>
        <v>572</v>
      </c>
      <c r="HI19" s="163">
        <f t="shared" ca="1" si="104"/>
        <v>30281.68</v>
      </c>
      <c r="HK19" s="221">
        <f t="shared" ca="1" si="51"/>
        <v>54</v>
      </c>
      <c r="HL19" s="221">
        <f t="shared" ca="1" si="51"/>
        <v>570.5</v>
      </c>
      <c r="HM19" s="163">
        <f t="shared" ca="1" si="105"/>
        <v>30807</v>
      </c>
      <c r="HO19" s="148">
        <f t="shared" ca="1" si="52"/>
        <v>51.21</v>
      </c>
      <c r="HP19" s="148">
        <f t="shared" ca="1" si="52"/>
        <v>573.1</v>
      </c>
      <c r="HQ19" s="163">
        <f t="shared" ca="1" si="106"/>
        <v>29348.451000000001</v>
      </c>
      <c r="HS19" s="148">
        <f t="shared" ca="1" si="53"/>
        <v>53.07</v>
      </c>
      <c r="HT19" s="148">
        <f t="shared" ca="1" si="53"/>
        <v>569.4</v>
      </c>
      <c r="HU19" s="163">
        <f t="shared" ca="1" si="107"/>
        <v>30218.057999999997</v>
      </c>
      <c r="HX19" s="149">
        <f t="shared" ca="1" si="54"/>
        <v>25</v>
      </c>
    </row>
    <row r="20" spans="2:232" s="137" customFormat="1">
      <c r="B20" s="155">
        <f t="shared" ca="1" si="108"/>
        <v>11</v>
      </c>
      <c r="C20" s="146" t="str">
        <f t="shared" ca="1" si="0"/>
        <v>DTE Energy Company</v>
      </c>
      <c r="D20" s="138" t="str">
        <f t="shared" ca="1" si="0"/>
        <v>DTE</v>
      </c>
      <c r="E20" s="138">
        <f t="shared" ca="1" si="0"/>
        <v>4057044</v>
      </c>
      <c r="F20" s="147"/>
      <c r="G20" s="363">
        <f t="shared" ca="1" si="1"/>
        <v>120.75</v>
      </c>
      <c r="H20" s="363">
        <f t="shared" ca="1" si="1"/>
        <v>207</v>
      </c>
      <c r="I20" s="364">
        <f t="shared" ca="1" si="55"/>
        <v>24995.25</v>
      </c>
      <c r="J20" s="147"/>
      <c r="K20" s="147"/>
      <c r="L20" s="363">
        <f t="shared" ca="1" si="2"/>
        <v>128.41</v>
      </c>
      <c r="M20" s="363">
        <f t="shared" ca="1" si="2"/>
        <v>207</v>
      </c>
      <c r="N20" s="364">
        <f t="shared" ca="1" si="56"/>
        <v>26580.87</v>
      </c>
      <c r="O20" s="147"/>
      <c r="P20" s="147"/>
      <c r="Q20" s="363">
        <f t="shared" ca="1" si="3"/>
        <v>111.01</v>
      </c>
      <c r="R20" s="363">
        <f t="shared" ca="1" si="3"/>
        <v>206</v>
      </c>
      <c r="S20" s="364">
        <f t="shared" ca="1" si="57"/>
        <v>22868.06</v>
      </c>
      <c r="T20" s="147"/>
      <c r="U20" s="147"/>
      <c r="V20" s="363">
        <f t="shared" ca="1" si="4"/>
        <v>112.14</v>
      </c>
      <c r="W20" s="363">
        <f t="shared" ca="1" si="4"/>
        <v>206</v>
      </c>
      <c r="X20" s="364">
        <f t="shared" ca="1" si="58"/>
        <v>23100.84</v>
      </c>
      <c r="Y20" s="147"/>
      <c r="Z20" s="147"/>
      <c r="AA20" s="363">
        <f t="shared" ca="1" si="5"/>
        <v>110.26</v>
      </c>
      <c r="AB20" s="363">
        <f t="shared" ca="1" si="5"/>
        <v>206</v>
      </c>
      <c r="AC20" s="364">
        <f t="shared" ca="1" si="59"/>
        <v>22713.56</v>
      </c>
      <c r="AD20" s="147"/>
      <c r="AE20" s="147"/>
      <c r="AF20" s="363">
        <f t="shared" ca="1" si="6"/>
        <v>99.28</v>
      </c>
      <c r="AG20" s="363">
        <f t="shared" ca="1" si="6"/>
        <v>206</v>
      </c>
      <c r="AH20" s="364">
        <f t="shared" ca="1" si="60"/>
        <v>20451.68</v>
      </c>
      <c r="AI20" s="147"/>
      <c r="AJ20" s="147"/>
      <c r="AK20" s="363">
        <f t="shared" ca="1" si="7"/>
        <v>110.02</v>
      </c>
      <c r="AL20" s="363">
        <f t="shared" ca="1" si="7"/>
        <v>206</v>
      </c>
      <c r="AM20" s="364">
        <f t="shared" ca="1" si="61"/>
        <v>22664.12</v>
      </c>
      <c r="AN20" s="147"/>
      <c r="AO20" s="147"/>
      <c r="AP20" s="363">
        <f t="shared" ca="1" si="8"/>
        <v>109.54</v>
      </c>
      <c r="AQ20" s="363">
        <f t="shared" ca="1" si="8"/>
        <v>195</v>
      </c>
      <c r="AR20" s="364">
        <f t="shared" ca="1" si="62"/>
        <v>21360.300000000003</v>
      </c>
      <c r="AS20" s="147"/>
      <c r="AT20" s="147"/>
      <c r="AU20" s="363">
        <f t="shared" ca="1" si="9"/>
        <v>117.53</v>
      </c>
      <c r="AV20" s="363">
        <f t="shared" ca="1" si="9"/>
        <v>193</v>
      </c>
      <c r="AW20" s="364">
        <f t="shared" ca="1" si="63"/>
        <v>22683.29</v>
      </c>
      <c r="AX20" s="147"/>
      <c r="AY20" s="147"/>
      <c r="AZ20" s="363">
        <f t="shared" ca="1" si="10"/>
        <v>115.05</v>
      </c>
      <c r="BA20" s="363">
        <f t="shared" ca="1" si="10"/>
        <v>193</v>
      </c>
      <c r="BB20" s="364">
        <f t="shared" ca="1" si="64"/>
        <v>22204.649999999998</v>
      </c>
      <c r="BC20" s="147"/>
      <c r="BD20" s="147"/>
      <c r="BE20" s="363">
        <f t="shared" ca="1" si="11"/>
        <v>126.75</v>
      </c>
      <c r="BF20" s="363">
        <f t="shared" ca="1" si="11"/>
        <v>193</v>
      </c>
      <c r="BG20" s="364">
        <f t="shared" ca="1" si="65"/>
        <v>24462.75</v>
      </c>
      <c r="BH20" s="147"/>
      <c r="BI20" s="147"/>
      <c r="BJ20" s="363">
        <f t="shared" ca="1" si="12"/>
        <v>132.21</v>
      </c>
      <c r="BK20" s="363">
        <f t="shared" ca="1" si="12"/>
        <v>193</v>
      </c>
      <c r="BL20" s="364">
        <f t="shared" ca="1" si="66"/>
        <v>25516.530000000002</v>
      </c>
      <c r="BM20" s="147"/>
      <c r="BN20" s="147"/>
      <c r="BO20" s="363">
        <f t="shared" ca="1" si="13"/>
        <v>119.54</v>
      </c>
      <c r="BP20" s="363">
        <f t="shared" ca="1" si="13"/>
        <v>193</v>
      </c>
      <c r="BQ20" s="364">
        <f t="shared" ca="1" si="67"/>
        <v>23071.22</v>
      </c>
      <c r="BR20" s="162"/>
      <c r="BS20" s="363">
        <f t="shared" ca="1" si="14"/>
        <v>111.71</v>
      </c>
      <c r="BT20" s="363">
        <f t="shared" ca="1" si="14"/>
        <v>193</v>
      </c>
      <c r="BU20" s="364">
        <f t="shared" ca="1" si="68"/>
        <v>21560.03</v>
      </c>
      <c r="BV20" s="162"/>
      <c r="BW20" s="363">
        <f t="shared" ca="1" si="15"/>
        <v>129.6</v>
      </c>
      <c r="BX20" s="363">
        <f t="shared" ca="1" si="15"/>
        <v>194</v>
      </c>
      <c r="BY20" s="364">
        <f t="shared" ca="1" si="69"/>
        <v>25142.399999999998</v>
      </c>
      <c r="BZ20" s="162"/>
      <c r="CA20" s="363">
        <f t="shared" ca="1" si="16"/>
        <v>133.13999999999999</v>
      </c>
      <c r="CB20" s="363">
        <f t="shared" ca="1" si="16"/>
        <v>193</v>
      </c>
      <c r="CC20" s="364">
        <f t="shared" ca="1" si="70"/>
        <v>25696.019999999997</v>
      </c>
      <c r="CD20" s="162"/>
      <c r="CE20" s="363">
        <f t="shared" ca="1" si="17"/>
        <v>121.41</v>
      </c>
      <c r="CF20" s="363">
        <f t="shared" ca="1" si="17"/>
        <v>193</v>
      </c>
      <c r="CG20" s="364">
        <f t="shared" ca="1" si="71"/>
        <v>23432.13</v>
      </c>
      <c r="CH20" s="162"/>
      <c r="CI20" s="363">
        <f t="shared" ca="1" si="18"/>
        <v>115.04</v>
      </c>
      <c r="CJ20" s="363">
        <f t="shared" ca="1" si="18"/>
        <v>192</v>
      </c>
      <c r="CK20" s="364">
        <f t="shared" ca="1" si="72"/>
        <v>22087.68</v>
      </c>
      <c r="CL20" s="162"/>
      <c r="CM20" s="363">
        <f t="shared" ca="1" si="19"/>
        <v>107.5</v>
      </c>
      <c r="CN20" s="363">
        <f t="shared" ca="1" si="19"/>
        <v>192</v>
      </c>
      <c r="CO20" s="364">
        <f t="shared" ca="1" si="73"/>
        <v>20640</v>
      </c>
      <c r="CP20" s="162"/>
      <c r="CQ20" s="221">
        <f t="shared" ca="1" si="20"/>
        <v>94.97</v>
      </c>
      <c r="CR20" s="221">
        <f t="shared" ca="1" si="20"/>
        <v>185</v>
      </c>
      <c r="CS20" s="163">
        <f t="shared" ca="1" si="74"/>
        <v>17569.45</v>
      </c>
      <c r="CT20" s="162"/>
      <c r="CU20" s="221">
        <f t="shared" ca="1" si="21"/>
        <v>129.87</v>
      </c>
      <c r="CV20" s="221">
        <f t="shared" ca="1" si="21"/>
        <v>183</v>
      </c>
      <c r="CW20" s="163">
        <f t="shared" ca="1" si="75"/>
        <v>23766.21</v>
      </c>
      <c r="CX20" s="162"/>
      <c r="CY20" s="221">
        <f t="shared" ca="1" si="22"/>
        <v>132.96</v>
      </c>
      <c r="CZ20" s="221">
        <f t="shared" ca="1" si="22"/>
        <v>183</v>
      </c>
      <c r="DA20" s="163">
        <f t="shared" ca="1" si="76"/>
        <v>24331.68</v>
      </c>
      <c r="DB20" s="162"/>
      <c r="DC20" s="221">
        <f t="shared" ca="1" si="23"/>
        <v>127.88</v>
      </c>
      <c r="DD20" s="221">
        <f t="shared" ca="1" si="23"/>
        <v>182</v>
      </c>
      <c r="DE20" s="163">
        <f t="shared" ca="1" si="77"/>
        <v>23274.16</v>
      </c>
      <c r="DF20" s="162"/>
      <c r="DG20" s="221">
        <f t="shared" ca="1" si="24"/>
        <v>124.74</v>
      </c>
      <c r="DH20" s="221">
        <f t="shared" ca="1" si="24"/>
        <v>181</v>
      </c>
      <c r="DI20" s="163">
        <f t="shared" ca="1" si="78"/>
        <v>22577.94</v>
      </c>
      <c r="DJ20" s="162"/>
      <c r="DK20" s="221">
        <f t="shared" ca="1" si="25"/>
        <v>110.3</v>
      </c>
      <c r="DL20" s="221">
        <f t="shared" ca="1" si="25"/>
        <v>182</v>
      </c>
      <c r="DM20" s="163">
        <f t="shared" ca="1" si="79"/>
        <v>20074.599999999999</v>
      </c>
      <c r="DN20" s="162"/>
      <c r="DO20" s="221">
        <f t="shared" ca="1" si="26"/>
        <v>109.13</v>
      </c>
      <c r="DP20" s="221">
        <f t="shared" ca="1" si="26"/>
        <v>181</v>
      </c>
      <c r="DQ20" s="163">
        <f t="shared" ca="1" si="80"/>
        <v>19752.53</v>
      </c>
      <c r="DR20" s="162"/>
      <c r="DS20" s="221">
        <f t="shared" ca="1" si="27"/>
        <v>103.63</v>
      </c>
      <c r="DT20" s="221">
        <f t="shared" ca="1" si="27"/>
        <v>180</v>
      </c>
      <c r="DU20" s="163">
        <f t="shared" ca="1" si="81"/>
        <v>18653.399999999998</v>
      </c>
      <c r="DV20" s="162"/>
      <c r="DW20" s="221">
        <f t="shared" ca="1" si="28"/>
        <v>104.4</v>
      </c>
      <c r="DX20" s="221">
        <f t="shared" ca="1" si="28"/>
        <v>179</v>
      </c>
      <c r="DY20" s="163">
        <f t="shared" ca="1" si="82"/>
        <v>18687.600000000002</v>
      </c>
      <c r="DZ20" s="162"/>
      <c r="EA20" s="221">
        <f t="shared" ca="1" si="29"/>
        <v>109.46</v>
      </c>
      <c r="EB20" s="221">
        <f t="shared" ca="1" si="29"/>
        <v>179</v>
      </c>
      <c r="EC20" s="163">
        <f t="shared" ca="1" si="83"/>
        <v>19593.34</v>
      </c>
      <c r="ED20" s="162"/>
      <c r="EE20" s="221">
        <f t="shared" ca="1" si="30"/>
        <v>107.36</v>
      </c>
      <c r="EF20" s="221">
        <f t="shared" ca="1" si="30"/>
        <v>179</v>
      </c>
      <c r="EG20" s="163">
        <f t="shared" ca="1" si="84"/>
        <v>19217.439999999999</v>
      </c>
      <c r="EH20" s="162"/>
      <c r="EI20" s="221">
        <f t="shared" ca="1" si="31"/>
        <v>105.79</v>
      </c>
      <c r="EJ20" s="221">
        <f t="shared" ca="1" si="31"/>
        <v>179</v>
      </c>
      <c r="EK20" s="163">
        <f t="shared" ca="1" si="85"/>
        <v>18936.41</v>
      </c>
      <c r="EL20" s="162"/>
      <c r="EM20" s="221">
        <f t="shared" ca="1" si="32"/>
        <v>102.11</v>
      </c>
      <c r="EN20" s="221">
        <f t="shared" ca="1" si="32"/>
        <v>179</v>
      </c>
      <c r="EO20" s="163">
        <f t="shared" ca="1" si="86"/>
        <v>18277.689999999999</v>
      </c>
      <c r="EP20" s="162"/>
      <c r="EQ20" s="221">
        <f t="shared" ca="1" si="33"/>
        <v>98.51</v>
      </c>
      <c r="ER20" s="221">
        <f t="shared" ca="1" si="33"/>
        <v>179</v>
      </c>
      <c r="ES20" s="163">
        <f t="shared" ca="1" si="87"/>
        <v>17633.29</v>
      </c>
      <c r="ET20" s="162"/>
      <c r="EU20" s="221">
        <f t="shared" ca="1" si="34"/>
        <v>93.67</v>
      </c>
      <c r="EV20" s="221">
        <f t="shared" ca="1" si="34"/>
        <v>179</v>
      </c>
      <c r="EW20" s="163">
        <f t="shared" ca="1" si="88"/>
        <v>16766.93</v>
      </c>
      <c r="EX20" s="162"/>
      <c r="EY20" s="221">
        <f t="shared" ca="1" si="35"/>
        <v>99.12</v>
      </c>
      <c r="EZ20" s="221">
        <f t="shared" ca="1" si="35"/>
        <v>179</v>
      </c>
      <c r="FA20" s="163">
        <f t="shared" ca="1" si="89"/>
        <v>17742.48</v>
      </c>
      <c r="FB20" s="162"/>
      <c r="FC20" s="221">
        <f t="shared" ca="1" si="36"/>
        <v>90.66</v>
      </c>
      <c r="FD20" s="221">
        <f t="shared" ca="1" si="36"/>
        <v>179</v>
      </c>
      <c r="FE20" s="163">
        <f t="shared" ca="1" si="90"/>
        <v>16228.14</v>
      </c>
      <c r="FF20" s="162"/>
      <c r="FG20" s="221">
        <f t="shared" ca="1" si="37"/>
        <v>80.19</v>
      </c>
      <c r="FH20" s="221">
        <f t="shared" ca="1" si="37"/>
        <v>179</v>
      </c>
      <c r="FI20" s="163">
        <f t="shared" ca="1" si="91"/>
        <v>14354.01</v>
      </c>
      <c r="FJ20" s="162"/>
      <c r="FK20" s="221">
        <f t="shared" ca="1" si="38"/>
        <v>80.37</v>
      </c>
      <c r="FL20" s="221">
        <f t="shared" ca="1" si="38"/>
        <v>179</v>
      </c>
      <c r="FM20" s="163">
        <f t="shared" ca="1" si="92"/>
        <v>14386.230000000001</v>
      </c>
      <c r="FN20" s="162"/>
      <c r="FO20" s="221">
        <f t="shared" ca="1" si="39"/>
        <v>74.64</v>
      </c>
      <c r="FP20" s="221">
        <f t="shared" ca="1" si="39"/>
        <v>178</v>
      </c>
      <c r="FQ20" s="163">
        <f t="shared" ca="1" si="93"/>
        <v>13285.92</v>
      </c>
      <c r="FR20" s="162"/>
      <c r="FS20" s="221">
        <f t="shared" ca="1" si="40"/>
        <v>80.69</v>
      </c>
      <c r="FT20" s="221">
        <f t="shared" ca="1" si="40"/>
        <v>177</v>
      </c>
      <c r="FU20" s="163">
        <f t="shared" ca="1" si="94"/>
        <v>14282.13</v>
      </c>
      <c r="FW20" s="221">
        <f t="shared" ca="1" si="41"/>
        <v>86.37</v>
      </c>
      <c r="FX20" s="221">
        <f t="shared" ca="1" si="41"/>
        <v>177</v>
      </c>
      <c r="FY20" s="163">
        <f t="shared" ca="1" si="95"/>
        <v>15287.490000000002</v>
      </c>
      <c r="GA20" s="221">
        <f t="shared" ca="1" si="42"/>
        <v>76.08</v>
      </c>
      <c r="GB20" s="221">
        <f t="shared" ca="1" si="42"/>
        <v>177</v>
      </c>
      <c r="GC20" s="163">
        <f t="shared" ca="1" si="96"/>
        <v>13466.16</v>
      </c>
      <c r="GE20" s="221">
        <f t="shared" ca="1" si="43"/>
        <v>77.87</v>
      </c>
      <c r="GF20" s="221">
        <f t="shared" ca="1" si="43"/>
        <v>177</v>
      </c>
      <c r="GG20" s="163">
        <f t="shared" ca="1" si="97"/>
        <v>13782.990000000002</v>
      </c>
      <c r="GI20" s="221">
        <f t="shared" ca="1" si="44"/>
        <v>74.290000000000006</v>
      </c>
      <c r="GJ20" s="221">
        <f t="shared" ca="1" si="44"/>
        <v>175</v>
      </c>
      <c r="GK20" s="163">
        <f t="shared" ca="1" si="98"/>
        <v>13000.750000000002</v>
      </c>
      <c r="GM20" s="221">
        <f t="shared" ca="1" si="45"/>
        <v>66.39</v>
      </c>
      <c r="GN20" s="221">
        <f t="shared" ca="1" si="45"/>
        <v>175</v>
      </c>
      <c r="GO20" s="163">
        <f t="shared" ca="1" si="99"/>
        <v>11618.25</v>
      </c>
      <c r="GQ20" s="221">
        <f t="shared" ca="1" si="46"/>
        <v>65.98</v>
      </c>
      <c r="GR20" s="221">
        <f t="shared" ca="1" si="46"/>
        <v>174</v>
      </c>
      <c r="GS20" s="163">
        <f t="shared" ca="1" si="100"/>
        <v>11480.52</v>
      </c>
      <c r="GU20" s="221">
        <f t="shared" ca="1" si="47"/>
        <v>67.010000000000005</v>
      </c>
      <c r="GV20" s="221">
        <f t="shared" ca="1" si="47"/>
        <v>173</v>
      </c>
      <c r="GW20" s="163">
        <f t="shared" ca="1" si="101"/>
        <v>11592.730000000001</v>
      </c>
      <c r="GY20" s="221">
        <f t="shared" ca="1" si="48"/>
        <v>68.34</v>
      </c>
      <c r="GZ20" s="221">
        <f t="shared" ca="1" si="48"/>
        <v>171</v>
      </c>
      <c r="HA20" s="163">
        <f t="shared" ca="1" si="102"/>
        <v>11686.140000000001</v>
      </c>
      <c r="HC20" s="221">
        <f t="shared" ca="1" si="49"/>
        <v>60.05</v>
      </c>
      <c r="HD20" s="221">
        <f t="shared" ca="1" si="49"/>
        <v>172</v>
      </c>
      <c r="HE20" s="163">
        <f t="shared" ca="1" si="103"/>
        <v>10328.6</v>
      </c>
      <c r="HG20" s="221">
        <f t="shared" ca="1" si="50"/>
        <v>59.94</v>
      </c>
      <c r="HH20" s="221">
        <f t="shared" ca="1" si="50"/>
        <v>170</v>
      </c>
      <c r="HI20" s="163">
        <f t="shared" ca="1" si="104"/>
        <v>10189.799999999999</v>
      </c>
      <c r="HK20" s="221">
        <f t="shared" ca="1" si="51"/>
        <v>59.33</v>
      </c>
      <c r="HL20" s="221">
        <f t="shared" ca="1" si="51"/>
        <v>170</v>
      </c>
      <c r="HM20" s="163">
        <f t="shared" ca="1" si="105"/>
        <v>10086.1</v>
      </c>
      <c r="HO20" s="148">
        <f t="shared" ca="1" si="52"/>
        <v>55.03</v>
      </c>
      <c r="HP20" s="148">
        <f t="shared" ca="1" si="52"/>
        <v>169</v>
      </c>
      <c r="HQ20" s="163">
        <f t="shared" ca="1" si="106"/>
        <v>9300.07</v>
      </c>
      <c r="HS20" s="148">
        <f t="shared" ca="1" si="53"/>
        <v>54.45</v>
      </c>
      <c r="HT20" s="148">
        <f t="shared" ca="1" si="53"/>
        <v>169</v>
      </c>
      <c r="HU20" s="163">
        <f t="shared" ca="1" si="107"/>
        <v>9202.0500000000011</v>
      </c>
      <c r="HX20" s="149">
        <f t="shared" ca="1" si="54"/>
        <v>24</v>
      </c>
    </row>
    <row r="21" spans="2:232" s="137" customFormat="1">
      <c r="B21" s="155">
        <f t="shared" ca="1" si="108"/>
        <v>12</v>
      </c>
      <c r="C21" s="146" t="str">
        <f t="shared" ca="1" si="0"/>
        <v>Duke Energy Corporation</v>
      </c>
      <c r="D21" s="138" t="str">
        <f t="shared" ca="1" si="0"/>
        <v>DUK</v>
      </c>
      <c r="E21" s="138">
        <f t="shared" ca="1" si="0"/>
        <v>4121470</v>
      </c>
      <c r="F21" s="147"/>
      <c r="G21" s="363">
        <f t="shared" ca="1" si="1"/>
        <v>107.74</v>
      </c>
      <c r="H21" s="363">
        <f t="shared" ca="1" si="1"/>
        <v>772</v>
      </c>
      <c r="I21" s="364">
        <f t="shared" ca="1" si="55"/>
        <v>83175.28</v>
      </c>
      <c r="J21" s="147"/>
      <c r="K21" s="147"/>
      <c r="L21" s="363">
        <f t="shared" ca="1" si="2"/>
        <v>115.3</v>
      </c>
      <c r="M21" s="363">
        <f t="shared" ca="1" si="2"/>
        <v>772</v>
      </c>
      <c r="N21" s="364">
        <f t="shared" ca="1" si="56"/>
        <v>89011.599999999991</v>
      </c>
      <c r="O21" s="147"/>
      <c r="P21" s="147"/>
      <c r="Q21" s="363">
        <f t="shared" ca="1" si="3"/>
        <v>100.23</v>
      </c>
      <c r="R21" s="363">
        <f t="shared" ca="1" si="3"/>
        <v>771</v>
      </c>
      <c r="S21" s="364">
        <f t="shared" ca="1" si="57"/>
        <v>77277.33</v>
      </c>
      <c r="T21" s="147"/>
      <c r="U21" s="147"/>
      <c r="V21" s="363">
        <f t="shared" ca="1" si="4"/>
        <v>96.71</v>
      </c>
      <c r="W21" s="363">
        <f t="shared" ca="1" si="4"/>
        <v>771</v>
      </c>
      <c r="X21" s="364">
        <f t="shared" ca="1" si="58"/>
        <v>74563.409999999989</v>
      </c>
      <c r="Y21" s="147"/>
      <c r="Z21" s="147"/>
      <c r="AA21" s="363">
        <f t="shared" ca="1" si="5"/>
        <v>97.04</v>
      </c>
      <c r="AB21" s="363">
        <f t="shared" ca="1" si="5"/>
        <v>771</v>
      </c>
      <c r="AC21" s="364">
        <f t="shared" ca="1" si="59"/>
        <v>74817.840000000011</v>
      </c>
      <c r="AD21" s="147"/>
      <c r="AE21" s="147"/>
      <c r="AF21" s="363">
        <f t="shared" ca="1" si="6"/>
        <v>88.26</v>
      </c>
      <c r="AG21" s="363">
        <f t="shared" ca="1" si="6"/>
        <v>771</v>
      </c>
      <c r="AH21" s="364">
        <f t="shared" ca="1" si="60"/>
        <v>68048.460000000006</v>
      </c>
      <c r="AI21" s="147"/>
      <c r="AJ21" s="147"/>
      <c r="AK21" s="363">
        <f t="shared" ca="1" si="7"/>
        <v>89.74</v>
      </c>
      <c r="AL21" s="363">
        <f t="shared" ca="1" si="7"/>
        <v>770</v>
      </c>
      <c r="AM21" s="364">
        <f t="shared" ca="1" si="61"/>
        <v>69099.8</v>
      </c>
      <c r="AN21" s="147"/>
      <c r="AO21" s="147"/>
      <c r="AP21" s="363">
        <f t="shared" ca="1" si="8"/>
        <v>96.47</v>
      </c>
      <c r="AQ21" s="363">
        <f t="shared" ca="1" si="8"/>
        <v>770</v>
      </c>
      <c r="AR21" s="364">
        <f t="shared" ca="1" si="62"/>
        <v>74281.899999999994</v>
      </c>
      <c r="AS21" s="147"/>
      <c r="AT21" s="147"/>
      <c r="AU21" s="363">
        <f t="shared" ca="1" si="9"/>
        <v>102.99</v>
      </c>
      <c r="AV21" s="363">
        <f t="shared" ca="1" si="9"/>
        <v>770</v>
      </c>
      <c r="AW21" s="364">
        <f t="shared" ca="1" si="63"/>
        <v>79302.3</v>
      </c>
      <c r="AX21" s="147"/>
      <c r="AY21" s="147"/>
      <c r="AZ21" s="363">
        <f t="shared" ca="1" si="10"/>
        <v>93.02</v>
      </c>
      <c r="BA21" s="363">
        <f t="shared" ca="1" si="10"/>
        <v>770</v>
      </c>
      <c r="BB21" s="364">
        <f t="shared" ca="1" si="64"/>
        <v>71625.399999999994</v>
      </c>
      <c r="BC21" s="147"/>
      <c r="BD21" s="147"/>
      <c r="BE21" s="363">
        <f t="shared" ca="1" si="11"/>
        <v>107.21</v>
      </c>
      <c r="BF21" s="363">
        <f t="shared" ca="1" si="11"/>
        <v>770</v>
      </c>
      <c r="BG21" s="364">
        <f t="shared" ca="1" si="65"/>
        <v>82551.7</v>
      </c>
      <c r="BH21" s="147"/>
      <c r="BI21" s="147"/>
      <c r="BJ21" s="363">
        <f t="shared" ca="1" si="12"/>
        <v>111.66</v>
      </c>
      <c r="BK21" s="363">
        <f t="shared" ca="1" si="12"/>
        <v>769</v>
      </c>
      <c r="BL21" s="364">
        <f t="shared" ca="1" si="66"/>
        <v>85866.54</v>
      </c>
      <c r="BM21" s="147"/>
      <c r="BN21" s="147"/>
      <c r="BO21" s="363">
        <f t="shared" ca="1" si="13"/>
        <v>104.9</v>
      </c>
      <c r="BP21" s="363">
        <f t="shared" ca="1" si="13"/>
        <v>769</v>
      </c>
      <c r="BQ21" s="364">
        <f t="shared" ca="1" si="67"/>
        <v>80668.100000000006</v>
      </c>
      <c r="BR21" s="162"/>
      <c r="BS21" s="363">
        <f t="shared" ca="1" si="14"/>
        <v>97.59</v>
      </c>
      <c r="BT21" s="363">
        <f t="shared" ca="1" si="14"/>
        <v>769</v>
      </c>
      <c r="BU21" s="364">
        <f t="shared" ca="1" si="68"/>
        <v>75046.710000000006</v>
      </c>
      <c r="BV21" s="162"/>
      <c r="BW21" s="363">
        <f t="shared" ca="1" si="15"/>
        <v>98.72</v>
      </c>
      <c r="BX21" s="363">
        <f t="shared" ca="1" si="15"/>
        <v>769</v>
      </c>
      <c r="BY21" s="364">
        <f t="shared" ca="1" si="69"/>
        <v>75915.679999999993</v>
      </c>
      <c r="BZ21" s="162"/>
      <c r="CA21" s="363">
        <f t="shared" ca="1" si="16"/>
        <v>96.53</v>
      </c>
      <c r="CB21" s="363">
        <f t="shared" ca="1" si="16"/>
        <v>737</v>
      </c>
      <c r="CC21" s="364">
        <f t="shared" ca="1" si="70"/>
        <v>71142.61</v>
      </c>
      <c r="CD21" s="162"/>
      <c r="CE21" s="363">
        <f t="shared" ca="1" si="17"/>
        <v>91.56</v>
      </c>
      <c r="CF21" s="363">
        <f t="shared" ca="1" si="17"/>
        <v>735</v>
      </c>
      <c r="CG21" s="364">
        <f t="shared" ca="1" si="71"/>
        <v>67296.600000000006</v>
      </c>
      <c r="CH21" s="162"/>
      <c r="CI21" s="363">
        <f t="shared" ca="1" si="18"/>
        <v>88.56</v>
      </c>
      <c r="CJ21" s="363">
        <f t="shared" ca="1" si="18"/>
        <v>735</v>
      </c>
      <c r="CK21" s="364">
        <f t="shared" ca="1" si="72"/>
        <v>65091.6</v>
      </c>
      <c r="CL21" s="162"/>
      <c r="CM21" s="363">
        <f t="shared" ca="1" si="19"/>
        <v>79.89</v>
      </c>
      <c r="CN21" s="363">
        <f t="shared" ca="1" si="19"/>
        <v>734</v>
      </c>
      <c r="CO21" s="364">
        <f t="shared" ca="1" si="73"/>
        <v>58639.26</v>
      </c>
      <c r="CP21" s="162"/>
      <c r="CQ21" s="221">
        <f t="shared" ca="1" si="20"/>
        <v>80.88</v>
      </c>
      <c r="CR21" s="221">
        <f t="shared" ca="1" si="20"/>
        <v>729</v>
      </c>
      <c r="CS21" s="163">
        <f t="shared" ca="1" si="74"/>
        <v>58961.52</v>
      </c>
      <c r="CT21" s="162"/>
      <c r="CU21" s="221">
        <f t="shared" ca="1" si="21"/>
        <v>91.21</v>
      </c>
      <c r="CV21" s="221">
        <f t="shared" ca="1" si="21"/>
        <v>729</v>
      </c>
      <c r="CW21" s="163">
        <f t="shared" ca="1" si="75"/>
        <v>66492.09</v>
      </c>
      <c r="CX21" s="162"/>
      <c r="CY21" s="221">
        <f t="shared" ca="1" si="22"/>
        <v>95.86</v>
      </c>
      <c r="CZ21" s="221">
        <f t="shared" ca="1" si="22"/>
        <v>728</v>
      </c>
      <c r="DA21" s="163">
        <f t="shared" ca="1" si="76"/>
        <v>69786.080000000002</v>
      </c>
      <c r="DB21" s="162"/>
      <c r="DC21" s="221">
        <f t="shared" ca="1" si="23"/>
        <v>88.24</v>
      </c>
      <c r="DD21" s="221">
        <f t="shared" ca="1" si="23"/>
        <v>727</v>
      </c>
      <c r="DE21" s="163">
        <f t="shared" ca="1" si="77"/>
        <v>64150.479999999996</v>
      </c>
      <c r="DF21" s="162"/>
      <c r="DG21" s="221">
        <f t="shared" ca="1" si="24"/>
        <v>90</v>
      </c>
      <c r="DH21" s="221">
        <f t="shared" ca="1" si="24"/>
        <v>708</v>
      </c>
      <c r="DI21" s="163">
        <f t="shared" ca="1" si="78"/>
        <v>63720</v>
      </c>
      <c r="DJ21" s="162"/>
      <c r="DK21" s="221">
        <f t="shared" ca="1" si="25"/>
        <v>86.3</v>
      </c>
      <c r="DL21" s="221">
        <f t="shared" ca="1" si="25"/>
        <v>713</v>
      </c>
      <c r="DM21" s="163">
        <f t="shared" ca="1" si="79"/>
        <v>61531.9</v>
      </c>
      <c r="DN21" s="162"/>
      <c r="DO21" s="221">
        <f t="shared" ca="1" si="26"/>
        <v>80.02</v>
      </c>
      <c r="DP21" s="221">
        <f t="shared" ca="1" si="26"/>
        <v>703</v>
      </c>
      <c r="DQ21" s="163">
        <f t="shared" ca="1" si="80"/>
        <v>56254.06</v>
      </c>
      <c r="DR21" s="162"/>
      <c r="DS21" s="221">
        <f t="shared" ca="1" si="27"/>
        <v>79.08</v>
      </c>
      <c r="DT21" s="221">
        <f t="shared" ca="1" si="27"/>
        <v>701</v>
      </c>
      <c r="DU21" s="163">
        <f t="shared" ca="1" si="81"/>
        <v>55435.08</v>
      </c>
      <c r="DV21" s="162"/>
      <c r="DW21" s="221">
        <f t="shared" ca="1" si="28"/>
        <v>77.47</v>
      </c>
      <c r="DX21" s="221">
        <f t="shared" ca="1" si="28"/>
        <v>700</v>
      </c>
      <c r="DY21" s="163">
        <f t="shared" ca="1" si="82"/>
        <v>54229</v>
      </c>
      <c r="DZ21" s="162"/>
      <c r="EA21" s="221">
        <f t="shared" ca="1" si="29"/>
        <v>84.11</v>
      </c>
      <c r="EB21" s="221">
        <f t="shared" ca="1" si="29"/>
        <v>700</v>
      </c>
      <c r="EC21" s="163">
        <f t="shared" ca="1" si="83"/>
        <v>58877</v>
      </c>
      <c r="ED21" s="162"/>
      <c r="EE21" s="221">
        <f t="shared" ca="1" si="30"/>
        <v>83.92</v>
      </c>
      <c r="EF21" s="221">
        <f t="shared" ca="1" si="30"/>
        <v>700</v>
      </c>
      <c r="EG21" s="163">
        <f t="shared" ca="1" si="84"/>
        <v>58744</v>
      </c>
      <c r="EH21" s="162"/>
      <c r="EI21" s="221">
        <f t="shared" ca="1" si="31"/>
        <v>83.59</v>
      </c>
      <c r="EJ21" s="221">
        <f t="shared" ca="1" si="31"/>
        <v>700</v>
      </c>
      <c r="EK21" s="163">
        <f t="shared" ca="1" si="85"/>
        <v>58513</v>
      </c>
      <c r="EL21" s="162"/>
      <c r="EM21" s="221">
        <f t="shared" ca="1" si="32"/>
        <v>82.01</v>
      </c>
      <c r="EN21" s="221">
        <f t="shared" ca="1" si="32"/>
        <v>691</v>
      </c>
      <c r="EO21" s="163">
        <f t="shared" ca="1" si="86"/>
        <v>56668.91</v>
      </c>
      <c r="EP21" s="162"/>
      <c r="EQ21" s="221">
        <f t="shared" ca="1" si="33"/>
        <v>77.62</v>
      </c>
      <c r="ER21" s="221">
        <f t="shared" ca="1" si="33"/>
        <v>689</v>
      </c>
      <c r="ES21" s="163">
        <f t="shared" ca="1" si="87"/>
        <v>53480.18</v>
      </c>
      <c r="ET21" s="162"/>
      <c r="EU21" s="221">
        <f t="shared" ca="1" si="34"/>
        <v>80.040000000000006</v>
      </c>
      <c r="EV21" s="221">
        <f t="shared" ca="1" si="34"/>
        <v>689</v>
      </c>
      <c r="EW21" s="163">
        <f t="shared" ca="1" si="88"/>
        <v>55147.560000000005</v>
      </c>
      <c r="EX21" s="162"/>
      <c r="EY21" s="221">
        <f t="shared" ca="1" si="35"/>
        <v>85.79</v>
      </c>
      <c r="EZ21" s="221">
        <f t="shared" ca="1" si="35"/>
        <v>689</v>
      </c>
      <c r="FA21" s="163">
        <f t="shared" ca="1" si="89"/>
        <v>59109.310000000005</v>
      </c>
      <c r="FB21" s="162"/>
      <c r="FC21" s="221">
        <f t="shared" ca="1" si="36"/>
        <v>80.680000000000007</v>
      </c>
      <c r="FD21" s="221">
        <f t="shared" ca="1" si="36"/>
        <v>694</v>
      </c>
      <c r="FE21" s="163">
        <f t="shared" ca="1" si="90"/>
        <v>55991.920000000006</v>
      </c>
      <c r="FF21" s="162"/>
      <c r="FG21" s="221">
        <f t="shared" ca="1" si="37"/>
        <v>71.39</v>
      </c>
      <c r="FH21" s="221">
        <f t="shared" ca="1" si="37"/>
        <v>688</v>
      </c>
      <c r="FI21" s="163">
        <f t="shared" ca="1" si="91"/>
        <v>49116.32</v>
      </c>
      <c r="FJ21" s="162"/>
      <c r="FK21" s="221">
        <f t="shared" ca="1" si="38"/>
        <v>71.94</v>
      </c>
      <c r="FL21" s="221">
        <f t="shared" ca="1" si="38"/>
        <v>692</v>
      </c>
      <c r="FM21" s="163">
        <f t="shared" ca="1" si="92"/>
        <v>49782.479999999996</v>
      </c>
      <c r="FN21" s="162"/>
      <c r="FO21" s="221">
        <f t="shared" ca="1" si="39"/>
        <v>70.62</v>
      </c>
      <c r="FP21" s="221">
        <f t="shared" ca="1" si="39"/>
        <v>708</v>
      </c>
      <c r="FQ21" s="163">
        <f t="shared" ca="1" si="93"/>
        <v>49998.960000000006</v>
      </c>
      <c r="FR21" s="162"/>
      <c r="FS21" s="221">
        <f t="shared" ca="1" si="40"/>
        <v>76.78</v>
      </c>
      <c r="FT21" s="221">
        <f t="shared" ca="1" si="40"/>
        <v>707</v>
      </c>
      <c r="FU21" s="163">
        <f t="shared" ca="1" si="94"/>
        <v>54283.46</v>
      </c>
      <c r="FW21" s="221">
        <f t="shared" ca="1" si="41"/>
        <v>83.54</v>
      </c>
      <c r="FX21" s="221">
        <f t="shared" ca="1" si="41"/>
        <v>707</v>
      </c>
      <c r="FY21" s="163">
        <f t="shared" ca="1" si="95"/>
        <v>59062.780000000006</v>
      </c>
      <c r="GA21" s="221">
        <f t="shared" ca="1" si="42"/>
        <v>74.77</v>
      </c>
      <c r="GB21" s="221">
        <f t="shared" ca="1" si="42"/>
        <v>707</v>
      </c>
      <c r="GC21" s="163">
        <f t="shared" ca="1" si="96"/>
        <v>52862.39</v>
      </c>
      <c r="GE21" s="221">
        <f t="shared" ca="1" si="43"/>
        <v>74.19</v>
      </c>
      <c r="GF21" s="221">
        <f t="shared" ca="1" si="43"/>
        <v>706</v>
      </c>
      <c r="GG21" s="163">
        <f t="shared" ca="1" si="97"/>
        <v>52378.14</v>
      </c>
      <c r="GI21" s="221">
        <f t="shared" ca="1" si="44"/>
        <v>71.22</v>
      </c>
      <c r="GJ21" s="221">
        <f t="shared" ca="1" si="44"/>
        <v>706</v>
      </c>
      <c r="GK21" s="163">
        <f t="shared" ca="1" si="98"/>
        <v>50281.32</v>
      </c>
      <c r="GM21" s="221">
        <f t="shared" ca="1" si="45"/>
        <v>69.010000000000005</v>
      </c>
      <c r="GN21" s="221">
        <f t="shared" ca="1" si="45"/>
        <v>706</v>
      </c>
      <c r="GO21" s="163">
        <f t="shared" ca="1" si="99"/>
        <v>48721.060000000005</v>
      </c>
      <c r="GQ21" s="221">
        <f t="shared" ca="1" si="46"/>
        <v>66.78</v>
      </c>
      <c r="GR21" s="221">
        <f t="shared" ca="1" si="46"/>
        <v>706</v>
      </c>
      <c r="GS21" s="163">
        <f t="shared" ca="1" si="100"/>
        <v>47146.68</v>
      </c>
      <c r="GU21" s="221">
        <f t="shared" ca="1" si="47"/>
        <v>67.5</v>
      </c>
      <c r="GV21" s="221">
        <f t="shared" ca="1" si="47"/>
        <v>705</v>
      </c>
      <c r="GW21" s="163">
        <f t="shared" ca="1" si="101"/>
        <v>47587.5</v>
      </c>
      <c r="GY21" s="221">
        <f t="shared" ca="1" si="48"/>
        <v>72.59</v>
      </c>
      <c r="GZ21" s="221">
        <f t="shared" ca="1" si="48"/>
        <v>574</v>
      </c>
      <c r="HA21" s="163">
        <f t="shared" ca="1" si="102"/>
        <v>41666.660000000003</v>
      </c>
      <c r="HC21" s="221">
        <f t="shared" ca="1" si="49"/>
        <v>63.8</v>
      </c>
      <c r="HD21" s="221">
        <f t="shared" ca="1" si="49"/>
        <v>699</v>
      </c>
      <c r="HE21" s="163">
        <f t="shared" ca="1" si="103"/>
        <v>44596.2</v>
      </c>
      <c r="HG21" s="221">
        <f t="shared" ca="1" si="50"/>
        <v>64.8</v>
      </c>
      <c r="HH21" s="221">
        <f t="shared" ca="1" si="50"/>
        <v>704.63651000000004</v>
      </c>
      <c r="HI21" s="163">
        <f t="shared" ca="1" si="104"/>
        <v>45660.445848000003</v>
      </c>
      <c r="HK21" s="221">
        <f t="shared" ca="1" si="51"/>
        <v>60.309562499999998</v>
      </c>
      <c r="HL21" s="221">
        <f t="shared" ca="1" si="51"/>
        <v>511.42583724401919</v>
      </c>
      <c r="HM21" s="163">
        <f t="shared" ca="1" si="105"/>
        <v>30843.868495383002</v>
      </c>
      <c r="HO21" s="148">
        <f t="shared" ca="1" si="52"/>
        <v>21.01</v>
      </c>
      <c r="HP21" s="148">
        <f t="shared" ca="1" si="52"/>
        <v>1332</v>
      </c>
      <c r="HQ21" s="163">
        <f t="shared" ca="1" si="106"/>
        <v>27985.320000000003</v>
      </c>
      <c r="HS21" s="148">
        <f t="shared" ca="1" si="53"/>
        <v>22</v>
      </c>
      <c r="HT21" s="148">
        <f t="shared" ca="1" si="53"/>
        <v>1332</v>
      </c>
      <c r="HU21" s="163">
        <f t="shared" ca="1" si="107"/>
        <v>29304</v>
      </c>
      <c r="HX21" s="149">
        <f t="shared" ca="1" si="54"/>
        <v>26</v>
      </c>
    </row>
    <row r="22" spans="2:232" s="137" customFormat="1">
      <c r="B22" s="155">
        <f t="shared" ca="1" si="108"/>
        <v>13</v>
      </c>
      <c r="C22" s="146" t="str">
        <f t="shared" ca="1" si="0"/>
        <v>Edison International</v>
      </c>
      <c r="D22" s="138" t="str">
        <f t="shared" ca="1" si="0"/>
        <v>EIX</v>
      </c>
      <c r="E22" s="138">
        <f t="shared" ca="1" si="0"/>
        <v>4056943</v>
      </c>
      <c r="F22" s="147"/>
      <c r="G22" s="363">
        <f t="shared" ca="1" si="1"/>
        <v>79.84</v>
      </c>
      <c r="H22" s="363">
        <f t="shared" ca="1" si="1"/>
        <v>387</v>
      </c>
      <c r="I22" s="364">
        <f t="shared" ca="1" si="55"/>
        <v>30898.080000000002</v>
      </c>
      <c r="J22" s="147"/>
      <c r="K22" s="147"/>
      <c r="L22" s="363">
        <f t="shared" ca="1" si="2"/>
        <v>87.09</v>
      </c>
      <c r="M22" s="363">
        <f t="shared" ca="1" si="2"/>
        <v>385</v>
      </c>
      <c r="N22" s="364">
        <f t="shared" ca="1" si="56"/>
        <v>33529.65</v>
      </c>
      <c r="O22" s="147"/>
      <c r="P22" s="147"/>
      <c r="Q22" s="363">
        <f t="shared" ca="1" si="3"/>
        <v>71.81</v>
      </c>
      <c r="R22" s="363">
        <f t="shared" ca="1" si="3"/>
        <v>385</v>
      </c>
      <c r="S22" s="364">
        <f t="shared" ca="1" si="57"/>
        <v>27646.850000000002</v>
      </c>
      <c r="T22" s="147"/>
      <c r="U22" s="147"/>
      <c r="V22" s="363">
        <f t="shared" ca="1" si="4"/>
        <v>70.73</v>
      </c>
      <c r="W22" s="363">
        <f t="shared" ca="1" si="4"/>
        <v>383</v>
      </c>
      <c r="X22" s="364">
        <f t="shared" ca="1" si="58"/>
        <v>27089.59</v>
      </c>
      <c r="Y22" s="147"/>
      <c r="Z22" s="147"/>
      <c r="AA22" s="363">
        <f t="shared" ca="1" si="5"/>
        <v>71.489999999999995</v>
      </c>
      <c r="AB22" s="363">
        <f t="shared" ca="1" si="5"/>
        <v>383</v>
      </c>
      <c r="AC22" s="364">
        <f t="shared" ca="1" si="59"/>
        <v>27380.67</v>
      </c>
      <c r="AD22" s="147"/>
      <c r="AE22" s="147"/>
      <c r="AF22" s="363">
        <f t="shared" ca="1" si="6"/>
        <v>63.29</v>
      </c>
      <c r="AG22" s="363">
        <f t="shared" ca="1" si="6"/>
        <v>383</v>
      </c>
      <c r="AH22" s="364">
        <f t="shared" ca="1" si="60"/>
        <v>24240.07</v>
      </c>
      <c r="AI22" s="147"/>
      <c r="AJ22" s="147"/>
      <c r="AK22" s="363">
        <f t="shared" ca="1" si="7"/>
        <v>69.45</v>
      </c>
      <c r="AL22" s="363">
        <f t="shared" ca="1" si="7"/>
        <v>383</v>
      </c>
      <c r="AM22" s="364">
        <f t="shared" ca="1" si="61"/>
        <v>26599.350000000002</v>
      </c>
      <c r="AN22" s="147"/>
      <c r="AO22" s="147"/>
      <c r="AP22" s="363">
        <f t="shared" ca="1" si="8"/>
        <v>70.59</v>
      </c>
      <c r="AQ22" s="363">
        <f t="shared" ca="1" si="8"/>
        <v>381</v>
      </c>
      <c r="AR22" s="364">
        <f t="shared" ca="1" si="62"/>
        <v>26894.79</v>
      </c>
      <c r="AS22" s="147"/>
      <c r="AT22" s="147"/>
      <c r="AU22" s="363">
        <f t="shared" ca="1" si="9"/>
        <v>63.62</v>
      </c>
      <c r="AV22" s="363">
        <f t="shared" ca="1" si="9"/>
        <v>382</v>
      </c>
      <c r="AW22" s="364">
        <f t="shared" ca="1" si="63"/>
        <v>24302.84</v>
      </c>
      <c r="AX22" s="147"/>
      <c r="AY22" s="147"/>
      <c r="AZ22" s="363">
        <f t="shared" ca="1" si="10"/>
        <v>56.58</v>
      </c>
      <c r="BA22" s="363">
        <f t="shared" ca="1" si="10"/>
        <v>381</v>
      </c>
      <c r="BB22" s="364">
        <f t="shared" ca="1" si="64"/>
        <v>21556.98</v>
      </c>
      <c r="BC22" s="147"/>
      <c r="BD22" s="147"/>
      <c r="BE22" s="363">
        <f t="shared" ca="1" si="11"/>
        <v>63.24</v>
      </c>
      <c r="BF22" s="363">
        <f t="shared" ca="1" si="11"/>
        <v>381</v>
      </c>
      <c r="BG22" s="364">
        <f t="shared" ca="1" si="65"/>
        <v>24094.440000000002</v>
      </c>
      <c r="BH22" s="147"/>
      <c r="BI22" s="147"/>
      <c r="BJ22" s="363">
        <f t="shared" ca="1" si="12"/>
        <v>70.099999999999994</v>
      </c>
      <c r="BK22" s="363">
        <f t="shared" ca="1" si="12"/>
        <v>380</v>
      </c>
      <c r="BL22" s="364">
        <f t="shared" ca="1" si="66"/>
        <v>26637.999999999996</v>
      </c>
      <c r="BM22" s="147"/>
      <c r="BN22" s="147"/>
      <c r="BO22" s="363">
        <f t="shared" ca="1" si="13"/>
        <v>68.25</v>
      </c>
      <c r="BP22" s="363">
        <f t="shared" ca="1" si="13"/>
        <v>380</v>
      </c>
      <c r="BQ22" s="364">
        <f t="shared" ca="1" si="67"/>
        <v>25935</v>
      </c>
      <c r="BR22" s="162"/>
      <c r="BS22" s="363">
        <f t="shared" ca="1" si="14"/>
        <v>55.47</v>
      </c>
      <c r="BT22" s="363">
        <f t="shared" ca="1" si="14"/>
        <v>380</v>
      </c>
      <c r="BU22" s="364">
        <f t="shared" ca="1" si="68"/>
        <v>21078.6</v>
      </c>
      <c r="BV22" s="162"/>
      <c r="BW22" s="363">
        <f t="shared" ca="1" si="15"/>
        <v>57.82</v>
      </c>
      <c r="BX22" s="363">
        <f t="shared" ca="1" si="15"/>
        <v>379</v>
      </c>
      <c r="BY22" s="364">
        <f t="shared" ca="1" si="69"/>
        <v>21913.78</v>
      </c>
      <c r="BZ22" s="162"/>
      <c r="CA22" s="363">
        <f t="shared" ca="1" si="16"/>
        <v>58.6</v>
      </c>
      <c r="CB22" s="363">
        <f t="shared" ca="1" si="16"/>
        <v>373</v>
      </c>
      <c r="CC22" s="364">
        <f t="shared" ca="1" si="70"/>
        <v>21857.8</v>
      </c>
      <c r="CD22" s="162"/>
      <c r="CE22" s="363">
        <f t="shared" ca="1" si="17"/>
        <v>62.82</v>
      </c>
      <c r="CF22" s="363">
        <f t="shared" ca="1" si="17"/>
        <v>378</v>
      </c>
      <c r="CG22" s="364">
        <f t="shared" ca="1" si="71"/>
        <v>23745.96</v>
      </c>
      <c r="CH22" s="162"/>
      <c r="CI22" s="363">
        <f t="shared" ca="1" si="18"/>
        <v>50.84</v>
      </c>
      <c r="CJ22" s="363">
        <f t="shared" ca="1" si="18"/>
        <v>375</v>
      </c>
      <c r="CK22" s="364">
        <f t="shared" ca="1" si="72"/>
        <v>19065</v>
      </c>
      <c r="CL22" s="162"/>
      <c r="CM22" s="363">
        <f t="shared" ca="1" si="19"/>
        <v>54.31</v>
      </c>
      <c r="CN22" s="363">
        <f t="shared" ca="1" si="19"/>
        <v>363</v>
      </c>
      <c r="CO22" s="364">
        <f t="shared" ca="1" si="73"/>
        <v>19714.530000000002</v>
      </c>
      <c r="CP22" s="162"/>
      <c r="CQ22" s="221">
        <f t="shared" ca="1" si="20"/>
        <v>54.79</v>
      </c>
      <c r="CR22" s="221">
        <f t="shared" ca="1" si="20"/>
        <v>340</v>
      </c>
      <c r="CS22" s="163">
        <f t="shared" ca="1" si="74"/>
        <v>18628.599999999999</v>
      </c>
      <c r="CT22" s="162"/>
      <c r="CU22" s="221">
        <f t="shared" ca="1" si="21"/>
        <v>75.41</v>
      </c>
      <c r="CV22" s="221">
        <f t="shared" ca="1" si="21"/>
        <v>347</v>
      </c>
      <c r="CW22" s="163">
        <f t="shared" ca="1" si="75"/>
        <v>26167.27</v>
      </c>
      <c r="CX22" s="162"/>
      <c r="CY22" s="221">
        <f t="shared" ca="1" si="22"/>
        <v>75.42</v>
      </c>
      <c r="CZ22" s="221">
        <f t="shared" ca="1" si="22"/>
        <v>326</v>
      </c>
      <c r="DA22" s="163">
        <f t="shared" ca="1" si="76"/>
        <v>24586.920000000002</v>
      </c>
      <c r="DB22" s="162"/>
      <c r="DC22" s="221">
        <f t="shared" ca="1" si="23"/>
        <v>67.41</v>
      </c>
      <c r="DD22" s="221">
        <f t="shared" ca="1" si="23"/>
        <v>326</v>
      </c>
      <c r="DE22" s="163">
        <f t="shared" ca="1" si="77"/>
        <v>21975.66</v>
      </c>
      <c r="DF22" s="162"/>
      <c r="DG22" s="221">
        <f t="shared" ca="1" si="24"/>
        <v>61.92</v>
      </c>
      <c r="DH22" s="221">
        <f t="shared" ca="1" si="24"/>
        <v>326</v>
      </c>
      <c r="DI22" s="163">
        <f t="shared" ca="1" si="78"/>
        <v>20185.920000000002</v>
      </c>
      <c r="DJ22" s="162"/>
      <c r="DK22" s="221">
        <f t="shared" ca="1" si="25"/>
        <v>56.77</v>
      </c>
      <c r="DL22" s="221">
        <f t="shared" ca="1" si="25"/>
        <v>326</v>
      </c>
      <c r="DM22" s="163">
        <f t="shared" ca="1" si="79"/>
        <v>18507.02</v>
      </c>
      <c r="DN22" s="162"/>
      <c r="DO22" s="221">
        <f t="shared" ca="1" si="26"/>
        <v>67.680000000000007</v>
      </c>
      <c r="DP22" s="221">
        <f t="shared" ca="1" si="26"/>
        <v>326</v>
      </c>
      <c r="DQ22" s="163">
        <f t="shared" ca="1" si="80"/>
        <v>22063.680000000004</v>
      </c>
      <c r="DR22" s="162"/>
      <c r="DS22" s="221">
        <f t="shared" ca="1" si="27"/>
        <v>63.27</v>
      </c>
      <c r="DT22" s="221">
        <f t="shared" ca="1" si="27"/>
        <v>326</v>
      </c>
      <c r="DU22" s="163">
        <f t="shared" ca="1" si="81"/>
        <v>20626.02</v>
      </c>
      <c r="DV22" s="162"/>
      <c r="DW22" s="221">
        <f t="shared" ca="1" si="28"/>
        <v>63.66</v>
      </c>
      <c r="DX22" s="221">
        <f t="shared" ca="1" si="28"/>
        <v>326</v>
      </c>
      <c r="DY22" s="163">
        <f t="shared" ca="1" si="82"/>
        <v>20753.16</v>
      </c>
      <c r="DZ22" s="162"/>
      <c r="EA22" s="221">
        <f t="shared" ca="1" si="29"/>
        <v>63.24</v>
      </c>
      <c r="EB22" s="221">
        <f t="shared" ca="1" si="29"/>
        <v>326</v>
      </c>
      <c r="EC22" s="163">
        <f t="shared" ca="1" si="83"/>
        <v>20616.240000000002</v>
      </c>
      <c r="ED22" s="162"/>
      <c r="EE22" s="221">
        <f t="shared" ca="1" si="30"/>
        <v>77.17</v>
      </c>
      <c r="EF22" s="221">
        <f t="shared" ca="1" si="30"/>
        <v>326</v>
      </c>
      <c r="EG22" s="163">
        <f t="shared" ca="1" si="84"/>
        <v>25157.420000000002</v>
      </c>
      <c r="EH22" s="162"/>
      <c r="EI22" s="221">
        <f t="shared" ca="1" si="31"/>
        <v>78.19</v>
      </c>
      <c r="EJ22" s="221">
        <f t="shared" ca="1" si="31"/>
        <v>326</v>
      </c>
      <c r="EK22" s="163">
        <f t="shared" ca="1" si="85"/>
        <v>25489.94</v>
      </c>
      <c r="EL22" s="162"/>
      <c r="EM22" s="221">
        <f t="shared" ca="1" si="32"/>
        <v>79.61</v>
      </c>
      <c r="EN22" s="221">
        <f t="shared" ca="1" si="32"/>
        <v>326</v>
      </c>
      <c r="EO22" s="163">
        <f t="shared" ca="1" si="86"/>
        <v>25952.86</v>
      </c>
      <c r="EP22" s="162"/>
      <c r="EQ22" s="221">
        <f t="shared" ca="1" si="33"/>
        <v>71.989999999999995</v>
      </c>
      <c r="ER22" s="221">
        <f t="shared" ca="1" si="33"/>
        <v>326</v>
      </c>
      <c r="ES22" s="163">
        <f t="shared" ca="1" si="87"/>
        <v>23468.739999999998</v>
      </c>
      <c r="ET22" s="162"/>
      <c r="EU22" s="221">
        <f t="shared" ca="1" si="34"/>
        <v>72.25</v>
      </c>
      <c r="EV22" s="221">
        <f t="shared" ca="1" si="34"/>
        <v>326</v>
      </c>
      <c r="EW22" s="163">
        <f t="shared" ca="1" si="88"/>
        <v>23553.5</v>
      </c>
      <c r="EX22" s="162"/>
      <c r="EY22" s="221">
        <f t="shared" ca="1" si="35"/>
        <v>77.67</v>
      </c>
      <c r="EZ22" s="221">
        <f t="shared" ca="1" si="35"/>
        <v>326</v>
      </c>
      <c r="FA22" s="163">
        <f t="shared" ca="1" si="89"/>
        <v>25320.420000000002</v>
      </c>
      <c r="FB22" s="162"/>
      <c r="FC22" s="221">
        <f t="shared" ca="1" si="36"/>
        <v>71.89</v>
      </c>
      <c r="FD22" s="221">
        <f t="shared" ca="1" si="36"/>
        <v>326</v>
      </c>
      <c r="FE22" s="163">
        <f t="shared" ca="1" si="90"/>
        <v>23436.14</v>
      </c>
      <c r="FF22" s="162"/>
      <c r="FG22" s="221">
        <f t="shared" ca="1" si="37"/>
        <v>59.21</v>
      </c>
      <c r="FH22" s="221">
        <f t="shared" ca="1" si="37"/>
        <v>326</v>
      </c>
      <c r="FI22" s="163">
        <f t="shared" ca="1" si="91"/>
        <v>19302.46</v>
      </c>
      <c r="FJ22" s="162"/>
      <c r="FK22" s="221">
        <f t="shared" ca="1" si="38"/>
        <v>63.07</v>
      </c>
      <c r="FL22" s="221">
        <f t="shared" ca="1" si="38"/>
        <v>326</v>
      </c>
      <c r="FM22" s="163">
        <f t="shared" ca="1" si="92"/>
        <v>20560.82</v>
      </c>
      <c r="FN22" s="162"/>
      <c r="FO22" s="221">
        <f t="shared" ca="1" si="39"/>
        <v>55.58</v>
      </c>
      <c r="FP22" s="221">
        <f t="shared" ca="1" si="39"/>
        <v>326</v>
      </c>
      <c r="FQ22" s="163">
        <f t="shared" ca="1" si="93"/>
        <v>18119.079999999998</v>
      </c>
      <c r="FR22" s="162"/>
      <c r="FS22" s="221">
        <f t="shared" ca="1" si="40"/>
        <v>62.47</v>
      </c>
      <c r="FT22" s="221">
        <f t="shared" ca="1" si="40"/>
        <v>326</v>
      </c>
      <c r="FU22" s="163">
        <f t="shared" ca="1" si="94"/>
        <v>20365.22</v>
      </c>
      <c r="FW22" s="221">
        <f t="shared" ca="1" si="41"/>
        <v>65.48</v>
      </c>
      <c r="FX22" s="221">
        <f t="shared" ca="1" si="41"/>
        <v>326</v>
      </c>
      <c r="FY22" s="163">
        <f t="shared" ca="1" si="95"/>
        <v>21346.48</v>
      </c>
      <c r="GA22" s="221">
        <f t="shared" ca="1" si="42"/>
        <v>55.92</v>
      </c>
      <c r="GB22" s="221">
        <f t="shared" ca="1" si="42"/>
        <v>326</v>
      </c>
      <c r="GC22" s="163">
        <f t="shared" ca="1" si="96"/>
        <v>18229.920000000002</v>
      </c>
      <c r="GE22" s="221">
        <f t="shared" ca="1" si="43"/>
        <v>58.11</v>
      </c>
      <c r="GF22" s="221">
        <f t="shared" ca="1" si="43"/>
        <v>326</v>
      </c>
      <c r="GG22" s="163">
        <f t="shared" ca="1" si="97"/>
        <v>18943.86</v>
      </c>
      <c r="GI22" s="221">
        <f t="shared" ca="1" si="44"/>
        <v>56.61</v>
      </c>
      <c r="GJ22" s="221">
        <f t="shared" ca="1" si="44"/>
        <v>326</v>
      </c>
      <c r="GK22" s="163">
        <f t="shared" ca="1" si="98"/>
        <v>18454.86</v>
      </c>
      <c r="GM22" s="221">
        <f t="shared" ca="1" si="45"/>
        <v>46.3</v>
      </c>
      <c r="GN22" s="221">
        <f t="shared" ca="1" si="45"/>
        <v>326</v>
      </c>
      <c r="GO22" s="163">
        <f t="shared" ca="1" si="99"/>
        <v>15093.8</v>
      </c>
      <c r="GQ22" s="221">
        <f t="shared" ca="1" si="46"/>
        <v>46.06</v>
      </c>
      <c r="GR22" s="221">
        <f t="shared" ca="1" si="46"/>
        <v>326</v>
      </c>
      <c r="GS22" s="163">
        <f t="shared" ca="1" si="100"/>
        <v>15015.560000000001</v>
      </c>
      <c r="GU22" s="221">
        <f t="shared" ca="1" si="47"/>
        <v>48.16</v>
      </c>
      <c r="GV22" s="221">
        <f t="shared" ca="1" si="47"/>
        <v>326</v>
      </c>
      <c r="GW22" s="163">
        <f t="shared" ca="1" si="101"/>
        <v>15700.159999999998</v>
      </c>
      <c r="GY22" s="221">
        <f t="shared" ca="1" si="48"/>
        <v>50.32</v>
      </c>
      <c r="GZ22" s="221">
        <f t="shared" ca="1" si="48"/>
        <v>326</v>
      </c>
      <c r="HA22" s="163">
        <f t="shared" ca="1" si="102"/>
        <v>16404.32</v>
      </c>
      <c r="HC22" s="221">
        <f t="shared" ca="1" si="49"/>
        <v>45.19</v>
      </c>
      <c r="HD22" s="221">
        <f t="shared" ca="1" si="49"/>
        <v>326</v>
      </c>
      <c r="HE22" s="163">
        <f t="shared" ca="1" si="103"/>
        <v>14731.939999999999</v>
      </c>
      <c r="HG22" s="221">
        <f t="shared" ca="1" si="50"/>
        <v>45.69</v>
      </c>
      <c r="HH22" s="221">
        <f t="shared" ca="1" si="50"/>
        <v>326</v>
      </c>
      <c r="HI22" s="163">
        <f t="shared" ca="1" si="104"/>
        <v>14894.939999999999</v>
      </c>
      <c r="HK22" s="221">
        <f t="shared" ca="1" si="51"/>
        <v>46.2</v>
      </c>
      <c r="HL22" s="221">
        <f t="shared" ca="1" si="51"/>
        <v>326</v>
      </c>
      <c r="HM22" s="163">
        <f t="shared" ca="1" si="105"/>
        <v>15061.2</v>
      </c>
      <c r="HO22" s="148">
        <f t="shared" ca="1" si="52"/>
        <v>42.51</v>
      </c>
      <c r="HP22" s="148">
        <f t="shared" ca="1" si="52"/>
        <v>326</v>
      </c>
      <c r="HQ22" s="163">
        <f t="shared" ca="1" si="106"/>
        <v>13858.26</v>
      </c>
      <c r="HS22" s="148">
        <f t="shared" ca="1" si="53"/>
        <v>41.4</v>
      </c>
      <c r="HT22" s="148">
        <f t="shared" ca="1" si="53"/>
        <v>326</v>
      </c>
      <c r="HU22" s="163">
        <f t="shared" ca="1" si="107"/>
        <v>13496.4</v>
      </c>
      <c r="HX22" s="149">
        <f t="shared" ca="1" si="54"/>
        <v>58</v>
      </c>
    </row>
    <row r="23" spans="2:232" s="137" customFormat="1">
      <c r="B23" s="155">
        <f t="shared" ca="1" si="108"/>
        <v>14</v>
      </c>
      <c r="C23" s="146" t="str">
        <f t="shared" ca="1" si="0"/>
        <v>Entergy Corporation</v>
      </c>
      <c r="D23" s="138" t="str">
        <f t="shared" ca="1" si="0"/>
        <v>ETR</v>
      </c>
      <c r="E23" s="138">
        <f t="shared" ca="1" si="0"/>
        <v>4007889</v>
      </c>
      <c r="F23" s="147"/>
      <c r="G23" s="363">
        <f t="shared" ca="1" si="1"/>
        <v>75.819999999999993</v>
      </c>
      <c r="H23" s="363">
        <f t="shared" ca="1" si="1"/>
        <v>428.02493399999997</v>
      </c>
      <c r="I23" s="364">
        <f t="shared" ca="1" si="55"/>
        <v>32452.850495879997</v>
      </c>
      <c r="J23" s="147"/>
      <c r="K23" s="147"/>
      <c r="L23" s="363">
        <f t="shared" ca="1" si="2"/>
        <v>131.61000000000001</v>
      </c>
      <c r="M23" s="363">
        <f t="shared" ca="1" si="2"/>
        <v>213.61711</v>
      </c>
      <c r="N23" s="364">
        <f t="shared" ca="1" si="56"/>
        <v>28114.147847100001</v>
      </c>
      <c r="O23" s="147"/>
      <c r="P23" s="147"/>
      <c r="Q23" s="363">
        <f t="shared" ca="1" si="3"/>
        <v>107</v>
      </c>
      <c r="R23" s="363">
        <f t="shared" ca="1" si="3"/>
        <v>213.143719</v>
      </c>
      <c r="S23" s="364">
        <f t="shared" ca="1" si="57"/>
        <v>22806.377933</v>
      </c>
      <c r="T23" s="147"/>
      <c r="U23" s="147"/>
      <c r="V23" s="363">
        <f t="shared" ca="1" si="4"/>
        <v>105.68</v>
      </c>
      <c r="W23" s="363">
        <f t="shared" ca="1" si="4"/>
        <v>212.01400000000001</v>
      </c>
      <c r="X23" s="364">
        <f t="shared" ca="1" si="58"/>
        <v>22405.639520000004</v>
      </c>
      <c r="Y23" s="147"/>
      <c r="Z23" s="147"/>
      <c r="AA23" s="363">
        <f t="shared" ca="1" si="5"/>
        <v>101.19</v>
      </c>
      <c r="AB23" s="363">
        <f t="shared" ca="1" si="5"/>
        <v>211.45924400000001</v>
      </c>
      <c r="AC23" s="364">
        <f t="shared" ca="1" si="59"/>
        <v>21397.56090036</v>
      </c>
      <c r="AD23" s="147"/>
      <c r="AE23" s="147"/>
      <c r="AF23" s="363">
        <f t="shared" ca="1" si="6"/>
        <v>92.5</v>
      </c>
      <c r="AG23" s="363">
        <f t="shared" ca="1" si="6"/>
        <v>211.44900000000001</v>
      </c>
      <c r="AH23" s="364">
        <f t="shared" ca="1" si="60"/>
        <v>19559.032500000001</v>
      </c>
      <c r="AI23" s="147"/>
      <c r="AJ23" s="147"/>
      <c r="AK23" s="363">
        <f t="shared" ca="1" si="7"/>
        <v>97.37</v>
      </c>
      <c r="AL23" s="363">
        <f t="shared" ca="1" si="7"/>
        <v>211.350705</v>
      </c>
      <c r="AM23" s="364">
        <f t="shared" ca="1" si="61"/>
        <v>20579.218145850002</v>
      </c>
      <c r="AN23" s="147"/>
      <c r="AO23" s="147"/>
      <c r="AP23" s="363">
        <f t="shared" ca="1" si="8"/>
        <v>107.74</v>
      </c>
      <c r="AQ23" s="363">
        <f t="shared" ca="1" si="8"/>
        <v>204.450354</v>
      </c>
      <c r="AR23" s="364">
        <f t="shared" ca="1" si="62"/>
        <v>22027.48113996</v>
      </c>
      <c r="AS23" s="147"/>
      <c r="AT23" s="147"/>
      <c r="AU23" s="363">
        <f t="shared" ca="1" si="9"/>
        <v>112.5</v>
      </c>
      <c r="AV23" s="363">
        <f t="shared" ca="1" si="9"/>
        <v>203.445773</v>
      </c>
      <c r="AW23" s="364">
        <f t="shared" ca="1" si="63"/>
        <v>22887.649462500001</v>
      </c>
      <c r="AX23" s="147"/>
      <c r="AY23" s="147"/>
      <c r="AZ23" s="363">
        <f t="shared" ca="1" si="10"/>
        <v>100.63</v>
      </c>
      <c r="BA23" s="363">
        <f t="shared" ca="1" si="10"/>
        <v>203.38319899999999</v>
      </c>
      <c r="BB23" s="364">
        <f t="shared" ca="1" si="64"/>
        <v>20466.451315369999</v>
      </c>
      <c r="BC23" s="147"/>
      <c r="BD23" s="147"/>
      <c r="BE23" s="363">
        <f t="shared" ca="1" si="11"/>
        <v>112.64</v>
      </c>
      <c r="BF23" s="363">
        <f t="shared" ca="1" si="11"/>
        <v>202.94362799999999</v>
      </c>
      <c r="BG23" s="364">
        <f t="shared" ca="1" si="65"/>
        <v>22859.570257920001</v>
      </c>
      <c r="BH23" s="147"/>
      <c r="BI23" s="147"/>
      <c r="BJ23" s="363">
        <f t="shared" ca="1" si="12"/>
        <v>116.75</v>
      </c>
      <c r="BK23" s="363">
        <f t="shared" ca="1" si="12"/>
        <v>200.94151099999999</v>
      </c>
      <c r="BL23" s="364">
        <f t="shared" ca="1" si="66"/>
        <v>23459.921409250001</v>
      </c>
      <c r="BM23" s="147"/>
      <c r="BN23" s="147"/>
      <c r="BO23" s="363">
        <f t="shared" ca="1" si="13"/>
        <v>112.65</v>
      </c>
      <c r="BP23" s="363">
        <f t="shared" ca="1" si="13"/>
        <v>200.96304900000001</v>
      </c>
      <c r="BQ23" s="364">
        <f t="shared" ca="1" si="67"/>
        <v>22638.487469850003</v>
      </c>
      <c r="BR23" s="162"/>
      <c r="BS23" s="363">
        <f t="shared" ca="1" si="14"/>
        <v>99.31</v>
      </c>
      <c r="BT23" s="363">
        <f t="shared" ca="1" si="14"/>
        <v>200.775395</v>
      </c>
      <c r="BU23" s="364">
        <f t="shared" ca="1" si="68"/>
        <v>19939.004477450002</v>
      </c>
      <c r="BV23" s="162"/>
      <c r="BW23" s="363">
        <f t="shared" ca="1" si="15"/>
        <v>99.7</v>
      </c>
      <c r="BX23" s="363">
        <f t="shared" ca="1" si="15"/>
        <v>200.52554900000001</v>
      </c>
      <c r="BY23" s="364">
        <f t="shared" ca="1" si="69"/>
        <v>19992.397235300003</v>
      </c>
      <c r="BZ23" s="162"/>
      <c r="CA23" s="363">
        <f t="shared" ca="1" si="16"/>
        <v>99.47</v>
      </c>
      <c r="CB23" s="363">
        <f t="shared" ca="1" si="16"/>
        <v>200.106945</v>
      </c>
      <c r="CC23" s="364">
        <f t="shared" ca="1" si="70"/>
        <v>19904.637819150001</v>
      </c>
      <c r="CD23" s="162"/>
      <c r="CE23" s="363">
        <f t="shared" ca="1" si="17"/>
        <v>99.84</v>
      </c>
      <c r="CF23" s="363">
        <f t="shared" ca="1" si="17"/>
        <v>200.22001800000001</v>
      </c>
      <c r="CG23" s="364">
        <f t="shared" ca="1" si="71"/>
        <v>19989.966597120001</v>
      </c>
      <c r="CH23" s="162"/>
      <c r="CI23" s="363">
        <f t="shared" ca="1" si="18"/>
        <v>98.53</v>
      </c>
      <c r="CJ23" s="363">
        <f t="shared" ca="1" si="18"/>
        <v>200.17801</v>
      </c>
      <c r="CK23" s="364">
        <f t="shared" ca="1" si="72"/>
        <v>19723.5393253</v>
      </c>
      <c r="CL23" s="162"/>
      <c r="CM23" s="363">
        <f t="shared" ca="1" si="19"/>
        <v>93.81</v>
      </c>
      <c r="CN23" s="363">
        <f t="shared" ca="1" si="19"/>
        <v>199.79001600000001</v>
      </c>
      <c r="CO23" s="364">
        <f t="shared" ca="1" si="73"/>
        <v>18742.301400960001</v>
      </c>
      <c r="CP23" s="162"/>
      <c r="CQ23" s="221">
        <f t="shared" ca="1" si="20"/>
        <v>93.97</v>
      </c>
      <c r="CR23" s="221">
        <f t="shared" ca="1" si="20"/>
        <v>195.19585799999999</v>
      </c>
      <c r="CS23" s="163">
        <f t="shared" ca="1" si="74"/>
        <v>18342.55477626</v>
      </c>
      <c r="CT23" s="162"/>
      <c r="CU23" s="221">
        <f t="shared" ca="1" si="21"/>
        <v>119.8</v>
      </c>
      <c r="CV23" s="221">
        <f t="shared" ca="1" si="21"/>
        <v>198.93238700000001</v>
      </c>
      <c r="CW23" s="163">
        <f t="shared" ca="1" si="75"/>
        <v>23832.099962600001</v>
      </c>
      <c r="CX23" s="162"/>
      <c r="CY23" s="221">
        <f t="shared" ca="1" si="22"/>
        <v>117.36</v>
      </c>
      <c r="CZ23" s="221">
        <f t="shared" ca="1" si="22"/>
        <v>193.01926900000001</v>
      </c>
      <c r="DA23" s="163">
        <f t="shared" ca="1" si="76"/>
        <v>22652.74140984</v>
      </c>
      <c r="DB23" s="162"/>
      <c r="DC23" s="221">
        <f t="shared" ca="1" si="23"/>
        <v>102.93</v>
      </c>
      <c r="DD23" s="221">
        <f t="shared" ca="1" si="23"/>
        <v>189.575187</v>
      </c>
      <c r="DE23" s="163">
        <f t="shared" ca="1" si="77"/>
        <v>19512.973997910001</v>
      </c>
      <c r="DF23" s="162"/>
      <c r="DG23" s="221">
        <f t="shared" ca="1" si="24"/>
        <v>95.63</v>
      </c>
      <c r="DH23" s="221">
        <f t="shared" ca="1" si="24"/>
        <v>181.40959699999999</v>
      </c>
      <c r="DI23" s="163">
        <f t="shared" ca="1" si="78"/>
        <v>17348.199761109998</v>
      </c>
      <c r="DJ23" s="162"/>
      <c r="DK23" s="221">
        <f t="shared" ca="1" si="25"/>
        <v>86.07</v>
      </c>
      <c r="DL23" s="221">
        <f t="shared" ca="1" si="25"/>
        <v>181.00230300000001</v>
      </c>
      <c r="DM23" s="163">
        <f t="shared" ca="1" si="79"/>
        <v>15578.86821921</v>
      </c>
      <c r="DN23" s="162"/>
      <c r="DO23" s="221">
        <f t="shared" ca="1" si="26"/>
        <v>81.13</v>
      </c>
      <c r="DP23" s="221">
        <f t="shared" ca="1" si="26"/>
        <v>180.82320300000001</v>
      </c>
      <c r="DQ23" s="163">
        <f t="shared" ca="1" si="80"/>
        <v>14670.186459389999</v>
      </c>
      <c r="DR23" s="162"/>
      <c r="DS23" s="221">
        <f t="shared" ca="1" si="27"/>
        <v>80.790000000000006</v>
      </c>
      <c r="DT23" s="221">
        <f t="shared" ca="1" si="27"/>
        <v>180.70757499999999</v>
      </c>
      <c r="DU23" s="163">
        <f t="shared" ca="1" si="81"/>
        <v>14599.36498425</v>
      </c>
      <c r="DV23" s="162"/>
      <c r="DW23" s="221">
        <f t="shared" ca="1" si="28"/>
        <v>78.78</v>
      </c>
      <c r="DX23" s="221">
        <f t="shared" ca="1" si="28"/>
        <v>180.303505</v>
      </c>
      <c r="DY23" s="163">
        <f t="shared" ca="1" si="82"/>
        <v>14204.310123900001</v>
      </c>
      <c r="DZ23" s="162"/>
      <c r="EA23" s="221">
        <f t="shared" ca="1" si="29"/>
        <v>81.39</v>
      </c>
      <c r="EB23" s="221">
        <f t="shared" ca="1" si="29"/>
        <v>179.563819</v>
      </c>
      <c r="EC23" s="163">
        <f t="shared" ca="1" si="83"/>
        <v>14614.69922841</v>
      </c>
      <c r="ED23" s="162"/>
      <c r="EE23" s="221">
        <f t="shared" ca="1" si="30"/>
        <v>76.36</v>
      </c>
      <c r="EF23" s="221">
        <f t="shared" ca="1" si="30"/>
        <v>179.14534599999999</v>
      </c>
      <c r="EG23" s="163">
        <f t="shared" ca="1" si="84"/>
        <v>13679.538620559999</v>
      </c>
      <c r="EH23" s="162"/>
      <c r="EI23" s="221">
        <f t="shared" ca="1" si="31"/>
        <v>76.77</v>
      </c>
      <c r="EJ23" s="221">
        <f t="shared" ca="1" si="31"/>
        <v>179.33506299999999</v>
      </c>
      <c r="EK23" s="163">
        <f t="shared" ca="1" si="85"/>
        <v>13767.552786509999</v>
      </c>
      <c r="EL23" s="162"/>
      <c r="EM23" s="221">
        <f t="shared" ca="1" si="32"/>
        <v>75.959999999999994</v>
      </c>
      <c r="EN23" s="221">
        <f t="shared" ca="1" si="32"/>
        <v>178.88566</v>
      </c>
      <c r="EO23" s="163">
        <f t="shared" ca="1" si="86"/>
        <v>13588.154733599999</v>
      </c>
      <c r="EP23" s="162"/>
      <c r="EQ23" s="221">
        <f t="shared" ca="1" si="33"/>
        <v>73.47</v>
      </c>
      <c r="ER23" s="221">
        <f t="shared" ca="1" si="33"/>
        <v>179.02335099999999</v>
      </c>
      <c r="ES23" s="163">
        <f t="shared" ca="1" si="87"/>
        <v>13152.845597969999</v>
      </c>
      <c r="ET23" s="162"/>
      <c r="EU23" s="221">
        <f t="shared" ca="1" si="34"/>
        <v>76.73</v>
      </c>
      <c r="EV23" s="221">
        <f t="shared" ca="1" si="34"/>
        <v>178.08081490000001</v>
      </c>
      <c r="EW23" s="163">
        <f t="shared" ca="1" si="88"/>
        <v>13664.140927277002</v>
      </c>
      <c r="EX23" s="162"/>
      <c r="EY23" s="221">
        <f t="shared" ca="1" si="35"/>
        <v>81.349999999999994</v>
      </c>
      <c r="EZ23" s="221">
        <f t="shared" ca="1" si="35"/>
        <v>178.57853600000001</v>
      </c>
      <c r="FA23" s="163">
        <f t="shared" ca="1" si="89"/>
        <v>14527.3639036</v>
      </c>
      <c r="FB23" s="162"/>
      <c r="FC23" s="221">
        <f t="shared" ca="1" si="36"/>
        <v>79.28</v>
      </c>
      <c r="FD23" s="221">
        <f t="shared" ca="1" si="36"/>
        <v>179.176356</v>
      </c>
      <c r="FE23" s="163">
        <f t="shared" ca="1" si="90"/>
        <v>14205.10150368</v>
      </c>
      <c r="FF23" s="162"/>
      <c r="FG23" s="221">
        <f t="shared" ca="1" si="37"/>
        <v>68.36</v>
      </c>
      <c r="FH23" s="221">
        <f t="shared" ca="1" si="37"/>
        <v>179.15183200000001</v>
      </c>
      <c r="FI23" s="163">
        <f t="shared" ca="1" si="91"/>
        <v>12246.819235520001</v>
      </c>
      <c r="FJ23" s="162"/>
      <c r="FK23" s="221">
        <f t="shared" ca="1" si="38"/>
        <v>65.099999999999994</v>
      </c>
      <c r="FL23" s="221">
        <f t="shared" ca="1" si="38"/>
        <v>179.521276</v>
      </c>
      <c r="FM23" s="163">
        <f t="shared" ca="1" si="92"/>
        <v>11686.835067599999</v>
      </c>
      <c r="FN23" s="162"/>
      <c r="FO23" s="221">
        <f t="shared" ca="1" si="39"/>
        <v>70.5</v>
      </c>
      <c r="FP23" s="221">
        <f t="shared" ca="1" si="39"/>
        <v>179.65898100000001</v>
      </c>
      <c r="FQ23" s="163">
        <f t="shared" ca="1" si="93"/>
        <v>12665.9581605</v>
      </c>
      <c r="FR23" s="162"/>
      <c r="FS23" s="221">
        <f t="shared" ca="1" si="40"/>
        <v>77.489999999999995</v>
      </c>
      <c r="FT23" s="221">
        <f t="shared" ca="1" si="40"/>
        <v>180.245555</v>
      </c>
      <c r="FU23" s="163">
        <f t="shared" ca="1" si="94"/>
        <v>13967.228056949998</v>
      </c>
      <c r="FW23" s="221">
        <f t="shared" ca="1" si="41"/>
        <v>87.48</v>
      </c>
      <c r="FX23" s="221">
        <f t="shared" ca="1" si="41"/>
        <v>179.61006699999999</v>
      </c>
      <c r="FY23" s="163">
        <f t="shared" ca="1" si="95"/>
        <v>15712.288661159999</v>
      </c>
      <c r="GA23" s="221">
        <f t="shared" ca="1" si="42"/>
        <v>77.33</v>
      </c>
      <c r="GB23" s="221">
        <f t="shared" ca="1" si="42"/>
        <v>179.35410300000001</v>
      </c>
      <c r="GC23" s="163">
        <f t="shared" ca="1" si="96"/>
        <v>13869.452784990001</v>
      </c>
      <c r="GE23" s="221">
        <f t="shared" ca="1" si="43"/>
        <v>82.09</v>
      </c>
      <c r="GF23" s="221">
        <f t="shared" ca="1" si="43"/>
        <v>178.79782900000001</v>
      </c>
      <c r="GG23" s="163">
        <f t="shared" ca="1" si="97"/>
        <v>14677.513782610002</v>
      </c>
      <c r="GI23" s="221">
        <f t="shared" ca="1" si="44"/>
        <v>66.849999999999994</v>
      </c>
      <c r="GJ23" s="221">
        <f t="shared" ca="1" si="44"/>
        <v>178.21119200000001</v>
      </c>
      <c r="GK23" s="163">
        <f t="shared" ca="1" si="98"/>
        <v>11913.4181852</v>
      </c>
      <c r="GM23" s="221">
        <f t="shared" ca="1" si="45"/>
        <v>63.27</v>
      </c>
      <c r="GN23" s="221">
        <f t="shared" ca="1" si="45"/>
        <v>178.28372100000001</v>
      </c>
      <c r="GO23" s="163">
        <f t="shared" ca="1" si="99"/>
        <v>11280.011027670002</v>
      </c>
      <c r="GQ23" s="221">
        <f t="shared" ca="1" si="46"/>
        <v>63.19</v>
      </c>
      <c r="GR23" s="221">
        <f t="shared" ca="1" si="46"/>
        <v>178.19652500000001</v>
      </c>
      <c r="GS23" s="163">
        <f t="shared" ca="1" si="100"/>
        <v>11260.23841475</v>
      </c>
      <c r="GU23" s="221">
        <f t="shared" ca="1" si="47"/>
        <v>69.680000000000007</v>
      </c>
      <c r="GV23" s="221">
        <f t="shared" ca="1" si="47"/>
        <v>178.027961</v>
      </c>
      <c r="GW23" s="163">
        <f t="shared" ca="1" si="101"/>
        <v>12404.988322480001</v>
      </c>
      <c r="GY23" s="221">
        <f t="shared" ca="1" si="48"/>
        <v>63.24</v>
      </c>
      <c r="GZ23" s="221">
        <f t="shared" ca="1" si="48"/>
        <v>177.32481300000001</v>
      </c>
      <c r="HA23" s="163">
        <f t="shared" ca="1" si="102"/>
        <v>11214.02117412</v>
      </c>
      <c r="HC23" s="221">
        <f t="shared" ca="1" si="49"/>
        <v>63.75</v>
      </c>
      <c r="HD23" s="221">
        <f t="shared" ca="1" si="49"/>
        <v>177.51784599999999</v>
      </c>
      <c r="HE23" s="163">
        <f t="shared" ca="1" si="103"/>
        <v>11316.762682499999</v>
      </c>
      <c r="HG23" s="221">
        <f t="shared" ca="1" si="50"/>
        <v>69.3</v>
      </c>
      <c r="HH23" s="221">
        <f t="shared" ca="1" si="50"/>
        <v>177.16651899999999</v>
      </c>
      <c r="HI23" s="163">
        <f t="shared" ca="1" si="104"/>
        <v>12277.639766699998</v>
      </c>
      <c r="HK23" s="221">
        <f t="shared" ca="1" si="51"/>
        <v>67.89</v>
      </c>
      <c r="HL23" s="221">
        <f t="shared" ca="1" si="51"/>
        <v>176.865363</v>
      </c>
      <c r="HM23" s="163">
        <f t="shared" ca="1" si="105"/>
        <v>12007.389494070001</v>
      </c>
      <c r="HO23" s="148">
        <f t="shared" ca="1" si="52"/>
        <v>67.2</v>
      </c>
      <c r="HP23" s="148">
        <f t="shared" ca="1" si="52"/>
        <v>177.43020799999999</v>
      </c>
      <c r="HQ23" s="163">
        <f t="shared" ca="1" si="106"/>
        <v>11923.3099776</v>
      </c>
      <c r="HS23" s="148">
        <f t="shared" ca="1" si="53"/>
        <v>73.05</v>
      </c>
      <c r="HT23" s="148">
        <f t="shared" ca="1" si="53"/>
        <v>176.950469</v>
      </c>
      <c r="HU23" s="163">
        <f t="shared" ca="1" si="107"/>
        <v>12926.231760449999</v>
      </c>
      <c r="HX23" s="149">
        <f t="shared" ca="1" si="54"/>
        <v>31</v>
      </c>
    </row>
    <row r="24" spans="2:232" s="137" customFormat="1">
      <c r="B24" s="155">
        <f t="shared" ca="1" si="108"/>
        <v>15</v>
      </c>
      <c r="C24" s="146" t="str">
        <f t="shared" ca="1" si="0"/>
        <v>Evergy, Inc.</v>
      </c>
      <c r="D24" s="138" t="str">
        <f t="shared" ca="1" si="0"/>
        <v>EVRG</v>
      </c>
      <c r="E24" s="138">
        <f t="shared" ca="1" si="0"/>
        <v>8603803</v>
      </c>
      <c r="F24" s="147"/>
      <c r="G24" s="363">
        <f t="shared" ca="1" si="1"/>
        <v>61.55</v>
      </c>
      <c r="H24" s="363">
        <f t="shared" ca="1" si="1"/>
        <v>230.3</v>
      </c>
      <c r="I24" s="364">
        <f t="shared" ca="1" si="55"/>
        <v>14174.965</v>
      </c>
      <c r="J24" s="147"/>
      <c r="K24" s="147"/>
      <c r="L24" s="363">
        <f t="shared" ca="1" si="2"/>
        <v>62.01</v>
      </c>
      <c r="M24" s="363">
        <f t="shared" ca="1" si="2"/>
        <v>230.3</v>
      </c>
      <c r="N24" s="364">
        <f t="shared" ca="1" si="56"/>
        <v>14280.903</v>
      </c>
      <c r="O24" s="147"/>
      <c r="P24" s="147"/>
      <c r="Q24" s="363">
        <f t="shared" ca="1" si="3"/>
        <v>52.97</v>
      </c>
      <c r="R24" s="363">
        <f t="shared" ca="1" si="3"/>
        <v>230.2</v>
      </c>
      <c r="S24" s="364">
        <f t="shared" ca="1" si="57"/>
        <v>12193.694</v>
      </c>
      <c r="T24" s="147"/>
      <c r="U24" s="147"/>
      <c r="V24" s="363">
        <f t="shared" ca="1" si="4"/>
        <v>53.38</v>
      </c>
      <c r="W24" s="363">
        <f t="shared" ca="1" si="4"/>
        <v>230.1</v>
      </c>
      <c r="X24" s="364">
        <f t="shared" ca="1" si="58"/>
        <v>12282.738000000001</v>
      </c>
      <c r="Y24" s="147"/>
      <c r="Z24" s="147"/>
      <c r="AA24" s="363">
        <f t="shared" ca="1" si="5"/>
        <v>52.2</v>
      </c>
      <c r="AB24" s="363">
        <f t="shared" ca="1" si="5"/>
        <v>230.1</v>
      </c>
      <c r="AC24" s="364">
        <f t="shared" ca="1" si="59"/>
        <v>12011.220000000001</v>
      </c>
      <c r="AD24" s="147"/>
      <c r="AE24" s="147"/>
      <c r="AF24" s="363">
        <f t="shared" ca="1" si="6"/>
        <v>50.7</v>
      </c>
      <c r="AG24" s="363">
        <f t="shared" ca="1" si="6"/>
        <v>230.1</v>
      </c>
      <c r="AH24" s="364">
        <f t="shared" ca="1" si="60"/>
        <v>11666.07</v>
      </c>
      <c r="AI24" s="147"/>
      <c r="AJ24" s="147"/>
      <c r="AK24" s="363">
        <f t="shared" ca="1" si="7"/>
        <v>58.42</v>
      </c>
      <c r="AL24" s="363">
        <f t="shared" ca="1" si="7"/>
        <v>230</v>
      </c>
      <c r="AM24" s="364">
        <f t="shared" ca="1" si="61"/>
        <v>13436.6</v>
      </c>
      <c r="AN24" s="147"/>
      <c r="AO24" s="147"/>
      <c r="AP24" s="363">
        <f t="shared" ca="1" si="8"/>
        <v>61.12</v>
      </c>
      <c r="AQ24" s="363">
        <f t="shared" ca="1" si="8"/>
        <v>229.9</v>
      </c>
      <c r="AR24" s="364">
        <f t="shared" ca="1" si="62"/>
        <v>14051.487999999999</v>
      </c>
      <c r="AS24" s="147"/>
      <c r="AT24" s="147"/>
      <c r="AU24" s="363">
        <f t="shared" ca="1" si="9"/>
        <v>62.93</v>
      </c>
      <c r="AV24" s="363">
        <f t="shared" ca="1" si="9"/>
        <v>229.9</v>
      </c>
      <c r="AW24" s="364">
        <f t="shared" ca="1" si="63"/>
        <v>14467.607</v>
      </c>
      <c r="AX24" s="147"/>
      <c r="AY24" s="147"/>
      <c r="AZ24" s="363">
        <f t="shared" ca="1" si="10"/>
        <v>59.4</v>
      </c>
      <c r="BA24" s="363">
        <f t="shared" ca="1" si="10"/>
        <v>229.9</v>
      </c>
      <c r="BB24" s="364">
        <f t="shared" ca="1" si="64"/>
        <v>13656.06</v>
      </c>
      <c r="BC24" s="147"/>
      <c r="BD24" s="147"/>
      <c r="BE24" s="363">
        <f t="shared" ca="1" si="11"/>
        <v>65.25</v>
      </c>
      <c r="BF24" s="363">
        <f t="shared" ca="1" si="11"/>
        <v>229.8</v>
      </c>
      <c r="BG24" s="364">
        <f t="shared" ca="1" si="65"/>
        <v>14994.45</v>
      </c>
      <c r="BH24" s="147"/>
      <c r="BI24" s="147"/>
      <c r="BJ24" s="363">
        <f t="shared" ca="1" si="12"/>
        <v>68.34</v>
      </c>
      <c r="BK24" s="363">
        <f t="shared" ca="1" si="12"/>
        <v>229</v>
      </c>
      <c r="BL24" s="364">
        <f t="shared" ca="1" si="66"/>
        <v>15649.86</v>
      </c>
      <c r="BM24" s="147"/>
      <c r="BN24" s="147"/>
      <c r="BO24" s="363">
        <f t="shared" ca="1" si="13"/>
        <v>68.61</v>
      </c>
      <c r="BP24" s="363">
        <f t="shared" ca="1" si="13"/>
        <v>229.7</v>
      </c>
      <c r="BQ24" s="364">
        <f t="shared" ca="1" si="67"/>
        <v>15759.716999999999</v>
      </c>
      <c r="BR24" s="162"/>
      <c r="BS24" s="363">
        <f t="shared" ca="1" si="14"/>
        <v>62.2</v>
      </c>
      <c r="BT24" s="363">
        <f t="shared" ca="1" si="14"/>
        <v>229.3</v>
      </c>
      <c r="BU24" s="364">
        <f t="shared" ca="1" si="68"/>
        <v>14262.460000000001</v>
      </c>
      <c r="BV24" s="162"/>
      <c r="BW24" s="363">
        <f t="shared" ca="1" si="15"/>
        <v>60.43</v>
      </c>
      <c r="BX24" s="363">
        <f t="shared" ca="1" si="15"/>
        <v>227.3</v>
      </c>
      <c r="BY24" s="364">
        <f t="shared" ca="1" si="69"/>
        <v>13735.739000000001</v>
      </c>
      <c r="BZ24" s="162"/>
      <c r="CA24" s="363">
        <f t="shared" ca="1" si="16"/>
        <v>59.53</v>
      </c>
      <c r="CB24" s="363">
        <f t="shared" ca="1" si="16"/>
        <v>227.2</v>
      </c>
      <c r="CC24" s="364">
        <f t="shared" ca="1" si="70"/>
        <v>13525.216</v>
      </c>
      <c r="CD24" s="162"/>
      <c r="CE24" s="363">
        <f t="shared" ca="1" si="17"/>
        <v>55.51</v>
      </c>
      <c r="CF24" s="363">
        <f t="shared" ca="1" si="17"/>
        <v>227.3</v>
      </c>
      <c r="CG24" s="364">
        <f t="shared" ca="1" si="71"/>
        <v>12617.423000000001</v>
      </c>
      <c r="CH24" s="162"/>
      <c r="CI24" s="363">
        <f t="shared" ca="1" si="18"/>
        <v>50.82</v>
      </c>
      <c r="CJ24" s="363">
        <f t="shared" ca="1" si="18"/>
        <v>227.2</v>
      </c>
      <c r="CK24" s="364">
        <f t="shared" ca="1" si="72"/>
        <v>11546.304</v>
      </c>
      <c r="CL24" s="162"/>
      <c r="CM24" s="363">
        <f t="shared" ca="1" si="19"/>
        <v>59.29</v>
      </c>
      <c r="CN24" s="363">
        <f t="shared" ca="1" si="19"/>
        <v>227.1</v>
      </c>
      <c r="CO24" s="364">
        <f t="shared" ca="1" si="73"/>
        <v>13464.759</v>
      </c>
      <c r="CP24" s="162"/>
      <c r="CQ24" s="221">
        <f t="shared" ca="1" si="20"/>
        <v>55.05</v>
      </c>
      <c r="CR24" s="221">
        <f t="shared" ca="1" si="20"/>
        <v>239.5</v>
      </c>
      <c r="CS24" s="163">
        <f t="shared" ca="1" si="74"/>
        <v>13184.474999999999</v>
      </c>
      <c r="CT24" s="162"/>
      <c r="CU24" s="221">
        <f t="shared" ca="1" si="21"/>
        <v>65.09</v>
      </c>
      <c r="CV24" s="221">
        <f t="shared" ca="1" si="21"/>
        <v>234.6</v>
      </c>
      <c r="CW24" s="163">
        <f t="shared" ca="1" si="75"/>
        <v>15270.114</v>
      </c>
      <c r="CX24" s="162"/>
      <c r="CY24" s="221">
        <f t="shared" ca="1" si="22"/>
        <v>66.56</v>
      </c>
      <c r="CZ24" s="221">
        <f t="shared" ca="1" si="22"/>
        <v>243.2</v>
      </c>
      <c r="DA24" s="163">
        <f t="shared" ca="1" si="76"/>
        <v>16187.392</v>
      </c>
      <c r="DB24" s="162"/>
      <c r="DC24" s="221">
        <f t="shared" ca="1" si="23"/>
        <v>60.15</v>
      </c>
      <c r="DD24" s="221">
        <f t="shared" ca="1" si="23"/>
        <v>252.8</v>
      </c>
      <c r="DE24" s="163">
        <f t="shared" ca="1" si="77"/>
        <v>15205.92</v>
      </c>
      <c r="DF24" s="162"/>
      <c r="DG24" s="221">
        <f t="shared" ca="1" si="24"/>
        <v>58.05</v>
      </c>
      <c r="DH24" s="221">
        <f t="shared" ca="1" si="24"/>
        <v>268.60000000000002</v>
      </c>
      <c r="DI24" s="163">
        <f t="shared" ca="1" si="78"/>
        <v>15592.230000000001</v>
      </c>
      <c r="DJ24" s="162"/>
      <c r="DK24" s="221">
        <f t="shared" ca="1" si="25"/>
        <v>56.77</v>
      </c>
      <c r="DL24" s="221">
        <f t="shared" ca="1" si="25"/>
        <v>268.60000000000002</v>
      </c>
      <c r="DM24" s="163">
        <f t="shared" ca="1" si="79"/>
        <v>15248.422000000002</v>
      </c>
      <c r="DN24" s="162"/>
      <c r="DO24" s="221">
        <f t="shared" ca="1" si="26"/>
        <v>54.92</v>
      </c>
      <c r="DP24" s="221">
        <f t="shared" ca="1" si="26"/>
        <v>271.71037000000001</v>
      </c>
      <c r="DQ24" s="163">
        <f t="shared" ca="1" si="80"/>
        <v>14922.333520400001</v>
      </c>
      <c r="DR24" s="162"/>
      <c r="DS24" s="221">
        <f t="shared" ca="1" si="27"/>
        <v>56.15</v>
      </c>
      <c r="DT24" s="221">
        <f t="shared" ca="1" si="27"/>
        <v>271.71037000000001</v>
      </c>
      <c r="DU24" s="163">
        <f t="shared" ca="1" si="81"/>
        <v>15256.537275500001</v>
      </c>
      <c r="DV24" s="162"/>
      <c r="DW24" s="221">
        <f t="shared" ca="1" si="28"/>
        <v>52.59</v>
      </c>
      <c r="DX24" s="221">
        <f t="shared" ca="1" si="28"/>
        <v>272.80708073664198</v>
      </c>
      <c r="DY24" s="163">
        <f t="shared" ca="1" si="82"/>
        <v>14346.924375940003</v>
      </c>
      <c r="DZ24" s="162"/>
      <c r="EA24" s="221">
        <f t="shared" ca="1" si="29"/>
        <v>52.8</v>
      </c>
      <c r="EB24" s="221">
        <f t="shared" ca="1" si="29"/>
        <v>274.11965366666664</v>
      </c>
      <c r="EC24" s="163">
        <f t="shared" ca="1" si="83"/>
        <v>14473.517713599998</v>
      </c>
      <c r="ED24" s="162"/>
      <c r="EE24" s="221">
        <f t="shared" ca="1" si="30"/>
        <v>49.6</v>
      </c>
      <c r="EF24" s="221">
        <f t="shared" ca="1" si="30"/>
        <v>274.11191835483868</v>
      </c>
      <c r="EG24" s="163">
        <f t="shared" ca="1" si="84"/>
        <v>13595.951150399998</v>
      </c>
      <c r="EH24" s="162"/>
      <c r="EI24" s="221">
        <f t="shared" ca="1" si="31"/>
        <v>53.02</v>
      </c>
      <c r="EJ24" s="221">
        <f t="shared" ca="1" si="31"/>
        <v>142.436622</v>
      </c>
      <c r="EK24" s="163">
        <f t="shared" ca="1" si="85"/>
        <v>7551.9896984400002</v>
      </c>
      <c r="EL24" s="162"/>
      <c r="EM24" s="221">
        <f t="shared" ca="1" si="32"/>
        <v>54.27</v>
      </c>
      <c r="EN24" s="221">
        <f t="shared" ca="1" si="32"/>
        <v>142.06755799999999</v>
      </c>
      <c r="EO24" s="163">
        <f t="shared" ca="1" si="86"/>
        <v>7710.0063726600001</v>
      </c>
      <c r="EP24" s="162"/>
      <c r="EQ24" s="221">
        <f t="shared" ca="1" si="33"/>
        <v>56.35</v>
      </c>
      <c r="ER24" s="221">
        <f t="shared" ca="1" si="33"/>
        <v>142.09070600000001</v>
      </c>
      <c r="ES24" s="163">
        <f t="shared" ca="1" si="87"/>
        <v>8006.8112831000008</v>
      </c>
      <c r="ET24" s="162"/>
      <c r="EU24" s="221">
        <f t="shared" ca="1" si="34"/>
        <v>56.75</v>
      </c>
      <c r="EV24" s="221">
        <f t="shared" ca="1" si="34"/>
        <v>142.03384199999999</v>
      </c>
      <c r="EW24" s="163">
        <f t="shared" ca="1" si="88"/>
        <v>8060.4205334999997</v>
      </c>
      <c r="EX24" s="162"/>
      <c r="EY24" s="221">
        <f t="shared" ca="1" si="35"/>
        <v>56.09</v>
      </c>
      <c r="EZ24" s="221">
        <f t="shared" ca="1" si="35"/>
        <v>141.99284599999999</v>
      </c>
      <c r="FA24" s="163">
        <f t="shared" ca="1" si="89"/>
        <v>7964.3787321399996</v>
      </c>
      <c r="FB24" s="162"/>
      <c r="FC24" s="221">
        <f t="shared" ca="1" si="36"/>
        <v>49.61</v>
      </c>
      <c r="FD24" s="221">
        <f t="shared" ca="1" si="36"/>
        <v>137.957515</v>
      </c>
      <c r="FE24" s="163">
        <f t="shared" ca="1" si="90"/>
        <v>6844.0723191500001</v>
      </c>
      <c r="FF24" s="162"/>
      <c r="FG24" s="221">
        <f t="shared" ca="1" si="37"/>
        <v>42.41</v>
      </c>
      <c r="FH24" s="221">
        <f t="shared" ca="1" si="37"/>
        <v>141.62269699999999</v>
      </c>
      <c r="FI24" s="163">
        <f t="shared" ca="1" si="91"/>
        <v>6006.2185797699995</v>
      </c>
      <c r="FJ24" s="162"/>
      <c r="FK24" s="221">
        <f t="shared" ca="1" si="38"/>
        <v>38.44</v>
      </c>
      <c r="FL24" s="221">
        <f t="shared" ca="1" si="38"/>
        <v>135.93919700000001</v>
      </c>
      <c r="FM24" s="163">
        <f t="shared" ca="1" si="92"/>
        <v>5225.50273268</v>
      </c>
      <c r="FN24" s="162"/>
      <c r="FO24" s="221">
        <f t="shared" ca="1" si="39"/>
        <v>34.22</v>
      </c>
      <c r="FP24" s="221">
        <f t="shared" ca="1" si="39"/>
        <v>132.39549700000001</v>
      </c>
      <c r="FQ24" s="163">
        <f t="shared" ca="1" si="93"/>
        <v>4530.57390734</v>
      </c>
      <c r="FR24" s="162"/>
      <c r="FS24" s="221">
        <f t="shared" ca="1" si="40"/>
        <v>38.76</v>
      </c>
      <c r="FT24" s="221">
        <f t="shared" ca="1" si="40"/>
        <v>131.48291</v>
      </c>
      <c r="FU24" s="163">
        <f t="shared" ca="1" si="94"/>
        <v>5096.2775916000001</v>
      </c>
      <c r="FW24" s="221">
        <f t="shared" ca="1" si="41"/>
        <v>41.24</v>
      </c>
      <c r="FX24" s="221">
        <f t="shared" ca="1" si="41"/>
        <v>130.19619299999999</v>
      </c>
      <c r="FY24" s="163">
        <f t="shared" ca="1" si="95"/>
        <v>5369.2909993200001</v>
      </c>
      <c r="GA24" s="221">
        <f t="shared" ca="1" si="42"/>
        <v>34.119999999999997</v>
      </c>
      <c r="GB24" s="221">
        <f t="shared" ca="1" si="42"/>
        <v>129.363382</v>
      </c>
      <c r="GC24" s="163">
        <f t="shared" ca="1" si="96"/>
        <v>4413.8785938399997</v>
      </c>
      <c r="GE24" s="221">
        <f t="shared" ca="1" si="43"/>
        <v>38.19</v>
      </c>
      <c r="GF24" s="221">
        <f t="shared" ca="1" si="43"/>
        <v>129.00411199999999</v>
      </c>
      <c r="GG24" s="163">
        <f t="shared" ca="1" si="97"/>
        <v>4926.667037279999</v>
      </c>
      <c r="GI24" s="221">
        <f t="shared" ca="1" si="44"/>
        <v>35.159999999999997</v>
      </c>
      <c r="GJ24" s="221">
        <f t="shared" ca="1" si="44"/>
        <v>127.46299399999999</v>
      </c>
      <c r="GK24" s="163">
        <f t="shared" ca="1" si="98"/>
        <v>4481.598869039999</v>
      </c>
      <c r="GM24" s="221">
        <f t="shared" ca="1" si="45"/>
        <v>32.17</v>
      </c>
      <c r="GN24" s="221">
        <f t="shared" ca="1" si="45"/>
        <v>127.44479200000001</v>
      </c>
      <c r="GO24" s="163">
        <f t="shared" ca="1" si="99"/>
        <v>4099.8989586400003</v>
      </c>
      <c r="GQ24" s="221">
        <f t="shared" ca="1" si="46"/>
        <v>30.65</v>
      </c>
      <c r="GR24" s="221">
        <f t="shared" ca="1" si="46"/>
        <v>127.31141100000001</v>
      </c>
      <c r="GS24" s="163">
        <f t="shared" ca="1" si="100"/>
        <v>3902.0947471499999</v>
      </c>
      <c r="GU24" s="221">
        <f t="shared" ca="1" si="47"/>
        <v>31.96</v>
      </c>
      <c r="GV24" s="221">
        <f t="shared" ca="1" si="47"/>
        <v>127.196454</v>
      </c>
      <c r="GW24" s="163">
        <f t="shared" ca="1" si="101"/>
        <v>4065.1986698400001</v>
      </c>
      <c r="GY24" s="221">
        <f t="shared" ca="1" si="48"/>
        <v>33.18</v>
      </c>
      <c r="GZ24" s="221">
        <f t="shared" ca="1" si="48"/>
        <v>126.71186899999999</v>
      </c>
      <c r="HA24" s="163">
        <f t="shared" ca="1" si="102"/>
        <v>4204.2998134199997</v>
      </c>
      <c r="HC24" s="221">
        <f t="shared" ca="1" si="49"/>
        <v>28.62</v>
      </c>
      <c r="HD24" s="221">
        <f t="shared" ca="1" si="49"/>
        <v>126.783248</v>
      </c>
      <c r="HE24" s="163">
        <f t="shared" ca="1" si="103"/>
        <v>3628.5365577600001</v>
      </c>
      <c r="HG24" s="221">
        <f t="shared" ca="1" si="50"/>
        <v>29.66</v>
      </c>
      <c r="HH24" s="221">
        <f t="shared" ca="1" si="50"/>
        <v>126.637067</v>
      </c>
      <c r="HI24" s="163">
        <f t="shared" ca="1" si="104"/>
        <v>3756.0554072200002</v>
      </c>
      <c r="HK24" s="221">
        <f t="shared" ca="1" si="51"/>
        <v>29.95</v>
      </c>
      <c r="HL24" s="221">
        <f t="shared" ca="1" si="51"/>
        <v>126.495075</v>
      </c>
      <c r="HM24" s="163">
        <f t="shared" ca="1" si="105"/>
        <v>3788.5274962499998</v>
      </c>
      <c r="HO24" s="148">
        <f t="shared" ca="1" si="52"/>
        <v>27.94</v>
      </c>
      <c r="HP24" s="148">
        <f t="shared" ca="1" si="52"/>
        <v>116.890552</v>
      </c>
      <c r="HQ24" s="163">
        <f t="shared" ca="1" si="106"/>
        <v>3265.92202288</v>
      </c>
      <c r="HS24" s="148">
        <f t="shared" ca="1" si="53"/>
        <v>28.8</v>
      </c>
      <c r="HT24" s="148">
        <f t="shared" ca="1" si="53"/>
        <v>116.806596</v>
      </c>
      <c r="HU24" s="163">
        <f t="shared" ca="1" si="107"/>
        <v>3364.0299648</v>
      </c>
      <c r="HX24" s="149">
        <f t="shared" ca="1" si="54"/>
        <v>42</v>
      </c>
    </row>
    <row r="25" spans="2:232" s="137" customFormat="1">
      <c r="B25" s="155">
        <f t="shared" ca="1" si="108"/>
        <v>16</v>
      </c>
      <c r="C25" s="146" t="str">
        <f t="shared" ca="1" si="0"/>
        <v>Eversource Energy</v>
      </c>
      <c r="D25" s="138" t="str">
        <f t="shared" ca="1" si="0"/>
        <v>ES</v>
      </c>
      <c r="E25" s="138">
        <f t="shared" ca="1" si="0"/>
        <v>4057052</v>
      </c>
      <c r="F25" s="147"/>
      <c r="G25" s="363">
        <f t="shared" ca="1" si="1"/>
        <v>57.43</v>
      </c>
      <c r="H25" s="363">
        <f t="shared" ca="1" si="1"/>
        <v>359.52051799999998</v>
      </c>
      <c r="I25" s="364">
        <f t="shared" ca="1" si="55"/>
        <v>20647.263348739998</v>
      </c>
      <c r="J25" s="147"/>
      <c r="K25" s="147"/>
      <c r="L25" s="363">
        <f t="shared" ca="1" si="2"/>
        <v>68.05</v>
      </c>
      <c r="M25" s="363">
        <f t="shared" ca="1" si="2"/>
        <v>353.212378</v>
      </c>
      <c r="N25" s="364">
        <f t="shared" ca="1" si="56"/>
        <v>24036.102322899998</v>
      </c>
      <c r="O25" s="147"/>
      <c r="P25" s="147"/>
      <c r="Q25" s="363">
        <f t="shared" ca="1" si="3"/>
        <v>56.71</v>
      </c>
      <c r="R25" s="363">
        <f t="shared" ca="1" si="3"/>
        <v>350.71711399999998</v>
      </c>
      <c r="S25" s="364">
        <f t="shared" ca="1" si="57"/>
        <v>19889.167534939999</v>
      </c>
      <c r="T25" s="147"/>
      <c r="U25" s="147"/>
      <c r="V25" s="363">
        <f t="shared" ca="1" si="4"/>
        <v>59.77</v>
      </c>
      <c r="W25" s="363">
        <f t="shared" ca="1" si="4"/>
        <v>349.93900000000002</v>
      </c>
      <c r="X25" s="364">
        <f t="shared" ca="1" si="58"/>
        <v>20915.854030000002</v>
      </c>
      <c r="Y25" s="147"/>
      <c r="Z25" s="147"/>
      <c r="AA25" s="363">
        <f t="shared" ca="1" si="5"/>
        <v>61.72</v>
      </c>
      <c r="AB25" s="363">
        <f t="shared" ca="1" si="5"/>
        <v>349.70415500000001</v>
      </c>
      <c r="AC25" s="364">
        <f t="shared" ca="1" si="59"/>
        <v>21583.740446600001</v>
      </c>
      <c r="AD25" s="147"/>
      <c r="AE25" s="147"/>
      <c r="AF25" s="363">
        <f t="shared" ca="1" si="6"/>
        <v>58.15</v>
      </c>
      <c r="AG25" s="363">
        <f t="shared" ca="1" si="6"/>
        <v>349.46199999999999</v>
      </c>
      <c r="AH25" s="364">
        <f t="shared" ca="1" si="60"/>
        <v>20321.2153</v>
      </c>
      <c r="AI25" s="147"/>
      <c r="AJ25" s="147"/>
      <c r="AK25" s="363">
        <f t="shared" ca="1" si="7"/>
        <v>70.92</v>
      </c>
      <c r="AL25" s="363">
        <f t="shared" ca="1" si="7"/>
        <v>349.21714700000001</v>
      </c>
      <c r="AM25" s="364">
        <f t="shared" ca="1" si="61"/>
        <v>24766.480065240001</v>
      </c>
      <c r="AN25" s="147"/>
      <c r="AO25" s="147"/>
      <c r="AP25" s="363">
        <f t="shared" ca="1" si="8"/>
        <v>78.260000000000005</v>
      </c>
      <c r="AQ25" s="363">
        <f t="shared" ca="1" si="8"/>
        <v>346.78344399999997</v>
      </c>
      <c r="AR25" s="364">
        <f t="shared" ca="1" si="62"/>
        <v>27139.272327440001</v>
      </c>
      <c r="AS25" s="147"/>
      <c r="AT25" s="147"/>
      <c r="AU25" s="363">
        <f t="shared" ca="1" si="9"/>
        <v>83.84</v>
      </c>
      <c r="AV25" s="363">
        <f t="shared" ca="1" si="9"/>
        <v>347.29741100000001</v>
      </c>
      <c r="AW25" s="364">
        <f t="shared" ca="1" si="63"/>
        <v>29117.414938240003</v>
      </c>
      <c r="AX25" s="147"/>
      <c r="AY25" s="147"/>
      <c r="AZ25" s="363">
        <f t="shared" ca="1" si="10"/>
        <v>77.959999999999994</v>
      </c>
      <c r="BA25" s="363">
        <f t="shared" ca="1" si="10"/>
        <v>345.89371399999999</v>
      </c>
      <c r="BB25" s="364">
        <f t="shared" ca="1" si="64"/>
        <v>26965.873943439998</v>
      </c>
      <c r="BC25" s="147"/>
      <c r="BD25" s="147"/>
      <c r="BE25" s="363">
        <f t="shared" ca="1" si="11"/>
        <v>84.47</v>
      </c>
      <c r="BF25" s="363">
        <f t="shared" ca="1" si="11"/>
        <v>345.15634599999998</v>
      </c>
      <c r="BG25" s="364">
        <f t="shared" ca="1" si="65"/>
        <v>29155.356546619998</v>
      </c>
      <c r="BH25" s="147"/>
      <c r="BI25" s="147"/>
      <c r="BJ25" s="363">
        <f t="shared" ca="1" si="12"/>
        <v>88.19</v>
      </c>
      <c r="BK25" s="363">
        <f t="shared" ca="1" si="12"/>
        <v>343.97292599999997</v>
      </c>
      <c r="BL25" s="364">
        <f t="shared" ca="1" si="66"/>
        <v>30334.972343939997</v>
      </c>
      <c r="BM25" s="147"/>
      <c r="BN25" s="147"/>
      <c r="BO25" s="363">
        <f t="shared" ca="1" si="13"/>
        <v>90.98</v>
      </c>
      <c r="BP25" s="363">
        <f t="shared" ca="1" si="13"/>
        <v>344.02384599999999</v>
      </c>
      <c r="BQ25" s="364">
        <f t="shared" ca="1" si="67"/>
        <v>31299.289509080001</v>
      </c>
      <c r="BR25" s="162"/>
      <c r="BS25" s="363">
        <f t="shared" ca="1" si="14"/>
        <v>81.760000000000005</v>
      </c>
      <c r="BT25" s="363">
        <f t="shared" ca="1" si="14"/>
        <v>343.84462600000001</v>
      </c>
      <c r="BU25" s="364">
        <f t="shared" ca="1" si="68"/>
        <v>28112.736621760003</v>
      </c>
      <c r="BV25" s="162"/>
      <c r="BW25" s="363">
        <f t="shared" ca="1" si="15"/>
        <v>80.239999999999995</v>
      </c>
      <c r="BX25" s="363">
        <f t="shared" ca="1" si="15"/>
        <v>343.67824300000001</v>
      </c>
      <c r="BY25" s="364">
        <f t="shared" ca="1" si="69"/>
        <v>27576.74221832</v>
      </c>
      <c r="BZ25" s="162"/>
      <c r="CA25" s="363">
        <f t="shared" ca="1" si="16"/>
        <v>86.59</v>
      </c>
      <c r="CB25" s="363">
        <f t="shared" ca="1" si="16"/>
        <v>338.83614699999998</v>
      </c>
      <c r="CC25" s="364">
        <f t="shared" ca="1" si="70"/>
        <v>29339.821968730001</v>
      </c>
      <c r="CD25" s="162"/>
      <c r="CE25" s="363">
        <f t="shared" ca="1" si="17"/>
        <v>86.51</v>
      </c>
      <c r="CF25" s="363">
        <f t="shared" ca="1" si="17"/>
        <v>343.07661400000001</v>
      </c>
      <c r="CG25" s="364">
        <f t="shared" ca="1" si="71"/>
        <v>29679.557877140003</v>
      </c>
      <c r="CH25" s="162"/>
      <c r="CI25" s="363">
        <f t="shared" ca="1" si="18"/>
        <v>83.55</v>
      </c>
      <c r="CJ25" s="363">
        <f t="shared" ca="1" si="18"/>
        <v>337.946663</v>
      </c>
      <c r="CK25" s="364">
        <f t="shared" ca="1" si="72"/>
        <v>28235.443693649999</v>
      </c>
      <c r="CL25" s="162"/>
      <c r="CM25" s="363">
        <f t="shared" ca="1" si="19"/>
        <v>83.27</v>
      </c>
      <c r="CN25" s="363">
        <f t="shared" ca="1" si="19"/>
        <v>331.102237</v>
      </c>
      <c r="CO25" s="364">
        <f t="shared" ca="1" si="73"/>
        <v>27570.883274989999</v>
      </c>
      <c r="CP25" s="162"/>
      <c r="CQ25" s="221">
        <f t="shared" ca="1" si="20"/>
        <v>78.209999999999994</v>
      </c>
      <c r="CR25" s="221">
        <f t="shared" ca="1" si="20"/>
        <v>321.41608600000001</v>
      </c>
      <c r="CS25" s="163">
        <f t="shared" ca="1" si="74"/>
        <v>25137.952086059999</v>
      </c>
      <c r="CT25" s="162"/>
      <c r="CU25" s="221">
        <f t="shared" ca="1" si="21"/>
        <v>85.07</v>
      </c>
      <c r="CV25" s="221">
        <f t="shared" ca="1" si="21"/>
        <v>324.03716900000001</v>
      </c>
      <c r="CW25" s="163">
        <f t="shared" ca="1" si="75"/>
        <v>27565.841966829998</v>
      </c>
      <c r="CX25" s="162"/>
      <c r="CY25" s="221">
        <f t="shared" ca="1" si="22"/>
        <v>85.47</v>
      </c>
      <c r="CZ25" s="221">
        <f t="shared" ca="1" si="22"/>
        <v>319.66499800000003</v>
      </c>
      <c r="DA25" s="163">
        <f t="shared" ca="1" si="76"/>
        <v>27321.767379060002</v>
      </c>
      <c r="DB25" s="162"/>
      <c r="DC25" s="221">
        <f t="shared" ca="1" si="23"/>
        <v>75.760000000000005</v>
      </c>
      <c r="DD25" s="221">
        <f t="shared" ca="1" si="23"/>
        <v>317.624593</v>
      </c>
      <c r="DE25" s="163">
        <f t="shared" ca="1" si="77"/>
        <v>24063.239165680003</v>
      </c>
      <c r="DF25" s="162"/>
      <c r="DG25" s="221">
        <f t="shared" ca="1" si="24"/>
        <v>70.95</v>
      </c>
      <c r="DH25" s="221">
        <f t="shared" ca="1" si="24"/>
        <v>317.37036899999998</v>
      </c>
      <c r="DI25" s="163">
        <f t="shared" ca="1" si="78"/>
        <v>22517.427680550001</v>
      </c>
      <c r="DJ25" s="162"/>
      <c r="DK25" s="221">
        <f t="shared" ca="1" si="25"/>
        <v>65.040000000000006</v>
      </c>
      <c r="DL25" s="221">
        <f t="shared" ca="1" si="25"/>
        <v>317.36011000000002</v>
      </c>
      <c r="DM25" s="163">
        <f t="shared" ca="1" si="79"/>
        <v>20641.101554400004</v>
      </c>
      <c r="DN25" s="162"/>
      <c r="DO25" s="221">
        <f t="shared" ca="1" si="26"/>
        <v>61.44</v>
      </c>
      <c r="DP25" s="221">
        <f t="shared" ca="1" si="26"/>
        <v>317.34459600000002</v>
      </c>
      <c r="DQ25" s="163">
        <f t="shared" ca="1" si="80"/>
        <v>19497.651978239999</v>
      </c>
      <c r="DR25" s="162"/>
      <c r="DS25" s="221">
        <f t="shared" ca="1" si="27"/>
        <v>58.61</v>
      </c>
      <c r="DT25" s="221">
        <f t="shared" ca="1" si="27"/>
        <v>317.39705199999997</v>
      </c>
      <c r="DU25" s="163">
        <f t="shared" ca="1" si="81"/>
        <v>18602.64121772</v>
      </c>
      <c r="DV25" s="162"/>
      <c r="DW25" s="221">
        <f t="shared" ca="1" si="28"/>
        <v>58.92</v>
      </c>
      <c r="DX25" s="221">
        <f t="shared" ca="1" si="28"/>
        <v>317.39684199999999</v>
      </c>
      <c r="DY25" s="163">
        <f t="shared" ca="1" si="82"/>
        <v>18701.021930639999</v>
      </c>
      <c r="DZ25" s="162"/>
      <c r="EA25" s="221">
        <f t="shared" ca="1" si="29"/>
        <v>63.18</v>
      </c>
      <c r="EB25" s="221">
        <f t="shared" ca="1" si="29"/>
        <v>317.39302900000001</v>
      </c>
      <c r="EC25" s="163">
        <f t="shared" ca="1" si="83"/>
        <v>20052.89157222</v>
      </c>
      <c r="ED25" s="162"/>
      <c r="EE25" s="221">
        <f t="shared" ca="1" si="30"/>
        <v>60.44</v>
      </c>
      <c r="EF25" s="221">
        <f t="shared" ca="1" si="30"/>
        <v>317.39136500000001</v>
      </c>
      <c r="EG25" s="163">
        <f t="shared" ca="1" si="84"/>
        <v>19183.1341006</v>
      </c>
      <c r="EH25" s="162"/>
      <c r="EI25" s="221">
        <f t="shared" ca="1" si="31"/>
        <v>60.71</v>
      </c>
      <c r="EJ25" s="221">
        <f t="shared" ca="1" si="31"/>
        <v>317.46315099999998</v>
      </c>
      <c r="EK25" s="163">
        <f t="shared" ca="1" si="85"/>
        <v>19273.187897209998</v>
      </c>
      <c r="EL25" s="162"/>
      <c r="EM25" s="221">
        <f t="shared" ca="1" si="32"/>
        <v>58.78</v>
      </c>
      <c r="EN25" s="221">
        <f t="shared" ca="1" si="32"/>
        <v>317.65017999999998</v>
      </c>
      <c r="EO25" s="163">
        <f t="shared" ca="1" si="86"/>
        <v>18671.477580399998</v>
      </c>
      <c r="EP25" s="162"/>
      <c r="EQ25" s="221">
        <f t="shared" ca="1" si="33"/>
        <v>55.23</v>
      </c>
      <c r="ER25" s="221">
        <f t="shared" ca="1" si="33"/>
        <v>317.79783600000002</v>
      </c>
      <c r="ES25" s="163">
        <f t="shared" ca="1" si="87"/>
        <v>17551.974482279998</v>
      </c>
      <c r="ET25" s="162"/>
      <c r="EU25" s="221">
        <f t="shared" ca="1" si="34"/>
        <v>54.18</v>
      </c>
      <c r="EV25" s="221">
        <f t="shared" ca="1" si="34"/>
        <v>317.78549500000003</v>
      </c>
      <c r="EW25" s="163">
        <f t="shared" ca="1" si="88"/>
        <v>17217.6181191</v>
      </c>
      <c r="EX25" s="162"/>
      <c r="EY25" s="221">
        <f t="shared" ca="1" si="35"/>
        <v>59.9</v>
      </c>
      <c r="EZ25" s="221">
        <f t="shared" ca="1" si="35"/>
        <v>317.51714099999998</v>
      </c>
      <c r="FA25" s="163">
        <f t="shared" ca="1" si="89"/>
        <v>19019.276745899999</v>
      </c>
      <c r="FB25" s="162"/>
      <c r="FC25" s="221">
        <f t="shared" ca="1" si="36"/>
        <v>58.34</v>
      </c>
      <c r="FD25" s="221">
        <f t="shared" ca="1" si="36"/>
        <v>317.33688100000001</v>
      </c>
      <c r="FE25" s="163">
        <f t="shared" ca="1" si="90"/>
        <v>18513.433637540002</v>
      </c>
      <c r="FF25" s="162"/>
      <c r="FG25" s="221">
        <f t="shared" ca="1" si="37"/>
        <v>51.07</v>
      </c>
      <c r="FH25" s="221">
        <f t="shared" ca="1" si="37"/>
        <v>317.45221199999997</v>
      </c>
      <c r="FI25" s="163">
        <f t="shared" ca="1" si="91"/>
        <v>16212.284466839999</v>
      </c>
      <c r="FJ25" s="162"/>
      <c r="FK25" s="221">
        <f t="shared" ca="1" si="38"/>
        <v>50.62</v>
      </c>
      <c r="FL25" s="221">
        <f t="shared" ca="1" si="38"/>
        <v>317.61316599999998</v>
      </c>
      <c r="FM25" s="163">
        <f t="shared" ca="1" si="92"/>
        <v>16077.578462919999</v>
      </c>
      <c r="FN25" s="162"/>
      <c r="FO25" s="221">
        <f t="shared" ca="1" si="39"/>
        <v>45.41</v>
      </c>
      <c r="FP25" s="221">
        <f t="shared" ca="1" si="39"/>
        <v>317.09084100000001</v>
      </c>
      <c r="FQ25" s="163">
        <f t="shared" ca="1" si="93"/>
        <v>14399.09508981</v>
      </c>
      <c r="FR25" s="162"/>
      <c r="FS25" s="221">
        <f t="shared" ca="1" si="40"/>
        <v>50.52</v>
      </c>
      <c r="FT25" s="221">
        <f t="shared" ca="1" si="40"/>
        <v>316.72127499999999</v>
      </c>
      <c r="FU25" s="163">
        <f t="shared" ca="1" si="94"/>
        <v>16000.758813</v>
      </c>
      <c r="FW25" s="221">
        <f t="shared" ca="1" si="41"/>
        <v>53.52</v>
      </c>
      <c r="FX25" s="221">
        <f t="shared" ca="1" si="41"/>
        <v>316.34069099999999</v>
      </c>
      <c r="FY25" s="163">
        <f t="shared" ca="1" si="95"/>
        <v>16930.553782319999</v>
      </c>
      <c r="GA25" s="221">
        <f t="shared" ca="1" si="42"/>
        <v>44.3</v>
      </c>
      <c r="GB25" s="221">
        <f t="shared" ca="1" si="42"/>
        <v>315.95051000000001</v>
      </c>
      <c r="GC25" s="163">
        <f t="shared" ca="1" si="96"/>
        <v>13996.607592999999</v>
      </c>
      <c r="GE25" s="221">
        <f t="shared" ca="1" si="43"/>
        <v>47.27</v>
      </c>
      <c r="GF25" s="221">
        <f t="shared" ca="1" si="43"/>
        <v>315.53451200000001</v>
      </c>
      <c r="GG25" s="163">
        <f t="shared" ca="1" si="97"/>
        <v>14915.316382240002</v>
      </c>
      <c r="GI25" s="221">
        <f t="shared" ca="1" si="44"/>
        <v>45.5</v>
      </c>
      <c r="GJ25" s="221">
        <f t="shared" ca="1" si="44"/>
        <v>315.31138700000002</v>
      </c>
      <c r="GK25" s="163">
        <f t="shared" ca="1" si="98"/>
        <v>14346.668108500002</v>
      </c>
      <c r="GM25" s="221">
        <f t="shared" ca="1" si="45"/>
        <v>42.39</v>
      </c>
      <c r="GN25" s="221">
        <f t="shared" ca="1" si="45"/>
        <v>315.29134599999998</v>
      </c>
      <c r="GO25" s="163">
        <f t="shared" ca="1" si="99"/>
        <v>13365.20015694</v>
      </c>
      <c r="GQ25" s="221">
        <f t="shared" ca="1" si="46"/>
        <v>41.25</v>
      </c>
      <c r="GR25" s="221">
        <f t="shared" ca="1" si="46"/>
        <v>315.15413000000001</v>
      </c>
      <c r="GS25" s="163">
        <f t="shared" ca="1" si="100"/>
        <v>13000.107862500001</v>
      </c>
      <c r="GU25" s="221">
        <f t="shared" ca="1" si="47"/>
        <v>42.02</v>
      </c>
      <c r="GV25" s="221">
        <f t="shared" ca="1" si="47"/>
        <v>315.12978199999998</v>
      </c>
      <c r="GW25" s="163">
        <f t="shared" ca="1" si="101"/>
        <v>13241.753439640001</v>
      </c>
      <c r="GY25" s="221">
        <f t="shared" ca="1" si="48"/>
        <v>43.46</v>
      </c>
      <c r="GZ25" s="221">
        <f t="shared" ca="1" si="48"/>
        <v>277.20981899999998</v>
      </c>
      <c r="HA25" s="163">
        <f t="shared" ca="1" si="102"/>
        <v>12047.538733739999</v>
      </c>
      <c r="HC25" s="221">
        <f t="shared" ca="1" si="49"/>
        <v>39.08</v>
      </c>
      <c r="HD25" s="221">
        <f t="shared" ca="1" si="49"/>
        <v>314.80644100000001</v>
      </c>
      <c r="HE25" s="163">
        <f t="shared" ca="1" si="103"/>
        <v>12302.635714279999</v>
      </c>
      <c r="HG25" s="221">
        <f t="shared" ca="1" si="50"/>
        <v>38.229999999999997</v>
      </c>
      <c r="HH25" s="221">
        <f t="shared" ca="1" si="50"/>
        <v>301.047753</v>
      </c>
      <c r="HI25" s="163">
        <f t="shared" ca="1" si="104"/>
        <v>11509.055597189999</v>
      </c>
      <c r="HK25" s="221">
        <f t="shared" ca="1" si="51"/>
        <v>38.81</v>
      </c>
      <c r="HL25" s="221">
        <f t="shared" ca="1" si="51"/>
        <v>178.05571599999999</v>
      </c>
      <c r="HM25" s="163">
        <f t="shared" ca="1" si="105"/>
        <v>6910.3423379599999</v>
      </c>
      <c r="HO25" s="148">
        <f t="shared" ca="1" si="52"/>
        <v>37.119999999999997</v>
      </c>
      <c r="HP25" s="148">
        <f t="shared" ca="1" si="52"/>
        <v>177.410167</v>
      </c>
      <c r="HQ25" s="163">
        <f t="shared" ca="1" si="106"/>
        <v>6585.4653990399993</v>
      </c>
      <c r="HS25" s="148">
        <f t="shared" ca="1" si="53"/>
        <v>36.07</v>
      </c>
      <c r="HT25" s="148">
        <f t="shared" ca="1" si="53"/>
        <v>177.497862</v>
      </c>
      <c r="HU25" s="163">
        <f t="shared" ca="1" si="107"/>
        <v>6402.3478823400001</v>
      </c>
      <c r="HX25" s="149">
        <f t="shared" ca="1" si="54"/>
        <v>48</v>
      </c>
    </row>
    <row r="26" spans="2:232" s="137" customFormat="1">
      <c r="B26" s="155">
        <f t="shared" ca="1" si="108"/>
        <v>17</v>
      </c>
      <c r="C26" s="146" t="str">
        <f t="shared" ca="1" si="0"/>
        <v>Exelon Corporation</v>
      </c>
      <c r="D26" s="138" t="str">
        <f t="shared" ca="1" si="0"/>
        <v>EXC</v>
      </c>
      <c r="E26" s="138">
        <f t="shared" ca="1" si="0"/>
        <v>4057056</v>
      </c>
      <c r="F26" s="147"/>
      <c r="G26" s="363">
        <f t="shared" ca="1" si="1"/>
        <v>37.64</v>
      </c>
      <c r="H26" s="363">
        <f t="shared" ca="1" si="1"/>
        <v>1003</v>
      </c>
      <c r="I26" s="364">
        <f t="shared" ca="1" si="55"/>
        <v>37752.92</v>
      </c>
      <c r="J26" s="147"/>
      <c r="K26" s="147"/>
      <c r="L26" s="363">
        <f t="shared" ca="1" si="2"/>
        <v>40.549999999999997</v>
      </c>
      <c r="M26" s="363">
        <f t="shared" ca="1" si="2"/>
        <v>1001</v>
      </c>
      <c r="N26" s="364">
        <f t="shared" ca="1" si="56"/>
        <v>40590.549999999996</v>
      </c>
      <c r="O26" s="147"/>
      <c r="P26" s="147"/>
      <c r="Q26" s="363">
        <f t="shared" ca="1" si="3"/>
        <v>34.61</v>
      </c>
      <c r="R26" s="363">
        <f t="shared" ca="1" si="3"/>
        <v>1000</v>
      </c>
      <c r="S26" s="364">
        <f t="shared" ca="1" si="57"/>
        <v>34610</v>
      </c>
      <c r="T26" s="147"/>
      <c r="U26" s="147"/>
      <c r="V26" s="363">
        <f t="shared" ca="1" si="4"/>
        <v>37.57</v>
      </c>
      <c r="W26" s="363">
        <f t="shared" ca="1" si="4"/>
        <v>996</v>
      </c>
      <c r="X26" s="364">
        <f t="shared" ca="1" si="58"/>
        <v>37419.72</v>
      </c>
      <c r="Y26" s="147"/>
      <c r="Z26" s="147"/>
      <c r="AA26" s="363">
        <f t="shared" ca="1" si="5"/>
        <v>35.9</v>
      </c>
      <c r="AB26" s="363">
        <f t="shared" ca="1" si="5"/>
        <v>996</v>
      </c>
      <c r="AC26" s="364">
        <f t="shared" ca="1" si="59"/>
        <v>35756.400000000001</v>
      </c>
      <c r="AD26" s="147"/>
      <c r="AE26" s="147"/>
      <c r="AF26" s="363">
        <f t="shared" ca="1" si="6"/>
        <v>37.79</v>
      </c>
      <c r="AG26" s="363">
        <f t="shared" ca="1" si="6"/>
        <v>995</v>
      </c>
      <c r="AH26" s="364">
        <f t="shared" ca="1" si="60"/>
        <v>37601.049999999996</v>
      </c>
      <c r="AI26" s="147"/>
      <c r="AJ26" s="147"/>
      <c r="AK26" s="363">
        <f t="shared" ca="1" si="7"/>
        <v>40.74</v>
      </c>
      <c r="AL26" s="363">
        <f t="shared" ca="1" si="7"/>
        <v>995</v>
      </c>
      <c r="AM26" s="364">
        <f t="shared" ca="1" si="61"/>
        <v>40536.300000000003</v>
      </c>
      <c r="AN26" s="147"/>
      <c r="AO26" s="147"/>
      <c r="AP26" s="363">
        <f t="shared" ca="1" si="8"/>
        <v>41.89</v>
      </c>
      <c r="AQ26" s="363">
        <f t="shared" ca="1" si="8"/>
        <v>986</v>
      </c>
      <c r="AR26" s="364">
        <f t="shared" ca="1" si="62"/>
        <v>41303.54</v>
      </c>
      <c r="AS26" s="147"/>
      <c r="AT26" s="147"/>
      <c r="AU26" s="363">
        <f t="shared" ca="1" si="9"/>
        <v>43.23</v>
      </c>
      <c r="AV26" s="363">
        <f t="shared" ca="1" si="9"/>
        <v>988</v>
      </c>
      <c r="AW26" s="364">
        <f t="shared" ca="1" si="63"/>
        <v>42711.24</v>
      </c>
      <c r="AX26" s="147"/>
      <c r="AY26" s="147"/>
      <c r="AZ26" s="363">
        <f t="shared" ca="1" si="10"/>
        <v>37.46</v>
      </c>
      <c r="BA26" s="363">
        <f t="shared" ca="1" si="10"/>
        <v>981</v>
      </c>
      <c r="BB26" s="364">
        <f t="shared" ca="1" si="64"/>
        <v>36748.26</v>
      </c>
      <c r="BC26" s="147"/>
      <c r="BD26" s="147"/>
      <c r="BE26" s="363">
        <f t="shared" ca="1" si="11"/>
        <v>45.32</v>
      </c>
      <c r="BF26" s="363">
        <f t="shared" ca="1" si="11"/>
        <v>981</v>
      </c>
      <c r="BG26" s="364">
        <f t="shared" ca="1" si="65"/>
        <v>44458.92</v>
      </c>
      <c r="BH26" s="147"/>
      <c r="BI26" s="147"/>
      <c r="BJ26" s="363">
        <f t="shared" ca="1" si="12"/>
        <v>47.63</v>
      </c>
      <c r="BK26" s="363">
        <f t="shared" ca="1" si="12"/>
        <v>979</v>
      </c>
      <c r="BL26" s="364">
        <f t="shared" ca="1" si="66"/>
        <v>46629.770000000004</v>
      </c>
      <c r="BM26" s="147"/>
      <c r="BN26" s="147"/>
      <c r="BO26" s="363">
        <f t="shared" ca="1" si="13"/>
        <v>57.76</v>
      </c>
      <c r="BP26" s="363">
        <f t="shared" ca="1" si="13"/>
        <v>979</v>
      </c>
      <c r="BQ26" s="364">
        <f t="shared" ca="1" si="67"/>
        <v>56547.040000000001</v>
      </c>
      <c r="BR26" s="162"/>
      <c r="BS26" s="363">
        <f t="shared" ca="1" si="14"/>
        <v>48.34</v>
      </c>
      <c r="BT26" s="363">
        <f t="shared" ca="1" si="14"/>
        <v>978</v>
      </c>
      <c r="BU26" s="364">
        <f t="shared" ca="1" si="68"/>
        <v>47276.520000000004</v>
      </c>
      <c r="BV26" s="162"/>
      <c r="BW26" s="363">
        <f t="shared" ca="1" si="15"/>
        <v>44.31</v>
      </c>
      <c r="BX26" s="363">
        <f t="shared" ca="1" si="15"/>
        <v>977</v>
      </c>
      <c r="BY26" s="364">
        <f t="shared" ca="1" si="69"/>
        <v>43290.87</v>
      </c>
      <c r="BZ26" s="162"/>
      <c r="CA26" s="363">
        <f t="shared" ca="1" si="16"/>
        <v>43.74</v>
      </c>
      <c r="CB26" s="363">
        <f t="shared" ca="1" si="16"/>
        <v>976</v>
      </c>
      <c r="CC26" s="364">
        <f t="shared" ca="1" si="70"/>
        <v>42690.240000000005</v>
      </c>
      <c r="CD26" s="162"/>
      <c r="CE26" s="363">
        <f t="shared" ca="1" si="17"/>
        <v>42.22</v>
      </c>
      <c r="CF26" s="363">
        <f t="shared" ca="1" si="17"/>
        <v>976</v>
      </c>
      <c r="CG26" s="364">
        <f t="shared" ca="1" si="71"/>
        <v>41206.720000000001</v>
      </c>
      <c r="CH26" s="162"/>
      <c r="CI26" s="363">
        <f t="shared" ca="1" si="18"/>
        <v>35.76</v>
      </c>
      <c r="CJ26" s="363">
        <f t="shared" ca="1" si="18"/>
        <v>976</v>
      </c>
      <c r="CK26" s="364">
        <f t="shared" ca="1" si="72"/>
        <v>34901.759999999995</v>
      </c>
      <c r="CL26" s="162"/>
      <c r="CM26" s="363">
        <f t="shared" ca="1" si="19"/>
        <v>36.29</v>
      </c>
      <c r="CN26" s="363">
        <f t="shared" ca="1" si="19"/>
        <v>975</v>
      </c>
      <c r="CO26" s="364">
        <f t="shared" ca="1" si="73"/>
        <v>35382.75</v>
      </c>
      <c r="CP26" s="162"/>
      <c r="CQ26" s="221">
        <f t="shared" ca="1" si="20"/>
        <v>36.81</v>
      </c>
      <c r="CR26" s="221">
        <f t="shared" ca="1" si="20"/>
        <v>973</v>
      </c>
      <c r="CS26" s="163">
        <f t="shared" ca="1" si="74"/>
        <v>35816.130000000005</v>
      </c>
      <c r="CT26" s="162"/>
      <c r="CU26" s="221">
        <f t="shared" ca="1" si="21"/>
        <v>45.59</v>
      </c>
      <c r="CV26" s="221">
        <f t="shared" ca="1" si="21"/>
        <v>973</v>
      </c>
      <c r="CW26" s="163">
        <f t="shared" ca="1" si="75"/>
        <v>44359.07</v>
      </c>
      <c r="CX26" s="162"/>
      <c r="CY26" s="221">
        <f t="shared" ca="1" si="22"/>
        <v>48.31</v>
      </c>
      <c r="CZ26" s="221">
        <f t="shared" ca="1" si="22"/>
        <v>972</v>
      </c>
      <c r="DA26" s="163">
        <f t="shared" ca="1" si="76"/>
        <v>46957.32</v>
      </c>
      <c r="DB26" s="162"/>
      <c r="DC26" s="221">
        <f t="shared" ca="1" si="23"/>
        <v>47.94</v>
      </c>
      <c r="DD26" s="221">
        <f t="shared" ca="1" si="23"/>
        <v>971</v>
      </c>
      <c r="DE26" s="163">
        <f t="shared" ca="1" si="77"/>
        <v>46549.74</v>
      </c>
      <c r="DF26" s="162"/>
      <c r="DG26" s="221">
        <f t="shared" ca="1" si="24"/>
        <v>50.13</v>
      </c>
      <c r="DH26" s="221">
        <f t="shared" ca="1" si="24"/>
        <v>967</v>
      </c>
      <c r="DI26" s="163">
        <f t="shared" ca="1" si="78"/>
        <v>48475.71</v>
      </c>
      <c r="DJ26" s="162"/>
      <c r="DK26" s="221">
        <f t="shared" ca="1" si="25"/>
        <v>45.1</v>
      </c>
      <c r="DL26" s="221">
        <f t="shared" ca="1" si="25"/>
        <v>968</v>
      </c>
      <c r="DM26" s="163">
        <f t="shared" ca="1" si="79"/>
        <v>43656.800000000003</v>
      </c>
      <c r="DN26" s="162"/>
      <c r="DO26" s="221">
        <f t="shared" ca="1" si="26"/>
        <v>43.66</v>
      </c>
      <c r="DP26" s="221">
        <f t="shared" ca="1" si="26"/>
        <v>967</v>
      </c>
      <c r="DQ26" s="163">
        <f t="shared" ca="1" si="80"/>
        <v>42219.219999999994</v>
      </c>
      <c r="DR26" s="162"/>
      <c r="DS26" s="221">
        <f t="shared" ca="1" si="27"/>
        <v>42.6</v>
      </c>
      <c r="DT26" s="221">
        <f t="shared" ca="1" si="27"/>
        <v>966</v>
      </c>
      <c r="DU26" s="163">
        <f t="shared" ca="1" si="81"/>
        <v>41151.599999999999</v>
      </c>
      <c r="DV26" s="162"/>
      <c r="DW26" s="221">
        <f t="shared" ca="1" si="28"/>
        <v>39.01</v>
      </c>
      <c r="DX26" s="221">
        <f t="shared" ca="1" si="28"/>
        <v>964</v>
      </c>
      <c r="DY26" s="163">
        <f t="shared" ca="1" si="82"/>
        <v>37605.64</v>
      </c>
      <c r="DZ26" s="162"/>
      <c r="EA26" s="221">
        <f t="shared" ca="1" si="29"/>
        <v>39.409999999999997</v>
      </c>
      <c r="EB26" s="221">
        <f t="shared" ca="1" si="29"/>
        <v>962</v>
      </c>
      <c r="EC26" s="163">
        <f t="shared" ca="1" si="83"/>
        <v>37912.42</v>
      </c>
      <c r="ED26" s="162"/>
      <c r="EE26" s="221">
        <f t="shared" ca="1" si="30"/>
        <v>37.67</v>
      </c>
      <c r="EF26" s="221">
        <f t="shared" ca="1" si="30"/>
        <v>934</v>
      </c>
      <c r="EG26" s="163">
        <f t="shared" ca="1" si="84"/>
        <v>35183.78</v>
      </c>
      <c r="EH26" s="162"/>
      <c r="EI26" s="221">
        <f t="shared" ca="1" si="31"/>
        <v>36.07</v>
      </c>
      <c r="EJ26" s="221">
        <f t="shared" ca="1" si="31"/>
        <v>928</v>
      </c>
      <c r="EK26" s="163">
        <f t="shared" ca="1" si="85"/>
        <v>33472.959999999999</v>
      </c>
      <c r="EL26" s="162"/>
      <c r="EM26" s="221">
        <f t="shared" ca="1" si="32"/>
        <v>35.979999999999997</v>
      </c>
      <c r="EN26" s="221">
        <f t="shared" ca="1" si="32"/>
        <v>924</v>
      </c>
      <c r="EO26" s="163">
        <f t="shared" ca="1" si="86"/>
        <v>33245.519999999997</v>
      </c>
      <c r="EP26" s="162"/>
      <c r="EQ26" s="221">
        <f t="shared" ca="1" si="33"/>
        <v>35.49</v>
      </c>
      <c r="ER26" s="221">
        <f t="shared" ca="1" si="33"/>
        <v>925</v>
      </c>
      <c r="ES26" s="163">
        <f t="shared" ca="1" si="87"/>
        <v>32828.25</v>
      </c>
      <c r="ET26" s="162"/>
      <c r="EU26" s="221">
        <f t="shared" ca="1" si="34"/>
        <v>33.29</v>
      </c>
      <c r="EV26" s="221">
        <f t="shared" ca="1" si="34"/>
        <v>924</v>
      </c>
      <c r="EW26" s="163">
        <f t="shared" ca="1" si="88"/>
        <v>30759.96</v>
      </c>
      <c r="EX26" s="162"/>
      <c r="EY26" s="221">
        <f t="shared" ca="1" si="35"/>
        <v>36.36</v>
      </c>
      <c r="EZ26" s="221">
        <f t="shared" ca="1" si="35"/>
        <v>923</v>
      </c>
      <c r="FA26" s="163">
        <f t="shared" ca="1" si="89"/>
        <v>33560.28</v>
      </c>
      <c r="FB26" s="162"/>
      <c r="FC26" s="221">
        <f t="shared" ca="1" si="36"/>
        <v>35.86</v>
      </c>
      <c r="FD26" s="221">
        <f t="shared" ca="1" si="36"/>
        <v>890</v>
      </c>
      <c r="FE26" s="163">
        <f t="shared" ca="1" si="90"/>
        <v>31915.399999999998</v>
      </c>
      <c r="FF26" s="162"/>
      <c r="FG26" s="221">
        <f t="shared" ca="1" si="37"/>
        <v>27.77</v>
      </c>
      <c r="FH26" s="221">
        <f t="shared" ca="1" si="37"/>
        <v>913</v>
      </c>
      <c r="FI26" s="163">
        <f t="shared" ca="1" si="91"/>
        <v>25354.01</v>
      </c>
      <c r="FJ26" s="162"/>
      <c r="FK26" s="221">
        <f t="shared" ca="1" si="38"/>
        <v>29.7</v>
      </c>
      <c r="FL26" s="221">
        <f t="shared" ca="1" si="38"/>
        <v>863</v>
      </c>
      <c r="FM26" s="163">
        <f t="shared" ca="1" si="92"/>
        <v>25631.1</v>
      </c>
      <c r="FN26" s="162"/>
      <c r="FO26" s="221">
        <f t="shared" ca="1" si="39"/>
        <v>31.42</v>
      </c>
      <c r="FP26" s="221">
        <f t="shared" ca="1" si="39"/>
        <v>862</v>
      </c>
      <c r="FQ26" s="163">
        <f t="shared" ca="1" si="93"/>
        <v>27084.04</v>
      </c>
      <c r="FR26" s="162"/>
      <c r="FS26" s="221">
        <f t="shared" ca="1" si="40"/>
        <v>33.61</v>
      </c>
      <c r="FT26" s="221">
        <f t="shared" ca="1" si="40"/>
        <v>861</v>
      </c>
      <c r="FU26" s="163">
        <f t="shared" ca="1" si="94"/>
        <v>28938.21</v>
      </c>
      <c r="FW26" s="221">
        <f t="shared" ca="1" si="41"/>
        <v>37.08</v>
      </c>
      <c r="FX26" s="221">
        <f t="shared" ca="1" si="41"/>
        <v>861</v>
      </c>
      <c r="FY26" s="163">
        <f t="shared" ca="1" si="95"/>
        <v>31925.879999999997</v>
      </c>
      <c r="GA26" s="221">
        <f t="shared" ca="1" si="42"/>
        <v>34.090000000000003</v>
      </c>
      <c r="GB26" s="221">
        <f t="shared" ca="1" si="42"/>
        <v>860</v>
      </c>
      <c r="GC26" s="163">
        <f t="shared" ca="1" si="96"/>
        <v>29317.4</v>
      </c>
      <c r="GE26" s="221">
        <f t="shared" ca="1" si="43"/>
        <v>36.479999999999997</v>
      </c>
      <c r="GF26" s="221">
        <f t="shared" ca="1" si="43"/>
        <v>858</v>
      </c>
      <c r="GG26" s="163">
        <f t="shared" ca="1" si="97"/>
        <v>31299.839999999997</v>
      </c>
      <c r="GI26" s="221">
        <f t="shared" ca="1" si="44"/>
        <v>33.56</v>
      </c>
      <c r="GJ26" s="221">
        <f t="shared" ca="1" si="44"/>
        <v>856</v>
      </c>
      <c r="GK26" s="163">
        <f t="shared" ca="1" si="98"/>
        <v>28727.360000000001</v>
      </c>
      <c r="GM26" s="221">
        <f t="shared" ca="1" si="45"/>
        <v>27.39</v>
      </c>
      <c r="GN26" s="221">
        <f t="shared" ca="1" si="45"/>
        <v>857</v>
      </c>
      <c r="GO26" s="163">
        <f t="shared" ca="1" si="99"/>
        <v>23473.23</v>
      </c>
      <c r="GQ26" s="221">
        <f t="shared" ca="1" si="46"/>
        <v>29.64</v>
      </c>
      <c r="GR26" s="221">
        <f t="shared" ca="1" si="46"/>
        <v>856</v>
      </c>
      <c r="GS26" s="163">
        <f t="shared" ca="1" si="100"/>
        <v>25371.84</v>
      </c>
      <c r="GU26" s="221">
        <f t="shared" ca="1" si="47"/>
        <v>30.88</v>
      </c>
      <c r="GV26" s="221">
        <f t="shared" ca="1" si="47"/>
        <v>855</v>
      </c>
      <c r="GW26" s="163">
        <f t="shared" ca="1" si="101"/>
        <v>26402.399999999998</v>
      </c>
      <c r="GY26" s="221">
        <f t="shared" ca="1" si="48"/>
        <v>34.479999999999997</v>
      </c>
      <c r="GZ26" s="221">
        <f t="shared" ca="1" si="48"/>
        <v>816</v>
      </c>
      <c r="HA26" s="163">
        <f t="shared" ca="1" si="102"/>
        <v>28135.679999999997</v>
      </c>
      <c r="HC26" s="221">
        <f t="shared" ca="1" si="49"/>
        <v>29.74</v>
      </c>
      <c r="HD26" s="221">
        <f t="shared" ca="1" si="49"/>
        <v>854</v>
      </c>
      <c r="HE26" s="163">
        <f t="shared" ca="1" si="103"/>
        <v>25397.96</v>
      </c>
      <c r="HG26" s="221">
        <f t="shared" ca="1" si="50"/>
        <v>35.58</v>
      </c>
      <c r="HH26" s="221">
        <f t="shared" ca="1" si="50"/>
        <v>853</v>
      </c>
      <c r="HI26" s="163">
        <f t="shared" ca="1" si="104"/>
        <v>30349.739999999998</v>
      </c>
      <c r="HK26" s="221">
        <f t="shared" ca="1" si="51"/>
        <v>37.625</v>
      </c>
      <c r="HL26" s="221">
        <f t="shared" ca="1" si="51"/>
        <v>705</v>
      </c>
      <c r="HM26" s="163">
        <f t="shared" ca="1" si="105"/>
        <v>26525.625</v>
      </c>
      <c r="HO26" s="148">
        <f t="shared" ca="1" si="52"/>
        <v>39.21</v>
      </c>
      <c r="HP26" s="148">
        <f t="shared" ca="1" si="52"/>
        <v>663</v>
      </c>
      <c r="HQ26" s="163">
        <f t="shared" ca="1" si="106"/>
        <v>25996.23</v>
      </c>
      <c r="HS26" s="148">
        <f t="shared" ca="1" si="53"/>
        <v>43.37</v>
      </c>
      <c r="HT26" s="148">
        <f t="shared" ca="1" si="53"/>
        <v>663</v>
      </c>
      <c r="HU26" s="163">
        <f t="shared" ca="1" si="107"/>
        <v>28754.309999999998</v>
      </c>
      <c r="HX26" s="149">
        <f t="shared" ca="1" si="54"/>
        <v>97</v>
      </c>
    </row>
    <row r="27" spans="2:232" s="137" customFormat="1">
      <c r="B27" s="155">
        <f t="shared" ca="1" si="108"/>
        <v>18</v>
      </c>
      <c r="C27" s="146" t="str">
        <f t="shared" ref="C27:E45" ca="1" si="109">OFFSET( INDIRECT( C$6 &amp; C$7 ), $B27 - 1, 0 )</f>
        <v>FirstEnergy Corp.</v>
      </c>
      <c r="D27" s="138" t="str">
        <f t="shared" ca="1" si="109"/>
        <v>FE</v>
      </c>
      <c r="E27" s="138">
        <f t="shared" ca="1" si="109"/>
        <v>4056944</v>
      </c>
      <c r="F27" s="147"/>
      <c r="G27" s="363">
        <f t="shared" ca="1" si="1"/>
        <v>39.78</v>
      </c>
      <c r="H27" s="363">
        <f t="shared" ca="1" si="1"/>
        <v>576</v>
      </c>
      <c r="I27" s="364">
        <f t="shared" ca="1" si="55"/>
        <v>22913.279999999999</v>
      </c>
      <c r="J27" s="147"/>
      <c r="K27" s="147"/>
      <c r="L27" s="363">
        <f t="shared" ca="1" si="2"/>
        <v>44.35</v>
      </c>
      <c r="M27" s="363">
        <f t="shared" ca="1" si="2"/>
        <v>575</v>
      </c>
      <c r="N27" s="364">
        <f t="shared" ca="1" si="56"/>
        <v>25501.25</v>
      </c>
      <c r="O27" s="147"/>
      <c r="P27" s="147"/>
      <c r="Q27" s="363">
        <f t="shared" ca="1" si="3"/>
        <v>38.270000000000003</v>
      </c>
      <c r="R27" s="363">
        <f t="shared" ca="1" si="3"/>
        <v>574</v>
      </c>
      <c r="S27" s="364">
        <f t="shared" ca="1" si="57"/>
        <v>21966.980000000003</v>
      </c>
      <c r="T27" s="147"/>
      <c r="U27" s="147"/>
      <c r="V27" s="363">
        <f t="shared" ca="1" si="4"/>
        <v>38.619999999999997</v>
      </c>
      <c r="W27" s="363">
        <f t="shared" ca="1" si="4"/>
        <v>574</v>
      </c>
      <c r="X27" s="364">
        <f t="shared" ca="1" si="58"/>
        <v>22167.879999999997</v>
      </c>
      <c r="Y27" s="147"/>
      <c r="Z27" s="147"/>
      <c r="AA27" s="363">
        <f t="shared" ca="1" si="5"/>
        <v>36.659999999999997</v>
      </c>
      <c r="AB27" s="363">
        <f t="shared" ca="1" si="5"/>
        <v>573</v>
      </c>
      <c r="AC27" s="364">
        <f t="shared" ca="1" si="59"/>
        <v>21006.179999999997</v>
      </c>
      <c r="AD27" s="147"/>
      <c r="AE27" s="147"/>
      <c r="AF27" s="363">
        <f t="shared" ca="1" si="6"/>
        <v>34.18</v>
      </c>
      <c r="AG27" s="363">
        <f t="shared" ca="1" si="6"/>
        <v>573</v>
      </c>
      <c r="AH27" s="364">
        <f t="shared" ca="1" si="60"/>
        <v>19585.14</v>
      </c>
      <c r="AI27" s="147"/>
      <c r="AJ27" s="147"/>
      <c r="AK27" s="363">
        <f t="shared" ca="1" si="7"/>
        <v>38.880000000000003</v>
      </c>
      <c r="AL27" s="363">
        <f t="shared" ca="1" si="7"/>
        <v>572</v>
      </c>
      <c r="AM27" s="364">
        <f t="shared" ca="1" si="61"/>
        <v>22239.360000000001</v>
      </c>
      <c r="AN27" s="147"/>
      <c r="AO27" s="147"/>
      <c r="AP27" s="363">
        <f t="shared" ca="1" si="8"/>
        <v>40.06</v>
      </c>
      <c r="AQ27" s="363">
        <f t="shared" ca="1" si="8"/>
        <v>571</v>
      </c>
      <c r="AR27" s="364">
        <f t="shared" ca="1" si="62"/>
        <v>22874.260000000002</v>
      </c>
      <c r="AS27" s="147"/>
      <c r="AT27" s="147"/>
      <c r="AU27" s="363">
        <f t="shared" ca="1" si="9"/>
        <v>41.94</v>
      </c>
      <c r="AV27" s="363">
        <f t="shared" ca="1" si="9"/>
        <v>571</v>
      </c>
      <c r="AW27" s="364">
        <f t="shared" ca="1" si="63"/>
        <v>23947.739999999998</v>
      </c>
      <c r="AX27" s="147"/>
      <c r="AY27" s="147"/>
      <c r="AZ27" s="363">
        <f t="shared" ca="1" si="10"/>
        <v>37</v>
      </c>
      <c r="BA27" s="363">
        <f t="shared" ca="1" si="10"/>
        <v>571</v>
      </c>
      <c r="BB27" s="364">
        <f t="shared" ca="1" si="64"/>
        <v>21127</v>
      </c>
      <c r="BC27" s="147"/>
      <c r="BD27" s="147"/>
      <c r="BE27" s="363">
        <f t="shared" ca="1" si="11"/>
        <v>38.39</v>
      </c>
      <c r="BF27" s="363">
        <f t="shared" ca="1" si="11"/>
        <v>570</v>
      </c>
      <c r="BG27" s="364">
        <f t="shared" ca="1" si="65"/>
        <v>21882.3</v>
      </c>
      <c r="BH27" s="147"/>
      <c r="BI27" s="147"/>
      <c r="BJ27" s="363">
        <f t="shared" ca="1" si="12"/>
        <v>45.86</v>
      </c>
      <c r="BK27" s="363">
        <f t="shared" ca="1" si="12"/>
        <v>545</v>
      </c>
      <c r="BL27" s="364">
        <f t="shared" ca="1" si="66"/>
        <v>24993.7</v>
      </c>
      <c r="BM27" s="147"/>
      <c r="BN27" s="147"/>
      <c r="BO27" s="363">
        <f t="shared" ca="1" si="13"/>
        <v>41.59</v>
      </c>
      <c r="BP27" s="363">
        <f t="shared" ca="1" si="13"/>
        <v>544</v>
      </c>
      <c r="BQ27" s="364">
        <f t="shared" ca="1" si="67"/>
        <v>22624.960000000003</v>
      </c>
      <c r="BR27" s="162"/>
      <c r="BS27" s="363">
        <f t="shared" ca="1" si="14"/>
        <v>35.619999999999997</v>
      </c>
      <c r="BT27" s="363">
        <f t="shared" ca="1" si="14"/>
        <v>544</v>
      </c>
      <c r="BU27" s="364">
        <f t="shared" ca="1" si="68"/>
        <v>19377.28</v>
      </c>
      <c r="BV27" s="162"/>
      <c r="BW27" s="363">
        <f t="shared" ca="1" si="15"/>
        <v>37.21</v>
      </c>
      <c r="BX27" s="363">
        <f t="shared" ca="1" si="15"/>
        <v>543</v>
      </c>
      <c r="BY27" s="364">
        <f t="shared" ca="1" si="69"/>
        <v>20205.03</v>
      </c>
      <c r="BZ27" s="162"/>
      <c r="CA27" s="363">
        <f t="shared" ca="1" si="16"/>
        <v>34.69</v>
      </c>
      <c r="CB27" s="363">
        <f t="shared" ca="1" si="16"/>
        <v>542</v>
      </c>
      <c r="CC27" s="364">
        <f t="shared" ca="1" si="70"/>
        <v>18801.98</v>
      </c>
      <c r="CD27" s="162"/>
      <c r="CE27" s="363">
        <f t="shared" ca="1" si="17"/>
        <v>30.61</v>
      </c>
      <c r="CF27" s="363">
        <f t="shared" ca="1" si="17"/>
        <v>542</v>
      </c>
      <c r="CG27" s="364">
        <f t="shared" ca="1" si="71"/>
        <v>16590.62</v>
      </c>
      <c r="CH27" s="162"/>
      <c r="CI27" s="363">
        <f t="shared" ca="1" si="18"/>
        <v>28.71</v>
      </c>
      <c r="CJ27" s="363">
        <f t="shared" ca="1" si="18"/>
        <v>542</v>
      </c>
      <c r="CK27" s="364">
        <f t="shared" ca="1" si="72"/>
        <v>15560.82</v>
      </c>
      <c r="CL27" s="162"/>
      <c r="CM27" s="363">
        <f t="shared" ca="1" si="19"/>
        <v>38.78</v>
      </c>
      <c r="CN27" s="363">
        <f t="shared" ca="1" si="19"/>
        <v>541</v>
      </c>
      <c r="CO27" s="364">
        <f t="shared" ca="1" si="73"/>
        <v>20979.98</v>
      </c>
      <c r="CP27" s="162"/>
      <c r="CQ27" s="221">
        <f t="shared" ca="1" si="20"/>
        <v>40.07</v>
      </c>
      <c r="CR27" s="221">
        <f t="shared" ca="1" si="20"/>
        <v>535</v>
      </c>
      <c r="CS27" s="163">
        <f t="shared" ca="1" si="74"/>
        <v>21437.45</v>
      </c>
      <c r="CT27" s="162"/>
      <c r="CU27" s="221">
        <f t="shared" ca="1" si="21"/>
        <v>48.6</v>
      </c>
      <c r="CV27" s="221">
        <f t="shared" ca="1" si="21"/>
        <v>538</v>
      </c>
      <c r="CW27" s="163">
        <f t="shared" ca="1" si="75"/>
        <v>26146.799999999999</v>
      </c>
      <c r="CX27" s="162"/>
      <c r="CY27" s="221">
        <f t="shared" ca="1" si="22"/>
        <v>48.23</v>
      </c>
      <c r="CZ27" s="221">
        <f t="shared" ca="1" si="22"/>
        <v>532</v>
      </c>
      <c r="DA27" s="163">
        <f t="shared" ca="1" si="76"/>
        <v>25658.359999999997</v>
      </c>
      <c r="DB27" s="162"/>
      <c r="DC27" s="221">
        <f t="shared" ca="1" si="23"/>
        <v>42.81</v>
      </c>
      <c r="DD27" s="221">
        <f t="shared" ca="1" si="23"/>
        <v>530</v>
      </c>
      <c r="DE27" s="163">
        <f t="shared" ca="1" si="77"/>
        <v>22689.300000000003</v>
      </c>
      <c r="DF27" s="162"/>
      <c r="DG27" s="221">
        <f t="shared" ca="1" si="24"/>
        <v>41.61</v>
      </c>
      <c r="DH27" s="221">
        <f t="shared" ca="1" si="24"/>
        <v>492</v>
      </c>
      <c r="DI27" s="163">
        <f t="shared" ca="1" si="78"/>
        <v>20472.12</v>
      </c>
      <c r="DJ27" s="162"/>
      <c r="DK27" s="221">
        <f t="shared" ca="1" si="25"/>
        <v>37.549999999999997</v>
      </c>
      <c r="DL27" s="221">
        <f t="shared" ca="1" si="25"/>
        <v>503</v>
      </c>
      <c r="DM27" s="163">
        <f t="shared" ca="1" si="79"/>
        <v>18887.649999999998</v>
      </c>
      <c r="DN27" s="162"/>
      <c r="DO27" s="221">
        <f t="shared" ca="1" si="26"/>
        <v>37.17</v>
      </c>
      <c r="DP27" s="221">
        <f t="shared" ca="1" si="26"/>
        <v>477</v>
      </c>
      <c r="DQ27" s="163">
        <f t="shared" ca="1" si="80"/>
        <v>17730.09</v>
      </c>
      <c r="DR27" s="162"/>
      <c r="DS27" s="221">
        <f t="shared" ca="1" si="27"/>
        <v>35.909999999999997</v>
      </c>
      <c r="DT27" s="221">
        <f t="shared" ca="1" si="27"/>
        <v>476</v>
      </c>
      <c r="DU27" s="163">
        <f t="shared" ca="1" si="81"/>
        <v>17093.16</v>
      </c>
      <c r="DV27" s="162"/>
      <c r="DW27" s="221">
        <f t="shared" ca="1" si="28"/>
        <v>34.01</v>
      </c>
      <c r="DX27" s="221">
        <f t="shared" ca="1" si="28"/>
        <v>445</v>
      </c>
      <c r="DY27" s="163">
        <f t="shared" ca="1" si="82"/>
        <v>15134.449999999999</v>
      </c>
      <c r="DZ27" s="162"/>
      <c r="EA27" s="221">
        <f t="shared" ca="1" si="29"/>
        <v>30.62</v>
      </c>
      <c r="EB27" s="221">
        <f t="shared" ca="1" si="29"/>
        <v>444</v>
      </c>
      <c r="EC27" s="163">
        <f t="shared" ca="1" si="83"/>
        <v>13595.28</v>
      </c>
      <c r="ED27" s="162"/>
      <c r="EE27" s="221">
        <f t="shared" ca="1" si="30"/>
        <v>30.83</v>
      </c>
      <c r="EF27" s="221">
        <f t="shared" ca="1" si="30"/>
        <v>444</v>
      </c>
      <c r="EG27" s="163">
        <f t="shared" ca="1" si="84"/>
        <v>13688.519999999999</v>
      </c>
      <c r="EH27" s="162"/>
      <c r="EI27" s="221">
        <f t="shared" ca="1" si="31"/>
        <v>29.16</v>
      </c>
      <c r="EJ27" s="221">
        <f t="shared" ca="1" si="31"/>
        <v>443</v>
      </c>
      <c r="EK27" s="163">
        <f t="shared" ca="1" si="85"/>
        <v>12917.88</v>
      </c>
      <c r="EL27" s="162"/>
      <c r="EM27" s="221">
        <f t="shared" ca="1" si="32"/>
        <v>31.82</v>
      </c>
      <c r="EN27" s="221">
        <f t="shared" ca="1" si="32"/>
        <v>426</v>
      </c>
      <c r="EO27" s="163">
        <f t="shared" ca="1" si="86"/>
        <v>13555.32</v>
      </c>
      <c r="EP27" s="162"/>
      <c r="EQ27" s="221">
        <f t="shared" ca="1" si="33"/>
        <v>30.97</v>
      </c>
      <c r="ER27" s="221">
        <f t="shared" ca="1" si="33"/>
        <v>425</v>
      </c>
      <c r="ES27" s="163">
        <f t="shared" ca="1" si="87"/>
        <v>13162.25</v>
      </c>
      <c r="ET27" s="162"/>
      <c r="EU27" s="221">
        <f t="shared" ca="1" si="34"/>
        <v>33.08</v>
      </c>
      <c r="EV27" s="221">
        <f t="shared" ca="1" si="34"/>
        <v>425</v>
      </c>
      <c r="EW27" s="163">
        <f t="shared" ca="1" si="88"/>
        <v>14059</v>
      </c>
      <c r="EX27" s="162"/>
      <c r="EY27" s="221">
        <f t="shared" ca="1" si="35"/>
        <v>34.909999999999997</v>
      </c>
      <c r="EZ27" s="221">
        <f t="shared" ca="1" si="35"/>
        <v>424</v>
      </c>
      <c r="FA27" s="163">
        <f t="shared" ca="1" si="89"/>
        <v>14801.839999999998</v>
      </c>
      <c r="FB27" s="162"/>
      <c r="FC27" s="221">
        <f t="shared" ca="1" si="36"/>
        <v>35.97</v>
      </c>
      <c r="FD27" s="221">
        <f t="shared" ca="1" si="36"/>
        <v>422</v>
      </c>
      <c r="FE27" s="163">
        <f t="shared" ca="1" si="90"/>
        <v>15179.34</v>
      </c>
      <c r="FF27" s="162"/>
      <c r="FG27" s="221">
        <f t="shared" ca="1" si="37"/>
        <v>31.73</v>
      </c>
      <c r="FH27" s="221">
        <f t="shared" ca="1" si="37"/>
        <v>423</v>
      </c>
      <c r="FI27" s="163">
        <f t="shared" ca="1" si="91"/>
        <v>13421.79</v>
      </c>
      <c r="FJ27" s="162"/>
      <c r="FK27" s="221">
        <f t="shared" ca="1" si="38"/>
        <v>31.31</v>
      </c>
      <c r="FL27" s="221">
        <f t="shared" ca="1" si="38"/>
        <v>422</v>
      </c>
      <c r="FM27" s="163">
        <f t="shared" ca="1" si="92"/>
        <v>13212.82</v>
      </c>
      <c r="FN27" s="162"/>
      <c r="FO27" s="221">
        <f t="shared" ca="1" si="39"/>
        <v>32.549999999999997</v>
      </c>
      <c r="FP27" s="221">
        <f t="shared" ca="1" si="39"/>
        <v>421</v>
      </c>
      <c r="FQ27" s="163">
        <f t="shared" ca="1" si="93"/>
        <v>13703.55</v>
      </c>
      <c r="FR27" s="162"/>
      <c r="FS27" s="221">
        <f t="shared" ca="1" si="40"/>
        <v>35.06</v>
      </c>
      <c r="FT27" s="221">
        <f t="shared" ca="1" si="40"/>
        <v>421</v>
      </c>
      <c r="FU27" s="163">
        <f t="shared" ca="1" si="94"/>
        <v>14760.26</v>
      </c>
      <c r="FW27" s="221">
        <f t="shared" ca="1" si="41"/>
        <v>38.99</v>
      </c>
      <c r="FX27" s="221">
        <f t="shared" ca="1" si="41"/>
        <v>420</v>
      </c>
      <c r="FY27" s="163">
        <f t="shared" ca="1" si="95"/>
        <v>16375.800000000001</v>
      </c>
      <c r="GA27" s="221">
        <f t="shared" ca="1" si="42"/>
        <v>33.57</v>
      </c>
      <c r="GB27" s="221">
        <f t="shared" ca="1" si="42"/>
        <v>420</v>
      </c>
      <c r="GC27" s="163">
        <f t="shared" ca="1" si="96"/>
        <v>14099.4</v>
      </c>
      <c r="GE27" s="221">
        <f t="shared" ca="1" si="43"/>
        <v>34.72</v>
      </c>
      <c r="GF27" s="221">
        <f t="shared" ca="1" si="43"/>
        <v>419</v>
      </c>
      <c r="GG27" s="163">
        <f t="shared" ca="1" si="97"/>
        <v>14547.68</v>
      </c>
      <c r="GI27" s="221">
        <f t="shared" ca="1" si="44"/>
        <v>34.03</v>
      </c>
      <c r="GJ27" s="221">
        <f t="shared" ca="1" si="44"/>
        <v>418</v>
      </c>
      <c r="GK27" s="163">
        <f t="shared" ca="1" si="98"/>
        <v>14224.54</v>
      </c>
      <c r="GM27" s="221">
        <f t="shared" ca="1" si="45"/>
        <v>32.979999999999997</v>
      </c>
      <c r="GN27" s="221">
        <f t="shared" ca="1" si="45"/>
        <v>418</v>
      </c>
      <c r="GO27" s="163">
        <f t="shared" ca="1" si="99"/>
        <v>13785.64</v>
      </c>
      <c r="GQ27" s="221">
        <f t="shared" ca="1" si="46"/>
        <v>36.450000000000003</v>
      </c>
      <c r="GR27" s="221">
        <f t="shared" ca="1" si="46"/>
        <v>418</v>
      </c>
      <c r="GS27" s="163">
        <f t="shared" ca="1" si="100"/>
        <v>15236.1</v>
      </c>
      <c r="GU27" s="221">
        <f t="shared" ref="GU27:GV45" ca="1" si="110">OFFSET( INDIRECT( GU$6 &amp; GU$9 ), $HX27 - 1, GU$8 - 1 )</f>
        <v>37.340000000000003</v>
      </c>
      <c r="GV27" s="221">
        <f t="shared" ca="1" si="110"/>
        <v>418</v>
      </c>
      <c r="GW27" s="163">
        <f t="shared" ca="1" si="101"/>
        <v>15608.12</v>
      </c>
      <c r="GY27" s="221">
        <f t="shared" ref="GY27:GZ45" ca="1" si="111">OFFSET( INDIRECT( GY$6 &amp; GY$9 ), $HX27 - 1, GY$8 - 1 )</f>
        <v>42.2</v>
      </c>
      <c r="GZ27" s="221">
        <f t="shared" ca="1" si="111"/>
        <v>418</v>
      </c>
      <c r="HA27" s="163">
        <f t="shared" ca="1" si="102"/>
        <v>17639.600000000002</v>
      </c>
      <c r="HC27" s="221">
        <f t="shared" ref="HC27:HD45" ca="1" si="112">OFFSET( INDIRECT( HC$6 &amp; HC$9 ), $HX27 - 1, HC$8 - 1 )</f>
        <v>41.76</v>
      </c>
      <c r="HD27" s="221">
        <f t="shared" ca="1" si="112"/>
        <v>417</v>
      </c>
      <c r="HE27" s="163">
        <f t="shared" ca="1" si="103"/>
        <v>17413.919999999998</v>
      </c>
      <c r="HG27" s="221">
        <f t="shared" ref="HG27:HH45" ca="1" si="113">OFFSET( INDIRECT( HG$6 &amp; HG$9 ), $HX27 - 1, HG$8 - 1 )</f>
        <v>44.1</v>
      </c>
      <c r="HH27" s="221">
        <f t="shared" ca="1" si="113"/>
        <v>417</v>
      </c>
      <c r="HI27" s="163">
        <f t="shared" ca="1" si="104"/>
        <v>18389.7</v>
      </c>
      <c r="HK27" s="221">
        <f t="shared" ref="HK27:HL45" ca="1" si="114">OFFSET( INDIRECT( HK$6 &amp; HK$9 ), $HX27 - 1, HK$8 - 1 )</f>
        <v>49.19</v>
      </c>
      <c r="HL27" s="221">
        <f t="shared" ca="1" si="114"/>
        <v>418</v>
      </c>
      <c r="HM27" s="163">
        <f t="shared" ca="1" si="105"/>
        <v>20561.419999999998</v>
      </c>
      <c r="HO27" s="148">
        <f t="shared" ref="HO27:HP45" ca="1" si="115">OFFSET( INDIRECT( HO$6 &amp; HO$9 ), $HX27 - 1, HO$8 - 1 )</f>
        <v>45.59</v>
      </c>
      <c r="HP27" s="148">
        <f t="shared" ca="1" si="115"/>
        <v>399</v>
      </c>
      <c r="HQ27" s="163">
        <f t="shared" ca="1" si="106"/>
        <v>18190.41</v>
      </c>
      <c r="HS27" s="148">
        <f t="shared" ref="HS27:HT45" ca="1" si="116">OFFSET( INDIRECT( HS$6 &amp; HS$9 ), $HX27 - 1, HS$8 - 1 )</f>
        <v>44.3</v>
      </c>
      <c r="HT27" s="148">
        <f t="shared" ca="1" si="116"/>
        <v>418</v>
      </c>
      <c r="HU27" s="163">
        <f t="shared" ca="1" si="107"/>
        <v>18517.399999999998</v>
      </c>
      <c r="HX27" s="149">
        <f t="shared" ca="1" si="54"/>
        <v>49</v>
      </c>
    </row>
    <row r="28" spans="2:232" s="137" customFormat="1">
      <c r="B28" s="155">
        <f t="shared" ca="1" si="108"/>
        <v>19</v>
      </c>
      <c r="C28" s="146" t="str">
        <f t="shared" ca="1" si="109"/>
        <v>Hawaiian Electric Industries, Inc.</v>
      </c>
      <c r="D28" s="138" t="str">
        <f t="shared" ca="1" si="109"/>
        <v>HE</v>
      </c>
      <c r="E28" s="138">
        <f t="shared" ca="1" si="109"/>
        <v>1031123</v>
      </c>
      <c r="F28" s="147"/>
      <c r="G28" s="363">
        <f t="shared" ca="1" si="1"/>
        <v>9.73</v>
      </c>
      <c r="H28" s="363">
        <f t="shared" ca="1" si="1"/>
        <v>114.358</v>
      </c>
      <c r="I28" s="364">
        <f t="shared" ca="1" si="55"/>
        <v>1112.70334</v>
      </c>
      <c r="J28" s="147"/>
      <c r="K28" s="147"/>
      <c r="L28" s="363">
        <f t="shared" ca="1" si="2"/>
        <v>9.68</v>
      </c>
      <c r="M28" s="363">
        <f t="shared" ca="1" si="2"/>
        <v>110.303</v>
      </c>
      <c r="N28" s="364">
        <f t="shared" ca="1" si="56"/>
        <v>1067.7330399999998</v>
      </c>
      <c r="O28" s="147"/>
      <c r="P28" s="147"/>
      <c r="Q28" s="363">
        <f t="shared" ca="1" si="3"/>
        <v>9.02</v>
      </c>
      <c r="R28" s="363">
        <f t="shared" ca="1" si="3"/>
        <v>110.218</v>
      </c>
      <c r="S28" s="364">
        <f t="shared" ca="1" si="57"/>
        <v>994.16635999999994</v>
      </c>
      <c r="T28" s="147"/>
      <c r="U28" s="147"/>
      <c r="V28" s="363">
        <f t="shared" ca="1" si="4"/>
        <v>11.27</v>
      </c>
      <c r="W28" s="363">
        <f t="shared" ca="1" si="4"/>
        <v>110.134</v>
      </c>
      <c r="X28" s="364">
        <f t="shared" ca="1" si="58"/>
        <v>1241.21018</v>
      </c>
      <c r="Y28" s="147"/>
      <c r="Z28" s="147"/>
      <c r="AA28" s="363">
        <f t="shared" ca="1" si="5"/>
        <v>14.19</v>
      </c>
      <c r="AB28" s="363">
        <f t="shared" ca="1" si="5"/>
        <v>109.72799999999999</v>
      </c>
      <c r="AC28" s="364">
        <f t="shared" ca="1" si="59"/>
        <v>1557.0403199999998</v>
      </c>
      <c r="AD28" s="147"/>
      <c r="AE28" s="147"/>
      <c r="AF28" s="363">
        <f t="shared" ca="1" si="6"/>
        <v>12.31</v>
      </c>
      <c r="AG28" s="363">
        <f t="shared" ca="1" si="6"/>
        <v>109.57299999999999</v>
      </c>
      <c r="AH28" s="364">
        <f t="shared" ca="1" si="60"/>
        <v>1348.8436300000001</v>
      </c>
      <c r="AI28" s="147"/>
      <c r="AJ28" s="147"/>
      <c r="AK28" s="363">
        <f t="shared" ca="1" si="7"/>
        <v>36.200000000000003</v>
      </c>
      <c r="AL28" s="363">
        <f t="shared" ca="1" si="7"/>
        <v>109.514</v>
      </c>
      <c r="AM28" s="364">
        <f t="shared" ca="1" si="61"/>
        <v>3964.4068000000002</v>
      </c>
      <c r="AN28" s="147"/>
      <c r="AO28" s="147"/>
      <c r="AP28" s="363">
        <f t="shared" ca="1" si="8"/>
        <v>38.4</v>
      </c>
      <c r="AQ28" s="363">
        <f t="shared" ca="1" si="8"/>
        <v>109.434</v>
      </c>
      <c r="AR28" s="364">
        <f t="shared" ca="1" si="62"/>
        <v>4202.2655999999997</v>
      </c>
      <c r="AS28" s="147"/>
      <c r="AT28" s="147"/>
      <c r="AU28" s="363">
        <f t="shared" ca="1" si="9"/>
        <v>41.85</v>
      </c>
      <c r="AV28" s="363">
        <f t="shared" ca="1" si="9"/>
        <v>109.47</v>
      </c>
      <c r="AW28" s="364">
        <f t="shared" ca="1" si="63"/>
        <v>4581.3195000000005</v>
      </c>
      <c r="AX28" s="147"/>
      <c r="AY28" s="147"/>
      <c r="AZ28" s="363">
        <f t="shared" ca="1" si="10"/>
        <v>34.659999999999997</v>
      </c>
      <c r="BA28" s="363">
        <f t="shared" ca="1" si="10"/>
        <v>109.432</v>
      </c>
      <c r="BB28" s="364">
        <f t="shared" ca="1" si="64"/>
        <v>3792.9131199999997</v>
      </c>
      <c r="BC28" s="147"/>
      <c r="BD28" s="147"/>
      <c r="BE28" s="363">
        <f t="shared" ca="1" si="11"/>
        <v>40.9</v>
      </c>
      <c r="BF28" s="363">
        <f t="shared" ca="1" si="11"/>
        <v>109.361</v>
      </c>
      <c r="BG28" s="364">
        <f t="shared" ca="1" si="65"/>
        <v>4472.8648999999996</v>
      </c>
      <c r="BH28" s="147"/>
      <c r="BI28" s="147"/>
      <c r="BJ28" s="363">
        <f t="shared" ca="1" si="12"/>
        <v>42.31</v>
      </c>
      <c r="BK28" s="363">
        <f t="shared" ca="1" si="12"/>
        <v>109.282</v>
      </c>
      <c r="BL28" s="364">
        <f t="shared" ca="1" si="66"/>
        <v>4623.7214199999999</v>
      </c>
      <c r="BM28" s="147"/>
      <c r="BN28" s="147"/>
      <c r="BO28" s="363">
        <f t="shared" ca="1" si="13"/>
        <v>41.5</v>
      </c>
      <c r="BP28" s="363">
        <f t="shared" ca="1" si="13"/>
        <v>109.31100000000001</v>
      </c>
      <c r="BQ28" s="364">
        <f t="shared" ca="1" si="67"/>
        <v>4536.4065000000001</v>
      </c>
      <c r="BR28" s="162"/>
      <c r="BS28" s="363">
        <f t="shared" ca="1" si="14"/>
        <v>40.83</v>
      </c>
      <c r="BT28" s="363">
        <f t="shared" ca="1" si="14"/>
        <v>109.282</v>
      </c>
      <c r="BU28" s="364">
        <f t="shared" ca="1" si="68"/>
        <v>4461.9840599999998</v>
      </c>
      <c r="BV28" s="162"/>
      <c r="BW28" s="363">
        <f t="shared" ca="1" si="15"/>
        <v>42.28</v>
      </c>
      <c r="BX28" s="363">
        <f t="shared" ca="1" si="15"/>
        <v>109.221</v>
      </c>
      <c r="BY28" s="364">
        <f t="shared" ca="1" si="69"/>
        <v>4617.8638799999999</v>
      </c>
      <c r="BZ28" s="162"/>
      <c r="CA28" s="363">
        <f t="shared" ca="1" si="16"/>
        <v>44.43</v>
      </c>
      <c r="CB28" s="363">
        <f t="shared" ca="1" si="16"/>
        <v>109.14</v>
      </c>
      <c r="CC28" s="364">
        <f t="shared" ca="1" si="70"/>
        <v>4849.0901999999996</v>
      </c>
      <c r="CD28" s="162"/>
      <c r="CE28" s="363">
        <f t="shared" ca="1" si="17"/>
        <v>35.39</v>
      </c>
      <c r="CF28" s="363">
        <f t="shared" ca="1" si="17"/>
        <v>109.181</v>
      </c>
      <c r="CG28" s="364">
        <f t="shared" ca="1" si="71"/>
        <v>3863.9155900000001</v>
      </c>
      <c r="CH28" s="162"/>
      <c r="CI28" s="363">
        <f t="shared" ref="CI28:CJ45" ca="1" si="117">OFFSET( INDIRECT( CI$6 &amp; CI$9 ), $HX28 - 1, CI$8 - 1 )</f>
        <v>33.24</v>
      </c>
      <c r="CJ28" s="363">
        <f t="shared" ca="1" si="117"/>
        <v>109.146</v>
      </c>
      <c r="CK28" s="364">
        <f t="shared" ca="1" si="72"/>
        <v>3628.0130400000003</v>
      </c>
      <c r="CL28" s="162"/>
      <c r="CM28" s="363">
        <f t="shared" ref="CM28:CN45" ca="1" si="118">OFFSET( INDIRECT( CM$6 &amp; CM$9 ), $HX28 - 1, CM$8 - 1 )</f>
        <v>36.06</v>
      </c>
      <c r="CN28" s="363">
        <f t="shared" ca="1" si="118"/>
        <v>109.051</v>
      </c>
      <c r="CO28" s="364">
        <f t="shared" ca="1" si="73"/>
        <v>3932.3790600000002</v>
      </c>
      <c r="CP28" s="162"/>
      <c r="CQ28" s="221">
        <f t="shared" ref="CQ28:CR45" ca="1" si="119">OFFSET( INDIRECT( CQ$6 &amp; CQ$9 ), $HX28 - 1, CQ$8 - 1 )</f>
        <v>43.05</v>
      </c>
      <c r="CR28" s="221">
        <f t="shared" ca="1" si="119"/>
        <v>108.949</v>
      </c>
      <c r="CS28" s="163">
        <f t="shared" ca="1" si="74"/>
        <v>4690.2544499999995</v>
      </c>
      <c r="CT28" s="162"/>
      <c r="CU28" s="221">
        <f t="shared" ref="CU28:CV45" ca="1" si="120">OFFSET( INDIRECT( CU$6 &amp; CU$9 ), $HX28 - 1, CU$8 - 1 )</f>
        <v>46.86</v>
      </c>
      <c r="CV28" s="221">
        <f t="shared" ca="1" si="120"/>
        <v>108.973</v>
      </c>
      <c r="CW28" s="163">
        <f t="shared" ca="1" si="75"/>
        <v>5106.4747799999996</v>
      </c>
      <c r="CX28" s="162"/>
      <c r="CY28" s="221">
        <f t="shared" ref="CY28:CZ45" ca="1" si="121">OFFSET( INDIRECT( CY$6 &amp; CY$9 ), $HX28 - 1, CY$8 - 1 )</f>
        <v>45.61</v>
      </c>
      <c r="CZ28" s="221">
        <f t="shared" ca="1" si="121"/>
        <v>108.938</v>
      </c>
      <c r="DA28" s="163">
        <f t="shared" ca="1" si="76"/>
        <v>4968.6621800000003</v>
      </c>
      <c r="DB28" s="162"/>
      <c r="DC28" s="221">
        <f t="shared" ref="DC28:DD45" ca="1" si="122">OFFSET( INDIRECT( DC$6 &amp; DC$9 ), $HX28 - 1, DC$8 - 1 )</f>
        <v>43.55</v>
      </c>
      <c r="DD28" s="221">
        <f t="shared" ca="1" si="122"/>
        <v>108.913</v>
      </c>
      <c r="DE28" s="163">
        <f t="shared" ca="1" si="77"/>
        <v>4743.1611499999999</v>
      </c>
      <c r="DF28" s="162"/>
      <c r="DG28" s="221">
        <f t="shared" ref="DG28:DH45" ca="1" si="123">OFFSET( INDIRECT( DG$6 &amp; DG$9 ), $HX28 - 1, DG$8 - 1 )</f>
        <v>40.770000000000003</v>
      </c>
      <c r="DH28" s="221">
        <f t="shared" ca="1" si="123"/>
        <v>108.855</v>
      </c>
      <c r="DI28" s="163">
        <f t="shared" ca="1" si="78"/>
        <v>4438.0183500000003</v>
      </c>
      <c r="DJ28" s="162"/>
      <c r="DK28" s="221">
        <f t="shared" ref="DK28:DL45" ca="1" si="124">OFFSET( INDIRECT( DK$6 &amp; DK$9 ), $HX28 - 1, DK$8 - 1 )</f>
        <v>36.619999999999997</v>
      </c>
      <c r="DL28" s="221">
        <f t="shared" ca="1" si="124"/>
        <v>108.879</v>
      </c>
      <c r="DM28" s="163">
        <f t="shared" ca="1" si="79"/>
        <v>3987.1489799999999</v>
      </c>
      <c r="DN28" s="162"/>
      <c r="DO28" s="221">
        <f t="shared" ref="DO28:DP45" ca="1" si="125">OFFSET( INDIRECT( DO$6 &amp; DO$9 ), $HX28 - 1, DO$8 - 1 )</f>
        <v>35.590000000000003</v>
      </c>
      <c r="DP28" s="221">
        <f t="shared" ca="1" si="125"/>
        <v>108.842</v>
      </c>
      <c r="DQ28" s="163">
        <f t="shared" ca="1" si="80"/>
        <v>3873.6867800000005</v>
      </c>
      <c r="DR28" s="162"/>
      <c r="DS28" s="221">
        <f t="shared" ref="DS28:DT45" ca="1" si="126">OFFSET( INDIRECT( DS$6 &amp; DS$9 ), $HX28 - 1, DS$8 - 1 )</f>
        <v>34.299999999999997</v>
      </c>
      <c r="DT28" s="221">
        <f t="shared" ca="1" si="126"/>
        <v>108.818</v>
      </c>
      <c r="DU28" s="163">
        <f t="shared" ca="1" si="81"/>
        <v>3732.4573999999998</v>
      </c>
      <c r="DV28" s="162"/>
      <c r="DW28" s="221">
        <f t="shared" ref="DW28:DX45" ca="1" si="127">OFFSET( INDIRECT( DW$6 &amp; DW$9 ), $HX28 - 1, DW$8 - 1 )</f>
        <v>34.380000000000003</v>
      </c>
      <c r="DX28" s="221">
        <f t="shared" ca="1" si="127"/>
        <v>108.786</v>
      </c>
      <c r="DY28" s="163">
        <f t="shared" ca="1" si="82"/>
        <v>3740.0626800000005</v>
      </c>
      <c r="DZ28" s="162"/>
      <c r="EA28" s="221">
        <f t="shared" ref="EA28:EB45" ca="1" si="128">OFFSET( INDIRECT( EA$6 &amp; EA$9 ), $HX28 - 1, EA$8 - 1 )</f>
        <v>36.15</v>
      </c>
      <c r="EB28" s="221">
        <f t="shared" ca="1" si="128"/>
        <v>108.786</v>
      </c>
      <c r="EC28" s="163">
        <f t="shared" ca="1" si="83"/>
        <v>3932.6138999999998</v>
      </c>
      <c r="ED28" s="162"/>
      <c r="EE28" s="221">
        <f t="shared" ref="EE28:EF45" ca="1" si="129">OFFSET( INDIRECT( EE$6 &amp; EE$9 ), $HX28 - 1, EE$8 - 1 )</f>
        <v>33.369999999999997</v>
      </c>
      <c r="EF28" s="221">
        <f t="shared" ca="1" si="129"/>
        <v>108.75</v>
      </c>
      <c r="EG28" s="163">
        <f t="shared" ca="1" si="84"/>
        <v>3628.9874999999997</v>
      </c>
      <c r="EH28" s="162"/>
      <c r="EI28" s="221">
        <f t="shared" ref="EI28:EJ45" ca="1" si="130">OFFSET( INDIRECT( EI$6 &amp; EI$9 ), $HX28 - 1, EI$8 - 1 )</f>
        <v>32.380000000000003</v>
      </c>
      <c r="EJ28" s="221">
        <f t="shared" ca="1" si="130"/>
        <v>108.67400000000001</v>
      </c>
      <c r="EK28" s="163">
        <f t="shared" ca="1" si="85"/>
        <v>3518.8641200000006</v>
      </c>
      <c r="EL28" s="162"/>
      <c r="EM28" s="221">
        <f t="shared" ref="EM28:EN45" ca="1" si="131">OFFSET( INDIRECT( EM$6 &amp; EM$9 ), $HX28 - 1, EM$8 - 1 )</f>
        <v>33.31</v>
      </c>
      <c r="EN28" s="221">
        <f t="shared" ca="1" si="131"/>
        <v>108.102</v>
      </c>
      <c r="EO28" s="163">
        <f t="shared" ca="1" si="86"/>
        <v>3600.8776200000002</v>
      </c>
      <c r="EP28" s="162"/>
      <c r="EQ28" s="221">
        <f t="shared" ref="EQ28:ER45" ca="1" si="132">OFFSET( INDIRECT( EQ$6 &amp; EQ$9 ), $HX28 - 1, EQ$8 - 1 )</f>
        <v>33.07</v>
      </c>
      <c r="ER28" s="221">
        <f t="shared" ca="1" si="132"/>
        <v>108.268</v>
      </c>
      <c r="ES28" s="163">
        <f t="shared" ca="1" si="87"/>
        <v>3580.4227599999999</v>
      </c>
      <c r="ET28" s="162"/>
      <c r="EU28" s="221">
        <f t="shared" ref="EU28:EV45" ca="1" si="133">OFFSET( INDIRECT( EU$6 &amp; EU$9 ), $HX28 - 1, EU$8 - 1 )</f>
        <v>29.85</v>
      </c>
      <c r="EV28" s="221">
        <f t="shared" ca="1" si="133"/>
        <v>107.962</v>
      </c>
      <c r="EW28" s="163">
        <f t="shared" ca="1" si="88"/>
        <v>3222.6657000000005</v>
      </c>
      <c r="EX28" s="162"/>
      <c r="EY28" s="221">
        <f t="shared" ref="EY28:EZ45" ca="1" si="134">OFFSET( INDIRECT( EY$6 &amp; EY$9 ), $HX28 - 1, EY$8 - 1 )</f>
        <v>32.79</v>
      </c>
      <c r="EZ28" s="221">
        <f t="shared" ca="1" si="134"/>
        <v>107.62</v>
      </c>
      <c r="FA28" s="163">
        <f t="shared" ca="1" si="89"/>
        <v>3528.8598000000002</v>
      </c>
      <c r="FB28" s="162"/>
      <c r="FC28" s="221">
        <f t="shared" ref="FC28:FD45" ca="1" si="135">OFFSET( INDIRECT( FC$6 &amp; FC$9 ), $HX28 - 1, FC$8 - 1 )</f>
        <v>32.4</v>
      </c>
      <c r="FD28" s="221">
        <f t="shared" ca="1" si="135"/>
        <v>106.41800000000001</v>
      </c>
      <c r="FE28" s="163">
        <f t="shared" ca="1" si="90"/>
        <v>3447.9432000000002</v>
      </c>
      <c r="FF28" s="162"/>
      <c r="FG28" s="221">
        <f t="shared" ref="FG28:FH45" ca="1" si="136">OFFSET( INDIRECT( FG$6 &amp; FG$9 ), $HX28 - 1, FG$8 - 1 )</f>
        <v>28.95</v>
      </c>
      <c r="FH28" s="221">
        <f t="shared" ca="1" si="136"/>
        <v>107.45699999999999</v>
      </c>
      <c r="FI28" s="163">
        <f t="shared" ca="1" si="91"/>
        <v>3110.88015</v>
      </c>
      <c r="FJ28" s="162"/>
      <c r="FK28" s="221">
        <f t="shared" ref="FK28:FL45" ca="1" si="137">OFFSET( INDIRECT( FK$6 &amp; FK$9 ), $HX28 - 1, FK$8 - 1 )</f>
        <v>28.69</v>
      </c>
      <c r="FL28" s="221">
        <f t="shared" ca="1" si="137"/>
        <v>107.41800000000001</v>
      </c>
      <c r="FM28" s="163">
        <f t="shared" ca="1" si="92"/>
        <v>3081.8224200000004</v>
      </c>
      <c r="FN28" s="162"/>
      <c r="FO28" s="221">
        <f t="shared" ref="FO28:FP45" ca="1" si="138">OFFSET( INDIRECT( FO$6 &amp; FO$9 ), $HX28 - 1, FO$8 - 1 )</f>
        <v>29.73</v>
      </c>
      <c r="FP28" s="221">
        <f t="shared" ca="1" si="138"/>
        <v>103.28100000000001</v>
      </c>
      <c r="FQ28" s="163">
        <f t="shared" ca="1" si="93"/>
        <v>3070.5441300000002</v>
      </c>
      <c r="FR28" s="162"/>
      <c r="FS28" s="221">
        <f t="shared" ref="FS28:FT45" ca="1" si="139">OFFSET( INDIRECT( FS$6 &amp; FS$9 ), $HX28 - 1, FS$8 - 1 )</f>
        <v>32.119999999999997</v>
      </c>
      <c r="FT28" s="221">
        <f t="shared" ca="1" si="139"/>
        <v>102.56100000000001</v>
      </c>
      <c r="FU28" s="163">
        <f t="shared" ca="1" si="94"/>
        <v>3294.2593200000001</v>
      </c>
      <c r="FW28" s="221">
        <f t="shared" ref="FW28:FX45" ca="1" si="140">OFFSET( INDIRECT( FW$6 &amp; FW$9 ), $HX28 - 1, FW$8 - 1 )</f>
        <v>33.479999999999997</v>
      </c>
      <c r="FX28" s="221">
        <f t="shared" ca="1" si="140"/>
        <v>102.416</v>
      </c>
      <c r="FY28" s="163">
        <f t="shared" ca="1" si="95"/>
        <v>3428.8876799999994</v>
      </c>
      <c r="GA28" s="221">
        <f t="shared" ref="GA28:GB45" ca="1" si="141">OFFSET( INDIRECT( GA$6 &amp; GA$9 ), $HX28 - 1, GA$8 - 1 )</f>
        <v>26.55</v>
      </c>
      <c r="GB28" s="221">
        <f t="shared" ca="1" si="141"/>
        <v>101.495</v>
      </c>
      <c r="GC28" s="163">
        <f t="shared" ca="1" si="96"/>
        <v>2694.6922500000001</v>
      </c>
      <c r="GE28" s="221">
        <f t="shared" ref="GE28:GF45" ca="1" si="142">OFFSET( INDIRECT( GE$6 &amp; GE$9 ), $HX28 - 1, GE$8 - 1 )</f>
        <v>25.32</v>
      </c>
      <c r="GF28" s="221">
        <f t="shared" ca="1" si="142"/>
        <v>101.38200000000001</v>
      </c>
      <c r="GG28" s="163">
        <f t="shared" ca="1" si="97"/>
        <v>2566.99224</v>
      </c>
      <c r="GI28" s="221">
        <f t="shared" ref="GI28:GJ45" ca="1" si="143">OFFSET( INDIRECT( GI$6 &amp; GI$9 ), $HX28 - 1, GI$8 - 1 )</f>
        <v>25.42</v>
      </c>
      <c r="GJ28" s="221">
        <f t="shared" ca="1" si="143"/>
        <v>98.968000000000004</v>
      </c>
      <c r="GK28" s="163">
        <f t="shared" ca="1" si="98"/>
        <v>2515.7665600000005</v>
      </c>
      <c r="GM28" s="221">
        <f t="shared" ref="GM28:GN45" ca="1" si="144">OFFSET( INDIRECT( GM$6 &amp; GM$9 ), $HX28 - 1, GM$8 - 1 )</f>
        <v>26.06</v>
      </c>
      <c r="GN28" s="221">
        <f t="shared" ca="1" si="144"/>
        <v>99.203999999999994</v>
      </c>
      <c r="GO28" s="163">
        <f t="shared" ca="1" si="99"/>
        <v>2585.2562399999997</v>
      </c>
      <c r="GQ28" s="221">
        <f t="shared" ref="GQ28:GR45" ca="1" si="145">OFFSET( INDIRECT( GQ$6 &amp; GQ$9 ), $HX28 - 1, GQ$8 - 1 )</f>
        <v>25.1</v>
      </c>
      <c r="GR28" s="221">
        <f t="shared" ca="1" si="145"/>
        <v>98.66</v>
      </c>
      <c r="GS28" s="163">
        <f t="shared" ca="1" si="100"/>
        <v>2476.366</v>
      </c>
      <c r="GU28" s="221">
        <f t="shared" ca="1" si="110"/>
        <v>25.31</v>
      </c>
      <c r="GV28" s="221">
        <f t="shared" ca="1" si="110"/>
        <v>98.135000000000005</v>
      </c>
      <c r="GW28" s="163">
        <f t="shared" ca="1" si="101"/>
        <v>2483.7968500000002</v>
      </c>
      <c r="GY28" s="221">
        <f t="shared" ca="1" si="111"/>
        <v>27.71</v>
      </c>
      <c r="GZ28" s="221">
        <f t="shared" ca="1" si="111"/>
        <v>96.908000000000001</v>
      </c>
      <c r="HA28" s="163">
        <f t="shared" ca="1" si="102"/>
        <v>2685.3206800000003</v>
      </c>
      <c r="HC28" s="221">
        <f t="shared" ca="1" si="112"/>
        <v>25.14</v>
      </c>
      <c r="HD28" s="221">
        <f t="shared" ca="1" si="112"/>
        <v>97.156999999999996</v>
      </c>
      <c r="HE28" s="163">
        <f t="shared" ca="1" si="103"/>
        <v>2442.5269800000001</v>
      </c>
      <c r="HG28" s="221">
        <f t="shared" ca="1" si="113"/>
        <v>26.31</v>
      </c>
      <c r="HH28" s="221">
        <f t="shared" ca="1" si="113"/>
        <v>96.692999999999998</v>
      </c>
      <c r="HI28" s="163">
        <f t="shared" ca="1" si="104"/>
        <v>2543.9928299999997</v>
      </c>
      <c r="HK28" s="221">
        <f t="shared" ca="1" si="114"/>
        <v>28.54</v>
      </c>
      <c r="HL28" s="221">
        <f t="shared" ca="1" si="114"/>
        <v>96.167000000000002</v>
      </c>
      <c r="HM28" s="163">
        <f t="shared" ca="1" si="105"/>
        <v>2744.6061799999998</v>
      </c>
      <c r="HO28" s="148">
        <f t="shared" ca="1" si="115"/>
        <v>25.35</v>
      </c>
      <c r="HP28" s="148">
        <f t="shared" ca="1" si="115"/>
        <v>95.51</v>
      </c>
      <c r="HQ28" s="163">
        <f t="shared" ca="1" si="106"/>
        <v>2421.1785000000004</v>
      </c>
      <c r="HS28" s="148">
        <f t="shared" ca="1" si="116"/>
        <v>26.48</v>
      </c>
      <c r="HT28" s="148">
        <f t="shared" ca="1" si="116"/>
        <v>95.873000000000005</v>
      </c>
      <c r="HU28" s="163">
        <f t="shared" ca="1" si="107"/>
        <v>2538.71704</v>
      </c>
      <c r="HX28" s="149">
        <f t="shared" ca="1" si="54"/>
        <v>37</v>
      </c>
    </row>
    <row r="29" spans="2:232" s="137" customFormat="1">
      <c r="B29" s="155">
        <f t="shared" ca="1" si="108"/>
        <v>20</v>
      </c>
      <c r="C29" s="146" t="str">
        <f t="shared" ca="1" si="109"/>
        <v>IDACORP, Inc.</v>
      </c>
      <c r="D29" s="138" t="str">
        <f t="shared" ca="1" si="109"/>
        <v>IDA</v>
      </c>
      <c r="E29" s="138">
        <f t="shared" ca="1" si="109"/>
        <v>4056949</v>
      </c>
      <c r="F29" s="147"/>
      <c r="G29" s="363">
        <f t="shared" ca="1" si="1"/>
        <v>109.28</v>
      </c>
      <c r="H29" s="363">
        <f t="shared" ca="1" si="1"/>
        <v>53.386000000000003</v>
      </c>
      <c r="I29" s="364">
        <f t="shared" ca="1" si="55"/>
        <v>5834.0220800000006</v>
      </c>
      <c r="J29" s="147"/>
      <c r="K29" s="147"/>
      <c r="L29" s="363">
        <f t="shared" ca="1" si="2"/>
        <v>103.09</v>
      </c>
      <c r="M29" s="363">
        <f t="shared" ca="1" si="2"/>
        <v>52.17</v>
      </c>
      <c r="N29" s="364">
        <f t="shared" ca="1" si="56"/>
        <v>5378.2053000000005</v>
      </c>
      <c r="O29" s="147"/>
      <c r="P29" s="147"/>
      <c r="Q29" s="363">
        <f t="shared" ca="1" si="3"/>
        <v>93.15</v>
      </c>
      <c r="R29" s="363">
        <f t="shared" ca="1" si="3"/>
        <v>50.764000000000003</v>
      </c>
      <c r="S29" s="364">
        <f t="shared" ca="1" si="57"/>
        <v>4728.6666000000005</v>
      </c>
      <c r="T29" s="147"/>
      <c r="U29" s="147"/>
      <c r="V29" s="363">
        <f t="shared" ca="1" si="4"/>
        <v>92.89</v>
      </c>
      <c r="W29" s="363">
        <f t="shared" ca="1" si="4"/>
        <v>50.728999999999999</v>
      </c>
      <c r="X29" s="364">
        <f t="shared" ca="1" si="58"/>
        <v>4712.2168099999999</v>
      </c>
      <c r="Y29" s="147"/>
      <c r="Z29" s="147"/>
      <c r="AA29" s="363">
        <f t="shared" ca="1" si="5"/>
        <v>98.32</v>
      </c>
      <c r="AB29" s="363">
        <f t="shared" ca="1" si="5"/>
        <v>50.725999999999999</v>
      </c>
      <c r="AC29" s="364">
        <f t="shared" ca="1" si="59"/>
        <v>4987.3803199999993</v>
      </c>
      <c r="AD29" s="147"/>
      <c r="AE29" s="147"/>
      <c r="AF29" s="363">
        <f t="shared" ca="1" si="6"/>
        <v>93.65</v>
      </c>
      <c r="AG29" s="363">
        <f t="shared" ca="1" si="6"/>
        <v>50.725000000000001</v>
      </c>
      <c r="AH29" s="364">
        <f t="shared" ca="1" si="60"/>
        <v>4750.3962500000007</v>
      </c>
      <c r="AI29" s="147"/>
      <c r="AJ29" s="147"/>
      <c r="AK29" s="363">
        <f t="shared" ca="1" si="7"/>
        <v>102.6</v>
      </c>
      <c r="AL29" s="363">
        <f t="shared" ca="1" si="7"/>
        <v>50.688000000000002</v>
      </c>
      <c r="AM29" s="364">
        <f t="shared" ca="1" si="61"/>
        <v>5200.5887999999995</v>
      </c>
      <c r="AN29" s="147"/>
      <c r="AO29" s="147"/>
      <c r="AP29" s="363">
        <f t="shared" ca="1" si="8"/>
        <v>108.33</v>
      </c>
      <c r="AQ29" s="363">
        <f t="shared" ca="1" si="8"/>
        <v>50.658000000000001</v>
      </c>
      <c r="AR29" s="364">
        <f t="shared" ca="1" si="62"/>
        <v>5487.7811400000001</v>
      </c>
      <c r="AS29" s="147"/>
      <c r="AT29" s="147"/>
      <c r="AU29" s="363">
        <f t="shared" ca="1" si="9"/>
        <v>107.85</v>
      </c>
      <c r="AV29" s="363">
        <f t="shared" ca="1" si="9"/>
        <v>50.667999999999999</v>
      </c>
      <c r="AW29" s="364">
        <f t="shared" ca="1" si="63"/>
        <v>5464.5437999999995</v>
      </c>
      <c r="AX29" s="147"/>
      <c r="AY29" s="147"/>
      <c r="AZ29" s="363">
        <f t="shared" ca="1" si="10"/>
        <v>99.01</v>
      </c>
      <c r="BA29" s="363">
        <f t="shared" ca="1" si="10"/>
        <v>50.667999999999999</v>
      </c>
      <c r="BB29" s="364">
        <f t="shared" ca="1" si="64"/>
        <v>5016.63868</v>
      </c>
      <c r="BC29" s="147"/>
      <c r="BD29" s="147"/>
      <c r="BE29" s="363">
        <f t="shared" ca="1" si="11"/>
        <v>105.92</v>
      </c>
      <c r="BF29" s="363">
        <f t="shared" ca="1" si="11"/>
        <v>50.631999999999998</v>
      </c>
      <c r="BG29" s="364">
        <f t="shared" ca="1" si="65"/>
        <v>5362.9414399999996</v>
      </c>
      <c r="BH29" s="147"/>
      <c r="BI29" s="147"/>
      <c r="BJ29" s="363">
        <f t="shared" ca="1" si="12"/>
        <v>115.36</v>
      </c>
      <c r="BK29" s="363">
        <f t="shared" ca="1" si="12"/>
        <v>50.598999999999997</v>
      </c>
      <c r="BL29" s="364">
        <f t="shared" ca="1" si="66"/>
        <v>5837.1006399999997</v>
      </c>
      <c r="BM29" s="147"/>
      <c r="BN29" s="147"/>
      <c r="BO29" s="363">
        <f t="shared" ca="1" si="13"/>
        <v>113.31</v>
      </c>
      <c r="BP29" s="363">
        <f t="shared" ca="1" si="13"/>
        <v>50.609000000000002</v>
      </c>
      <c r="BQ29" s="364">
        <f t="shared" ca="1" si="67"/>
        <v>5734.5057900000002</v>
      </c>
      <c r="BR29" s="162"/>
      <c r="BS29" s="363">
        <f t="shared" ca="1" si="14"/>
        <v>103.38</v>
      </c>
      <c r="BT29" s="363">
        <f t="shared" ca="1" si="14"/>
        <v>50.609000000000002</v>
      </c>
      <c r="BU29" s="364">
        <f t="shared" ca="1" si="68"/>
        <v>5231.9584199999999</v>
      </c>
      <c r="BV29" s="162"/>
      <c r="BW29" s="363">
        <f t="shared" ca="1" si="15"/>
        <v>97.5</v>
      </c>
      <c r="BX29" s="363">
        <f t="shared" ca="1" si="15"/>
        <v>50.567</v>
      </c>
      <c r="BY29" s="364">
        <f t="shared" ca="1" si="69"/>
        <v>4930.2825000000003</v>
      </c>
      <c r="BZ29" s="162"/>
      <c r="CA29" s="363">
        <f t="shared" ca="1" si="16"/>
        <v>99.97</v>
      </c>
      <c r="CB29" s="363">
        <f t="shared" ca="1" si="16"/>
        <v>50.537999999999997</v>
      </c>
      <c r="CC29" s="364">
        <f t="shared" ca="1" si="70"/>
        <v>5052.2838599999995</v>
      </c>
      <c r="CD29" s="162"/>
      <c r="CE29" s="363">
        <f t="shared" ca="1" si="17"/>
        <v>96.03</v>
      </c>
      <c r="CF29" s="363">
        <f t="shared" ca="1" si="17"/>
        <v>50.540999999999997</v>
      </c>
      <c r="CG29" s="364">
        <f t="shared" ca="1" si="71"/>
        <v>4853.4522299999999</v>
      </c>
      <c r="CH29" s="162"/>
      <c r="CI29" s="363">
        <f t="shared" ca="1" si="117"/>
        <v>79.900000000000006</v>
      </c>
      <c r="CJ29" s="363">
        <f t="shared" ca="1" si="117"/>
        <v>50.551000000000002</v>
      </c>
      <c r="CK29" s="364">
        <f t="shared" ca="1" si="72"/>
        <v>4039.0249000000003</v>
      </c>
      <c r="CL29" s="162"/>
      <c r="CM29" s="363">
        <f t="shared" ca="1" si="118"/>
        <v>87.37</v>
      </c>
      <c r="CN29" s="363">
        <f t="shared" ca="1" si="118"/>
        <v>50.517000000000003</v>
      </c>
      <c r="CO29" s="364">
        <f t="shared" ca="1" si="73"/>
        <v>4413.6702900000009</v>
      </c>
      <c r="CP29" s="162"/>
      <c r="CQ29" s="221">
        <f t="shared" ca="1" si="119"/>
        <v>87.79</v>
      </c>
      <c r="CR29" s="221">
        <f t="shared" ca="1" si="119"/>
        <v>50.502000000000002</v>
      </c>
      <c r="CS29" s="163">
        <f t="shared" ca="1" si="74"/>
        <v>4433.5705800000005</v>
      </c>
      <c r="CT29" s="162"/>
      <c r="CU29" s="221">
        <f t="shared" ca="1" si="120"/>
        <v>106.8</v>
      </c>
      <c r="CV29" s="221">
        <f t="shared" ca="1" si="120"/>
        <v>50.499000000000002</v>
      </c>
      <c r="CW29" s="163">
        <f t="shared" ca="1" si="75"/>
        <v>5393.2932000000001</v>
      </c>
      <c r="CX29" s="162"/>
      <c r="CY29" s="221">
        <f t="shared" ca="1" si="121"/>
        <v>112.67</v>
      </c>
      <c r="CZ29" s="221">
        <f t="shared" ca="1" si="121"/>
        <v>50.499000000000002</v>
      </c>
      <c r="DA29" s="163">
        <f t="shared" ca="1" si="76"/>
        <v>5689.7223300000005</v>
      </c>
      <c r="DB29" s="162"/>
      <c r="DC29" s="221">
        <f t="shared" ca="1" si="122"/>
        <v>100.43</v>
      </c>
      <c r="DD29" s="221">
        <f t="shared" ca="1" si="122"/>
        <v>50.509</v>
      </c>
      <c r="DE29" s="163">
        <f t="shared" ca="1" si="77"/>
        <v>5072.6188700000002</v>
      </c>
      <c r="DF29" s="162"/>
      <c r="DG29" s="221">
        <f t="shared" ca="1" si="123"/>
        <v>99.54</v>
      </c>
      <c r="DH29" s="221">
        <f t="shared" ca="1" si="123"/>
        <v>50.432000000000002</v>
      </c>
      <c r="DI29" s="163">
        <f t="shared" ca="1" si="78"/>
        <v>5020.0012800000004</v>
      </c>
      <c r="DJ29" s="162"/>
      <c r="DK29" s="221">
        <f t="shared" ca="1" si="124"/>
        <v>93.06</v>
      </c>
      <c r="DL29" s="221">
        <f t="shared" ca="1" si="124"/>
        <v>50.433999999999997</v>
      </c>
      <c r="DM29" s="163">
        <f t="shared" ca="1" si="79"/>
        <v>4693.3880399999998</v>
      </c>
      <c r="DN29" s="162"/>
      <c r="DO29" s="221">
        <f t="shared" ca="1" si="125"/>
        <v>99.23</v>
      </c>
      <c r="DP29" s="221">
        <f t="shared" ca="1" si="125"/>
        <v>50.435000000000002</v>
      </c>
      <c r="DQ29" s="163">
        <f t="shared" ca="1" si="80"/>
        <v>5004.6650500000005</v>
      </c>
      <c r="DR29" s="162"/>
      <c r="DS29" s="221">
        <f t="shared" ca="1" si="126"/>
        <v>92.24</v>
      </c>
      <c r="DT29" s="221">
        <f t="shared" ca="1" si="126"/>
        <v>50.244999999999997</v>
      </c>
      <c r="DU29" s="163">
        <f t="shared" ca="1" si="81"/>
        <v>4634.5987999999998</v>
      </c>
      <c r="DV29" s="162"/>
      <c r="DW29" s="221">
        <f t="shared" ca="1" si="127"/>
        <v>88.27</v>
      </c>
      <c r="DX29" s="221">
        <f t="shared" ca="1" si="127"/>
        <v>50.360999999999997</v>
      </c>
      <c r="DY29" s="163">
        <f t="shared" ca="1" si="82"/>
        <v>4445.3654699999997</v>
      </c>
      <c r="DZ29" s="162"/>
      <c r="EA29" s="221">
        <f t="shared" ca="1" si="128"/>
        <v>91.36</v>
      </c>
      <c r="EB29" s="221">
        <f t="shared" ca="1" si="128"/>
        <v>50.362000000000002</v>
      </c>
      <c r="EC29" s="163">
        <f t="shared" ca="1" si="83"/>
        <v>4601.0723200000002</v>
      </c>
      <c r="ED29" s="162"/>
      <c r="EE29" s="221">
        <f t="shared" ca="1" si="129"/>
        <v>87.93</v>
      </c>
      <c r="EF29" s="221">
        <f t="shared" ca="1" si="129"/>
        <v>50.363</v>
      </c>
      <c r="EG29" s="163">
        <f t="shared" ca="1" si="84"/>
        <v>4428.4185900000002</v>
      </c>
      <c r="EH29" s="162"/>
      <c r="EI29" s="221">
        <f t="shared" ca="1" si="130"/>
        <v>85.35</v>
      </c>
      <c r="EJ29" s="221">
        <f t="shared" ca="1" si="130"/>
        <v>50.356000000000002</v>
      </c>
      <c r="EK29" s="163">
        <f t="shared" ca="1" si="85"/>
        <v>4297.8845999999994</v>
      </c>
      <c r="EL29" s="162"/>
      <c r="EM29" s="221">
        <f t="shared" ca="1" si="131"/>
        <v>82.96</v>
      </c>
      <c r="EN29" s="221">
        <f t="shared" ca="1" si="131"/>
        <v>50.298000000000002</v>
      </c>
      <c r="EO29" s="163">
        <f t="shared" ca="1" si="86"/>
        <v>4172.7220799999996</v>
      </c>
      <c r="EP29" s="162"/>
      <c r="EQ29" s="221">
        <f t="shared" ca="1" si="132"/>
        <v>80.55</v>
      </c>
      <c r="ER29" s="221">
        <f t="shared" ca="1" si="132"/>
        <v>50.295999999999999</v>
      </c>
      <c r="ES29" s="163">
        <f t="shared" ca="1" si="87"/>
        <v>4051.3427999999999</v>
      </c>
      <c r="ET29" s="162"/>
      <c r="EU29" s="221">
        <f t="shared" ca="1" si="133"/>
        <v>78.28</v>
      </c>
      <c r="EV29" s="221">
        <f t="shared" ca="1" si="133"/>
        <v>50.302</v>
      </c>
      <c r="EW29" s="163">
        <f t="shared" ca="1" si="88"/>
        <v>3937.6405599999998</v>
      </c>
      <c r="EX29" s="162"/>
      <c r="EY29" s="221">
        <f t="shared" ca="1" si="134"/>
        <v>81.349999999999994</v>
      </c>
      <c r="EZ29" s="221">
        <f t="shared" ca="1" si="134"/>
        <v>50.298999999999999</v>
      </c>
      <c r="FA29" s="163">
        <f t="shared" ca="1" si="89"/>
        <v>4091.8236499999998</v>
      </c>
      <c r="FB29" s="162"/>
      <c r="FC29" s="221">
        <f t="shared" ca="1" si="135"/>
        <v>74.59</v>
      </c>
      <c r="FD29" s="221">
        <f t="shared" ca="1" si="135"/>
        <v>50.22</v>
      </c>
      <c r="FE29" s="163">
        <f t="shared" ca="1" si="90"/>
        <v>3745.9097999999999</v>
      </c>
      <c r="FF29" s="162"/>
      <c r="FG29" s="221">
        <f t="shared" ca="1" si="136"/>
        <v>68</v>
      </c>
      <c r="FH29" s="221">
        <f t="shared" ca="1" si="136"/>
        <v>50.219000000000001</v>
      </c>
      <c r="FI29" s="163">
        <f t="shared" ca="1" si="91"/>
        <v>3414.8920000000003</v>
      </c>
      <c r="FJ29" s="162"/>
      <c r="FK29" s="221">
        <f t="shared" ca="1" si="137"/>
        <v>64.709999999999994</v>
      </c>
      <c r="FL29" s="221">
        <f t="shared" ca="1" si="137"/>
        <v>50.222000000000001</v>
      </c>
      <c r="FM29" s="163">
        <f t="shared" ca="1" si="92"/>
        <v>3249.8656199999996</v>
      </c>
      <c r="FN29" s="162"/>
      <c r="FO29" s="221">
        <f t="shared" ca="1" si="138"/>
        <v>56.14</v>
      </c>
      <c r="FP29" s="221">
        <f t="shared" ca="1" si="138"/>
        <v>50.22</v>
      </c>
      <c r="FQ29" s="163">
        <f t="shared" ca="1" si="93"/>
        <v>2819.3508000000002</v>
      </c>
      <c r="FR29" s="162"/>
      <c r="FS29" s="221">
        <f t="shared" ca="1" si="139"/>
        <v>62.87</v>
      </c>
      <c r="FT29" s="221">
        <f t="shared" ca="1" si="139"/>
        <v>50.131</v>
      </c>
      <c r="FU29" s="163">
        <f t="shared" ca="1" si="94"/>
        <v>3151.7359699999997</v>
      </c>
      <c r="FW29" s="221">
        <f t="shared" ca="1" si="140"/>
        <v>66.19</v>
      </c>
      <c r="FX29" s="221">
        <f t="shared" ca="1" si="140"/>
        <v>50.128999999999998</v>
      </c>
      <c r="FY29" s="163">
        <f t="shared" ca="1" si="95"/>
        <v>3318.0385099999999</v>
      </c>
      <c r="GA29" s="221">
        <f t="shared" ca="1" si="141"/>
        <v>53.61</v>
      </c>
      <c r="GB29" s="221">
        <f t="shared" ca="1" si="141"/>
        <v>50.133000000000003</v>
      </c>
      <c r="GC29" s="163">
        <f t="shared" ca="1" si="96"/>
        <v>2687.63013</v>
      </c>
      <c r="GE29" s="221">
        <f t="shared" ca="1" si="142"/>
        <v>57.83</v>
      </c>
      <c r="GF29" s="221">
        <f t="shared" ca="1" si="142"/>
        <v>50.131</v>
      </c>
      <c r="GG29" s="163">
        <f t="shared" ca="1" si="97"/>
        <v>2899.07573</v>
      </c>
      <c r="GI29" s="221">
        <f t="shared" ca="1" si="143"/>
        <v>55.47</v>
      </c>
      <c r="GJ29" s="221">
        <f t="shared" ca="1" si="143"/>
        <v>50.052</v>
      </c>
      <c r="GK29" s="163">
        <f t="shared" ca="1" si="98"/>
        <v>2776.3844399999998</v>
      </c>
      <c r="GM29" s="221">
        <f t="shared" ca="1" si="144"/>
        <v>51.84</v>
      </c>
      <c r="GN29" s="221">
        <f t="shared" ca="1" si="144"/>
        <v>50.055999999999997</v>
      </c>
      <c r="GO29" s="163">
        <f t="shared" ca="1" si="99"/>
        <v>2594.9030400000001</v>
      </c>
      <c r="GQ29" s="221">
        <f t="shared" ca="1" si="145"/>
        <v>48.4</v>
      </c>
      <c r="GR29" s="221">
        <f t="shared" ca="1" si="145"/>
        <v>50.055999999999997</v>
      </c>
      <c r="GS29" s="163">
        <f t="shared" ca="1" si="100"/>
        <v>2422.7103999999999</v>
      </c>
      <c r="GU29" s="221">
        <f t="shared" ca="1" si="110"/>
        <v>47.76</v>
      </c>
      <c r="GV29" s="221">
        <f t="shared" ca="1" si="110"/>
        <v>50.039000000000001</v>
      </c>
      <c r="GW29" s="163">
        <f t="shared" ca="1" si="101"/>
        <v>2389.8626399999998</v>
      </c>
      <c r="GY29" s="221">
        <f t="shared" ca="1" si="111"/>
        <v>48.27</v>
      </c>
      <c r="GZ29" s="221">
        <f t="shared" ca="1" si="111"/>
        <v>49.93</v>
      </c>
      <c r="HA29" s="163">
        <f t="shared" ca="1" si="102"/>
        <v>2410.1211000000003</v>
      </c>
      <c r="HC29" s="221">
        <f t="shared" ca="1" si="112"/>
        <v>43.35</v>
      </c>
      <c r="HD29" s="221">
        <f t="shared" ca="1" si="112"/>
        <v>49.966000000000001</v>
      </c>
      <c r="HE29" s="163">
        <f t="shared" ca="1" si="103"/>
        <v>2166.0261</v>
      </c>
      <c r="HG29" s="221">
        <f t="shared" ca="1" si="113"/>
        <v>43.27</v>
      </c>
      <c r="HH29" s="221">
        <f t="shared" ca="1" si="113"/>
        <v>49.927</v>
      </c>
      <c r="HI29" s="163">
        <f t="shared" ca="1" si="104"/>
        <v>2160.3412900000003</v>
      </c>
      <c r="HK29" s="221">
        <f t="shared" ca="1" si="114"/>
        <v>42.08</v>
      </c>
      <c r="HL29" s="221">
        <f t="shared" ca="1" si="114"/>
        <v>49.86</v>
      </c>
      <c r="HM29" s="163">
        <f t="shared" ca="1" si="105"/>
        <v>2098.1088</v>
      </c>
      <c r="HO29" s="148">
        <f t="shared" ca="1" si="115"/>
        <v>41.12</v>
      </c>
      <c r="HP29" s="148">
        <f t="shared" ca="1" si="115"/>
        <v>49.457000000000001</v>
      </c>
      <c r="HQ29" s="163">
        <f t="shared" ca="1" si="106"/>
        <v>2033.67184</v>
      </c>
      <c r="HS29" s="148">
        <f t="shared" ca="1" si="116"/>
        <v>42.41</v>
      </c>
      <c r="HT29" s="148">
        <f t="shared" ca="1" si="116"/>
        <v>49.52</v>
      </c>
      <c r="HU29" s="163">
        <f t="shared" ca="1" si="107"/>
        <v>2100.1432</v>
      </c>
      <c r="HX29" s="149">
        <f t="shared" ca="1" si="54"/>
        <v>39</v>
      </c>
    </row>
    <row r="30" spans="2:232" s="137" customFormat="1">
      <c r="B30" s="155">
        <f t="shared" ca="1" si="108"/>
        <v>21</v>
      </c>
      <c r="C30" s="146" t="str">
        <f t="shared" ca="1" si="109"/>
        <v>MDU Resources Group, Inc.</v>
      </c>
      <c r="D30" s="138" t="str">
        <f t="shared" ca="1" si="109"/>
        <v>MDU</v>
      </c>
      <c r="E30" s="138">
        <f t="shared" ca="1" si="109"/>
        <v>4010692</v>
      </c>
      <c r="F30" s="147"/>
      <c r="G30" s="363">
        <f t="shared" ref="G30:H47" ca="1" si="146">OFFSET( INDIRECT( G$6 &amp; G$9 ), $HX30 - 1, G$8 - 1 )</f>
        <v>18.02</v>
      </c>
      <c r="H30" s="363">
        <f t="shared" ca="1" si="146"/>
        <v>203.88800000000001</v>
      </c>
      <c r="I30" s="364">
        <f t="shared" ca="1" si="55"/>
        <v>3674.06176</v>
      </c>
      <c r="J30" s="147"/>
      <c r="K30" s="147"/>
      <c r="L30" s="363">
        <f t="shared" ref="L30:M47" ca="1" si="147">OFFSET( INDIRECT( L$6 &amp; L$9 ), $HX30 - 1, L$8 - 1 )</f>
        <v>27.41</v>
      </c>
      <c r="M30" s="363">
        <f t="shared" ca="1" si="147"/>
        <v>203.88800000000001</v>
      </c>
      <c r="N30" s="364">
        <f t="shared" ca="1" si="56"/>
        <v>5588.5700800000004</v>
      </c>
      <c r="O30" s="147"/>
      <c r="P30" s="147"/>
      <c r="Q30" s="363">
        <f t="shared" ref="Q30:R47" ca="1" si="148">OFFSET( INDIRECT( Q$6 &amp; Q$9 ), $HX30 - 1, Q$8 - 1 )</f>
        <v>25.1</v>
      </c>
      <c r="R30" s="363">
        <f t="shared" ca="1" si="148"/>
        <v>203.779</v>
      </c>
      <c r="S30" s="364">
        <f t="shared" ca="1" si="57"/>
        <v>5114.8528999999999</v>
      </c>
      <c r="T30" s="147"/>
      <c r="U30" s="147"/>
      <c r="V30" s="363">
        <f t="shared" ref="V30:W47" ca="1" si="149">OFFSET( INDIRECT( V$6 &amp; V$9 ), $HX30 - 1, V$8 - 1 )</f>
        <v>25.2</v>
      </c>
      <c r="W30" s="363">
        <f t="shared" ca="1" si="149"/>
        <v>203.7</v>
      </c>
      <c r="X30" s="364">
        <f t="shared" ca="1" si="58"/>
        <v>5133.24</v>
      </c>
      <c r="Y30" s="147"/>
      <c r="Z30" s="147"/>
      <c r="AA30" s="363">
        <f t="shared" ref="AA30:AB47" ca="1" si="150">OFFSET( INDIRECT( AA$6 &amp; AA$9 ), $HX30 - 1, AA$8 - 1 )</f>
        <v>19.8</v>
      </c>
      <c r="AB30" s="363">
        <f t="shared" ca="1" si="150"/>
        <v>203.63800000000001</v>
      </c>
      <c r="AC30" s="364">
        <f t="shared" ca="1" si="59"/>
        <v>4032.0324000000001</v>
      </c>
      <c r="AD30" s="147"/>
      <c r="AE30" s="147"/>
      <c r="AF30" s="363">
        <f t="shared" ref="AF30:AG47" ca="1" si="151">OFFSET( INDIRECT( AF$6 &amp; AF$9 ), $HX30 - 1, AF$8 - 1 )</f>
        <v>19.579999999999998</v>
      </c>
      <c r="AG30" s="363">
        <f t="shared" ca="1" si="151"/>
        <v>203.63499999999999</v>
      </c>
      <c r="AH30" s="364">
        <f t="shared" ca="1" si="60"/>
        <v>3987.1732999999995</v>
      </c>
      <c r="AI30" s="147"/>
      <c r="AJ30" s="147"/>
      <c r="AK30" s="363">
        <f t="shared" ref="AK30:AL47" ca="1" si="152">OFFSET( INDIRECT( AK$6 &amp; AK$9 ), $HX30 - 1, AK$8 - 1 )</f>
        <v>20.94</v>
      </c>
      <c r="AL30" s="363">
        <f t="shared" ca="1" si="152"/>
        <v>203.624</v>
      </c>
      <c r="AM30" s="364">
        <f t="shared" ca="1" si="61"/>
        <v>4263.8865599999999</v>
      </c>
      <c r="AN30" s="147"/>
      <c r="AO30" s="147"/>
      <c r="AP30" s="363">
        <f t="shared" ref="AP30:AQ47" ca="1" si="153">OFFSET( INDIRECT( AP$6 &amp; AP$9 ), $HX30 - 1, AP$8 - 1 )</f>
        <v>30.48</v>
      </c>
      <c r="AQ30" s="363">
        <f t="shared" ca="1" si="153"/>
        <v>203.358</v>
      </c>
      <c r="AR30" s="364">
        <f t="shared" ca="1" si="62"/>
        <v>6198.3518400000003</v>
      </c>
      <c r="AS30" s="147"/>
      <c r="AT30" s="147"/>
      <c r="AU30" s="363">
        <f t="shared" ref="AU30:AV47" ca="1" si="154">OFFSET( INDIRECT( AU$6 &amp; AU$9 ), $HX30 - 1, AU$8 - 1 )</f>
        <v>30.34</v>
      </c>
      <c r="AV30" s="363">
        <f t="shared" ca="1" si="154"/>
        <v>203.351</v>
      </c>
      <c r="AW30" s="364">
        <f t="shared" ca="1" si="63"/>
        <v>6169.6693400000004</v>
      </c>
      <c r="AX30" s="147"/>
      <c r="AY30" s="147"/>
      <c r="AZ30" s="363">
        <f t="shared" ref="AZ30:BA47" ca="1" si="155">OFFSET( INDIRECT( AZ$6 &amp; AZ$9 ), $HX30 - 1, AZ$8 - 1 )</f>
        <v>27.35</v>
      </c>
      <c r="BA30" s="363">
        <f t="shared" ca="1" si="155"/>
        <v>203.351</v>
      </c>
      <c r="BB30" s="364">
        <f t="shared" ca="1" si="64"/>
        <v>5561.6498500000007</v>
      </c>
      <c r="BC30" s="147"/>
      <c r="BD30" s="147"/>
      <c r="BE30" s="363">
        <f t="shared" ref="BE30:BF47" ca="1" si="156">OFFSET( INDIRECT( BE$6 &amp; BE$9 ), $HX30 - 1, BE$8 - 1 )</f>
        <v>26.99</v>
      </c>
      <c r="BF30" s="363">
        <f t="shared" ca="1" si="156"/>
        <v>203.351</v>
      </c>
      <c r="BG30" s="364">
        <f t="shared" ca="1" si="65"/>
        <v>5488.4434899999997</v>
      </c>
      <c r="BH30" s="147"/>
      <c r="BI30" s="147"/>
      <c r="BJ30" s="363">
        <f t="shared" ref="BJ30:BK47" ca="1" si="157">OFFSET( INDIRECT( BJ$6 &amp; BJ$9 ), $HX30 - 1, BJ$8 - 1 )</f>
        <v>26.65</v>
      </c>
      <c r="BK30" s="363">
        <f t="shared" ca="1" si="157"/>
        <v>202.07599999999999</v>
      </c>
      <c r="BL30" s="364">
        <f t="shared" ca="1" si="66"/>
        <v>5385.3253999999997</v>
      </c>
      <c r="BM30" s="147"/>
      <c r="BN30" s="147"/>
      <c r="BO30" s="363">
        <f t="shared" ref="BO30:BP47" ca="1" si="158">OFFSET( INDIRECT( BO$6 &amp; BO$9 ), $HX30 - 1, BO$8 - 1 )</f>
        <v>30.84</v>
      </c>
      <c r="BP30" s="363">
        <f t="shared" ca="1" si="158"/>
        <v>202.863</v>
      </c>
      <c r="BQ30" s="364">
        <f t="shared" ca="1" si="67"/>
        <v>6256.2949200000003</v>
      </c>
      <c r="BR30" s="162"/>
      <c r="BS30" s="363">
        <f t="shared" ref="BS30:BT47" ca="1" si="159">OFFSET( INDIRECT( BS$6 &amp; BS$9 ), $HX30 - 1, BS$8 - 1 )</f>
        <v>29.67</v>
      </c>
      <c r="BT30" s="363">
        <f t="shared" ca="1" si="159"/>
        <v>201.345</v>
      </c>
      <c r="BU30" s="364">
        <f t="shared" ca="1" si="68"/>
        <v>5973.9061500000007</v>
      </c>
      <c r="BV30" s="162"/>
      <c r="BW30" s="363">
        <f t="shared" ref="BW30:BX47" ca="1" si="160">OFFSET( INDIRECT( BW$6 &amp; BW$9 ), $HX30 - 1, BW$8 - 1 )</f>
        <v>31.34</v>
      </c>
      <c r="BX30" s="363">
        <f t="shared" ca="1" si="160"/>
        <v>200.708</v>
      </c>
      <c r="BY30" s="364">
        <f t="shared" ca="1" si="69"/>
        <v>6290.1887200000001</v>
      </c>
      <c r="BZ30" s="162"/>
      <c r="CA30" s="363">
        <f t="shared" ref="CA30:CB47" ca="1" si="161">OFFSET( INDIRECT( CA$6 &amp; CA$9 ), $HX30 - 1, CA$8 - 1 )</f>
        <v>31.61</v>
      </c>
      <c r="CB30" s="363">
        <f t="shared" ca="1" si="161"/>
        <v>200.50200000000001</v>
      </c>
      <c r="CC30" s="364">
        <f t="shared" ca="1" si="70"/>
        <v>6337.8682200000003</v>
      </c>
      <c r="CD30" s="162"/>
      <c r="CE30" s="363">
        <f t="shared" ref="CE30:CF47" ca="1" si="162">OFFSET( INDIRECT( CE$6 &amp; CE$9 ), $HX30 - 1, CE$8 - 1 )</f>
        <v>26.34</v>
      </c>
      <c r="CF30" s="363">
        <f t="shared" ca="1" si="162"/>
        <v>200.52199999999999</v>
      </c>
      <c r="CG30" s="364">
        <f t="shared" ca="1" si="71"/>
        <v>5281.7494799999995</v>
      </c>
      <c r="CH30" s="162"/>
      <c r="CI30" s="363">
        <f t="shared" ca="1" si="117"/>
        <v>22.5</v>
      </c>
      <c r="CJ30" s="363">
        <f t="shared" ca="1" si="117"/>
        <v>200.52199999999999</v>
      </c>
      <c r="CK30" s="364">
        <f t="shared" ca="1" si="72"/>
        <v>4511.7449999999999</v>
      </c>
      <c r="CL30" s="162"/>
      <c r="CM30" s="363">
        <f t="shared" ca="1" si="118"/>
        <v>22.18</v>
      </c>
      <c r="CN30" s="363">
        <f t="shared" ca="1" si="118"/>
        <v>200.44</v>
      </c>
      <c r="CO30" s="364">
        <f t="shared" ca="1" si="73"/>
        <v>4445.7591999999995</v>
      </c>
      <c r="CP30" s="162"/>
      <c r="CQ30" s="221">
        <f t="shared" ca="1" si="119"/>
        <v>21.5</v>
      </c>
      <c r="CR30" s="221">
        <f t="shared" ca="1" si="119"/>
        <v>198.61199999999999</v>
      </c>
      <c r="CS30" s="163">
        <f t="shared" ca="1" si="74"/>
        <v>4270.1579999999994</v>
      </c>
      <c r="CT30" s="162"/>
      <c r="CU30" s="221">
        <f t="shared" ca="1" si="120"/>
        <v>29.71</v>
      </c>
      <c r="CV30" s="221">
        <f t="shared" ca="1" si="120"/>
        <v>199.34299999999999</v>
      </c>
      <c r="CW30" s="163">
        <f t="shared" ca="1" si="75"/>
        <v>5922.4805299999998</v>
      </c>
      <c r="CX30" s="162"/>
      <c r="CY30" s="221">
        <f t="shared" ca="1" si="121"/>
        <v>28.19</v>
      </c>
      <c r="CZ30" s="221">
        <f t="shared" ca="1" si="121"/>
        <v>198.27</v>
      </c>
      <c r="DA30" s="163">
        <f t="shared" ca="1" si="76"/>
        <v>5589.2313000000004</v>
      </c>
      <c r="DB30" s="162"/>
      <c r="DC30" s="221">
        <f t="shared" ca="1" si="122"/>
        <v>25.8</v>
      </c>
      <c r="DD30" s="221">
        <f t="shared" ca="1" si="122"/>
        <v>196.40100000000001</v>
      </c>
      <c r="DE30" s="163">
        <f t="shared" ca="1" si="77"/>
        <v>5067.1458000000002</v>
      </c>
      <c r="DF30" s="162"/>
      <c r="DG30" s="221">
        <f t="shared" ca="1" si="123"/>
        <v>25.83</v>
      </c>
      <c r="DH30" s="221">
        <f t="shared" ca="1" si="123"/>
        <v>195.72</v>
      </c>
      <c r="DI30" s="163">
        <f t="shared" ca="1" si="78"/>
        <v>5055.4475999999995</v>
      </c>
      <c r="DJ30" s="162"/>
      <c r="DK30" s="221">
        <f t="shared" ca="1" si="124"/>
        <v>23.84</v>
      </c>
      <c r="DL30" s="221">
        <f t="shared" ca="1" si="124"/>
        <v>196.018</v>
      </c>
      <c r="DM30" s="163">
        <f t="shared" ca="1" si="79"/>
        <v>4673.0691200000001</v>
      </c>
      <c r="DN30" s="162"/>
      <c r="DO30" s="221">
        <f t="shared" ca="1" si="125"/>
        <v>25.69</v>
      </c>
      <c r="DP30" s="221">
        <f t="shared" ca="1" si="125"/>
        <v>195.524</v>
      </c>
      <c r="DQ30" s="163">
        <f t="shared" ca="1" si="80"/>
        <v>5023.0115599999999</v>
      </c>
      <c r="DR30" s="162"/>
      <c r="DS30" s="221">
        <f t="shared" ca="1" si="126"/>
        <v>28.68</v>
      </c>
      <c r="DT30" s="221">
        <f t="shared" ca="1" si="126"/>
        <v>195.304</v>
      </c>
      <c r="DU30" s="163">
        <f t="shared" ca="1" si="81"/>
        <v>5601.3187200000002</v>
      </c>
      <c r="DV30" s="162"/>
      <c r="DW30" s="221">
        <f t="shared" ca="1" si="127"/>
        <v>28.16</v>
      </c>
      <c r="DX30" s="221">
        <f t="shared" ca="1" si="127"/>
        <v>195.304</v>
      </c>
      <c r="DY30" s="163">
        <f t="shared" ca="1" si="82"/>
        <v>5499.7606400000004</v>
      </c>
      <c r="DZ30" s="162"/>
      <c r="EA30" s="221">
        <f t="shared" ca="1" si="128"/>
        <v>26.88</v>
      </c>
      <c r="EB30" s="221">
        <f t="shared" ca="1" si="128"/>
        <v>195.304</v>
      </c>
      <c r="EC30" s="163">
        <f t="shared" ca="1" si="83"/>
        <v>5249.7715200000002</v>
      </c>
      <c r="ED30" s="162"/>
      <c r="EE30" s="221">
        <f t="shared" ca="1" si="129"/>
        <v>25.95</v>
      </c>
      <c r="EF30" s="221">
        <f t="shared" ca="1" si="129"/>
        <v>195.304</v>
      </c>
      <c r="EG30" s="163">
        <f t="shared" ca="1" si="84"/>
        <v>5068.1387999999997</v>
      </c>
      <c r="EH30" s="162"/>
      <c r="EI30" s="221">
        <f t="shared" ca="1" si="130"/>
        <v>26.2</v>
      </c>
      <c r="EJ30" s="221">
        <f t="shared" ca="1" si="130"/>
        <v>195.304</v>
      </c>
      <c r="EK30" s="163">
        <f t="shared" ca="1" si="85"/>
        <v>5116.9647999999997</v>
      </c>
      <c r="EL30" s="162"/>
      <c r="EM30" s="221">
        <f t="shared" ca="1" si="131"/>
        <v>27.37</v>
      </c>
      <c r="EN30" s="221">
        <f t="shared" ca="1" si="131"/>
        <v>195.29900000000001</v>
      </c>
      <c r="EO30" s="163">
        <f t="shared" ca="1" si="86"/>
        <v>5345.3336300000001</v>
      </c>
      <c r="EP30" s="162"/>
      <c r="EQ30" s="221">
        <f t="shared" ca="1" si="132"/>
        <v>28.77</v>
      </c>
      <c r="ER30" s="221">
        <f t="shared" ca="1" si="132"/>
        <v>195.304</v>
      </c>
      <c r="ES30" s="163">
        <f t="shared" ca="1" si="87"/>
        <v>5618.8960799999995</v>
      </c>
      <c r="ET30" s="162"/>
      <c r="EU30" s="221">
        <f t="shared" ca="1" si="133"/>
        <v>25.44</v>
      </c>
      <c r="EV30" s="221">
        <f t="shared" ca="1" si="133"/>
        <v>195.304</v>
      </c>
      <c r="EW30" s="163">
        <f t="shared" ca="1" si="88"/>
        <v>4968.5337600000003</v>
      </c>
      <c r="EX30" s="162"/>
      <c r="EY30" s="221">
        <f t="shared" ca="1" si="134"/>
        <v>24</v>
      </c>
      <c r="EZ30" s="221">
        <f t="shared" ca="1" si="134"/>
        <v>195.28399999999999</v>
      </c>
      <c r="FA30" s="163">
        <f t="shared" ca="1" si="89"/>
        <v>4686.8159999999998</v>
      </c>
      <c r="FB30" s="162"/>
      <c r="FC30" s="221">
        <f t="shared" ca="1" si="135"/>
        <v>19.46</v>
      </c>
      <c r="FD30" s="221">
        <f t="shared" ca="1" si="135"/>
        <v>194.928</v>
      </c>
      <c r="FE30" s="163">
        <f t="shared" ca="1" si="90"/>
        <v>3793.2988800000003</v>
      </c>
      <c r="FF30" s="162"/>
      <c r="FG30" s="221">
        <f t="shared" ca="1" si="136"/>
        <v>18.32</v>
      </c>
      <c r="FH30" s="221">
        <f t="shared" ca="1" si="136"/>
        <v>195.15100000000001</v>
      </c>
      <c r="FI30" s="163">
        <f t="shared" ca="1" si="91"/>
        <v>3575.1663200000003</v>
      </c>
      <c r="FJ30" s="162"/>
      <c r="FK30" s="221">
        <f t="shared" ca="1" si="137"/>
        <v>17.2</v>
      </c>
      <c r="FL30" s="221">
        <f t="shared" ca="1" si="137"/>
        <v>194.80500000000001</v>
      </c>
      <c r="FM30" s="163">
        <f t="shared" ca="1" si="92"/>
        <v>3350.6460000000002</v>
      </c>
      <c r="FN30" s="162"/>
      <c r="FO30" s="221">
        <f t="shared" ca="1" si="138"/>
        <v>19.53</v>
      </c>
      <c r="FP30" s="221">
        <f t="shared" ca="1" si="138"/>
        <v>194.47900000000001</v>
      </c>
      <c r="FQ30" s="163">
        <f t="shared" ca="1" si="93"/>
        <v>3798.1748700000003</v>
      </c>
      <c r="FR30" s="162"/>
      <c r="FS30" s="221">
        <f t="shared" ca="1" si="139"/>
        <v>21.34</v>
      </c>
      <c r="FT30" s="221">
        <f t="shared" ca="1" si="139"/>
        <v>194.136</v>
      </c>
      <c r="FU30" s="163">
        <f t="shared" ca="1" si="94"/>
        <v>4142.8622399999995</v>
      </c>
      <c r="FW30" s="221">
        <f t="shared" ca="1" si="140"/>
        <v>23.5</v>
      </c>
      <c r="FX30" s="221">
        <f t="shared" ca="1" si="140"/>
        <v>193.94900000000001</v>
      </c>
      <c r="FY30" s="163">
        <f t="shared" ca="1" si="95"/>
        <v>4557.8015000000005</v>
      </c>
      <c r="GA30" s="221">
        <f t="shared" ca="1" si="141"/>
        <v>27.81</v>
      </c>
      <c r="GB30" s="221">
        <f t="shared" ca="1" si="141"/>
        <v>192.06</v>
      </c>
      <c r="GC30" s="163">
        <f t="shared" ca="1" si="96"/>
        <v>5341.1885999999995</v>
      </c>
      <c r="GE30" s="221">
        <f t="shared" ca="1" si="142"/>
        <v>35.1</v>
      </c>
      <c r="GF30" s="221">
        <f t="shared" ca="1" si="142"/>
        <v>189.82</v>
      </c>
      <c r="GG30" s="163">
        <f t="shared" ca="1" si="97"/>
        <v>6662.6819999999998</v>
      </c>
      <c r="GI30" s="221">
        <f t="shared" ca="1" si="143"/>
        <v>34.31</v>
      </c>
      <c r="GJ30" s="221">
        <f t="shared" ca="1" si="143"/>
        <v>188.85499999999999</v>
      </c>
      <c r="GK30" s="163">
        <f t="shared" ca="1" si="98"/>
        <v>6479.6150500000003</v>
      </c>
      <c r="GM30" s="221">
        <f t="shared" ca="1" si="144"/>
        <v>30.55</v>
      </c>
      <c r="GN30" s="221">
        <f t="shared" ca="1" si="144"/>
        <v>188.83099999999999</v>
      </c>
      <c r="GO30" s="163">
        <f t="shared" ca="1" si="99"/>
        <v>5768.7870499999999</v>
      </c>
      <c r="GQ30" s="221">
        <f t="shared" ca="1" si="145"/>
        <v>27.97</v>
      </c>
      <c r="GR30" s="221">
        <f t="shared" ca="1" si="145"/>
        <v>188.83099999999999</v>
      </c>
      <c r="GS30" s="163">
        <f t="shared" ca="1" si="100"/>
        <v>5281.6030699999992</v>
      </c>
      <c r="GU30" s="221">
        <f t="shared" ca="1" si="110"/>
        <v>25.91</v>
      </c>
      <c r="GV30" s="221">
        <f t="shared" ca="1" si="110"/>
        <v>188.83099999999999</v>
      </c>
      <c r="GW30" s="163">
        <f t="shared" ca="1" si="101"/>
        <v>4892.61121</v>
      </c>
      <c r="GY30" s="221">
        <f t="shared" ca="1" si="111"/>
        <v>24.99</v>
      </c>
      <c r="GZ30" s="221">
        <f t="shared" ca="1" si="111"/>
        <v>188.82599999999999</v>
      </c>
      <c r="HA30" s="163">
        <f t="shared" ca="1" si="102"/>
        <v>4718.7617399999999</v>
      </c>
      <c r="HC30" s="221">
        <f t="shared" ca="1" si="112"/>
        <v>21.24</v>
      </c>
      <c r="HD30" s="221">
        <f t="shared" ca="1" si="112"/>
        <v>188.83099999999999</v>
      </c>
      <c r="HE30" s="163">
        <f t="shared" ca="1" si="103"/>
        <v>4010.7704399999993</v>
      </c>
      <c r="HG30" s="221">
        <f t="shared" ca="1" si="113"/>
        <v>22.04</v>
      </c>
      <c r="HH30" s="221">
        <f t="shared" ca="1" si="113"/>
        <v>188.83099999999999</v>
      </c>
      <c r="HI30" s="163">
        <f t="shared" ca="1" si="104"/>
        <v>4161.8352399999994</v>
      </c>
      <c r="HK30" s="221">
        <f t="shared" ca="1" si="114"/>
        <v>21.61</v>
      </c>
      <c r="HL30" s="221">
        <f t="shared" ca="1" si="114"/>
        <v>188.81100000000001</v>
      </c>
      <c r="HM30" s="163">
        <f t="shared" ca="1" si="105"/>
        <v>4080.2057100000002</v>
      </c>
      <c r="HO30" s="148">
        <f t="shared" ca="1" si="115"/>
        <v>22.39</v>
      </c>
      <c r="HP30" s="148">
        <f t="shared" ca="1" si="115"/>
        <v>188.76300000000001</v>
      </c>
      <c r="HQ30" s="163">
        <f t="shared" ca="1" si="106"/>
        <v>4226.4035700000004</v>
      </c>
      <c r="HS30" s="148">
        <f t="shared" ca="1" si="116"/>
        <v>21.46</v>
      </c>
      <c r="HT30" s="148">
        <f t="shared" ca="1" si="116"/>
        <v>188.79400000000001</v>
      </c>
      <c r="HU30" s="163">
        <f t="shared" ca="1" si="107"/>
        <v>4051.5192400000005</v>
      </c>
      <c r="HX30" s="149">
        <f t="shared" ca="1" si="54"/>
        <v>112</v>
      </c>
    </row>
    <row r="31" spans="2:232" s="137" customFormat="1">
      <c r="B31" s="155">
        <f t="shared" ca="1" si="108"/>
        <v>22</v>
      </c>
      <c r="C31" s="146" t="str">
        <f t="shared" ca="1" si="109"/>
        <v>MGE Energy, Inc.</v>
      </c>
      <c r="D31" s="138" t="str">
        <f t="shared" ca="1" si="109"/>
        <v>MGEE</v>
      </c>
      <c r="E31" s="138">
        <f t="shared" ca="1" si="109"/>
        <v>4072883</v>
      </c>
      <c r="F31" s="147"/>
      <c r="G31" s="363">
        <f t="shared" ca="1" si="146"/>
        <v>93.96</v>
      </c>
      <c r="H31" s="363">
        <f t="shared" ca="1" si="146"/>
        <v>36.180999999999997</v>
      </c>
      <c r="I31" s="364">
        <f t="shared" ca="1" si="55"/>
        <v>3399.5667599999997</v>
      </c>
      <c r="J31" s="147"/>
      <c r="K31" s="147"/>
      <c r="L31" s="363">
        <f t="shared" ca="1" si="147"/>
        <v>91.45</v>
      </c>
      <c r="M31" s="363">
        <f t="shared" ca="1" si="147"/>
        <v>36.176000000000002</v>
      </c>
      <c r="N31" s="364">
        <f t="shared" ca="1" si="56"/>
        <v>3308.2952000000005</v>
      </c>
      <c r="O31" s="147"/>
      <c r="P31" s="147"/>
      <c r="Q31" s="363">
        <f t="shared" ca="1" si="148"/>
        <v>74.72</v>
      </c>
      <c r="R31" s="363">
        <f t="shared" ca="1" si="148"/>
        <v>36.170999999999999</v>
      </c>
      <c r="S31" s="364">
        <f t="shared" ca="1" si="57"/>
        <v>2702.6971199999998</v>
      </c>
      <c r="T31" s="147"/>
      <c r="U31" s="147"/>
      <c r="V31" s="363">
        <f t="shared" ca="1" si="149"/>
        <v>78.72</v>
      </c>
      <c r="W31" s="363">
        <f t="shared" ca="1" si="149"/>
        <v>36.162999999999997</v>
      </c>
      <c r="X31" s="364">
        <f t="shared" ca="1" si="58"/>
        <v>2846.7513599999997</v>
      </c>
      <c r="Y31" s="147"/>
      <c r="Z31" s="147"/>
      <c r="AA31" s="363">
        <f t="shared" ca="1" si="150"/>
        <v>72.31</v>
      </c>
      <c r="AB31" s="363">
        <f t="shared" ca="1" si="150"/>
        <v>36.162999999999997</v>
      </c>
      <c r="AC31" s="364">
        <f t="shared" ca="1" si="59"/>
        <v>2614.9465299999997</v>
      </c>
      <c r="AD31" s="147"/>
      <c r="AE31" s="147"/>
      <c r="AF31" s="363">
        <f t="shared" ca="1" si="151"/>
        <v>68.510000000000005</v>
      </c>
      <c r="AG31" s="363">
        <f t="shared" ca="1" si="151"/>
        <v>36.162999999999997</v>
      </c>
      <c r="AH31" s="364">
        <f t="shared" ca="1" si="60"/>
        <v>2477.5271299999999</v>
      </c>
      <c r="AI31" s="147"/>
      <c r="AJ31" s="147"/>
      <c r="AK31" s="363">
        <f t="shared" ca="1" si="152"/>
        <v>79.11</v>
      </c>
      <c r="AL31" s="363">
        <f t="shared" ca="1" si="152"/>
        <v>36.162999999999997</v>
      </c>
      <c r="AM31" s="364">
        <f t="shared" ca="1" si="61"/>
        <v>2860.8549299999995</v>
      </c>
      <c r="AN31" s="147"/>
      <c r="AO31" s="147"/>
      <c r="AP31" s="363">
        <f t="shared" ca="1" si="153"/>
        <v>77.67</v>
      </c>
      <c r="AQ31" s="363">
        <f t="shared" ca="1" si="153"/>
        <v>36.162999999999997</v>
      </c>
      <c r="AR31" s="364">
        <f t="shared" ca="1" si="62"/>
        <v>2808.7802099999999</v>
      </c>
      <c r="AS31" s="147"/>
      <c r="AT31" s="147"/>
      <c r="AU31" s="363">
        <f t="shared" ca="1" si="154"/>
        <v>70.400000000000006</v>
      </c>
      <c r="AV31" s="363">
        <f t="shared" ca="1" si="154"/>
        <v>36.162999999999997</v>
      </c>
      <c r="AW31" s="364">
        <f t="shared" ca="1" si="63"/>
        <v>2545.8751999999999</v>
      </c>
      <c r="AX31" s="147"/>
      <c r="AY31" s="147"/>
      <c r="AZ31" s="363">
        <f t="shared" ca="1" si="155"/>
        <v>65.63</v>
      </c>
      <c r="BA31" s="363">
        <f t="shared" ca="1" si="155"/>
        <v>36.162999999999997</v>
      </c>
      <c r="BB31" s="364">
        <f t="shared" ca="1" si="64"/>
        <v>2373.3776899999998</v>
      </c>
      <c r="BC31" s="147"/>
      <c r="BD31" s="147"/>
      <c r="BE31" s="363">
        <f t="shared" ca="1" si="156"/>
        <v>77.83</v>
      </c>
      <c r="BF31" s="363">
        <f t="shared" ca="1" si="156"/>
        <v>36.162999999999997</v>
      </c>
      <c r="BG31" s="364">
        <f t="shared" ca="1" si="65"/>
        <v>2814.5662899999998</v>
      </c>
      <c r="BH31" s="147"/>
      <c r="BI31" s="147"/>
      <c r="BJ31" s="363">
        <f t="shared" ca="1" si="157"/>
        <v>79.790000000000006</v>
      </c>
      <c r="BK31" s="363">
        <f t="shared" ca="1" si="157"/>
        <v>36.162999999999997</v>
      </c>
      <c r="BL31" s="364">
        <f t="shared" ca="1" si="66"/>
        <v>2885.4457699999998</v>
      </c>
      <c r="BM31" s="147"/>
      <c r="BN31" s="147"/>
      <c r="BO31" s="363">
        <f t="shared" ca="1" si="158"/>
        <v>82.25</v>
      </c>
      <c r="BP31" s="363">
        <f t="shared" ca="1" si="158"/>
        <v>36.162999999999997</v>
      </c>
      <c r="BQ31" s="364">
        <f t="shared" ca="1" si="67"/>
        <v>2974.4067499999996</v>
      </c>
      <c r="BR31" s="162"/>
      <c r="BS31" s="363">
        <f t="shared" ca="1" si="159"/>
        <v>73.5</v>
      </c>
      <c r="BT31" s="363">
        <f t="shared" ca="1" si="159"/>
        <v>36.162999999999997</v>
      </c>
      <c r="BU31" s="364">
        <f t="shared" ca="1" si="68"/>
        <v>2657.9804999999997</v>
      </c>
      <c r="BV31" s="162"/>
      <c r="BW31" s="363">
        <f t="shared" ca="1" si="160"/>
        <v>74.44</v>
      </c>
      <c r="BX31" s="363">
        <f t="shared" ca="1" si="160"/>
        <v>36.162999999999997</v>
      </c>
      <c r="BY31" s="364">
        <f t="shared" ca="1" si="69"/>
        <v>2691.9737199999995</v>
      </c>
      <c r="BZ31" s="162"/>
      <c r="CA31" s="363">
        <f t="shared" ca="1" si="161"/>
        <v>71.39</v>
      </c>
      <c r="CB31" s="363">
        <f t="shared" ca="1" si="161"/>
        <v>35.612000000000002</v>
      </c>
      <c r="CC31" s="364">
        <f t="shared" ca="1" si="70"/>
        <v>2542.3406800000002</v>
      </c>
      <c r="CD31" s="162"/>
      <c r="CE31" s="363">
        <f t="shared" ca="1" si="162"/>
        <v>70.03</v>
      </c>
      <c r="CF31" s="363">
        <f t="shared" ca="1" si="162"/>
        <v>36.162999999999997</v>
      </c>
      <c r="CG31" s="364">
        <f t="shared" ca="1" si="71"/>
        <v>2532.4948899999999</v>
      </c>
      <c r="CH31" s="162"/>
      <c r="CI31" s="363">
        <f t="shared" ca="1" si="117"/>
        <v>62.66</v>
      </c>
      <c r="CJ31" s="363">
        <f t="shared" ca="1" si="117"/>
        <v>35.441000000000003</v>
      </c>
      <c r="CK31" s="364">
        <f t="shared" ca="1" si="72"/>
        <v>2220.73306</v>
      </c>
      <c r="CL31" s="162"/>
      <c r="CM31" s="363">
        <f t="shared" ca="1" si="118"/>
        <v>64.510000000000005</v>
      </c>
      <c r="CN31" s="363">
        <f t="shared" ca="1" si="118"/>
        <v>34.667999999999999</v>
      </c>
      <c r="CO31" s="364">
        <f t="shared" ca="1" si="73"/>
        <v>2236.4326800000003</v>
      </c>
      <c r="CP31" s="162"/>
      <c r="CQ31" s="221">
        <f t="shared" ca="1" si="119"/>
        <v>65.47</v>
      </c>
      <c r="CR31" s="221">
        <f t="shared" ca="1" si="119"/>
        <v>34.667999999999999</v>
      </c>
      <c r="CS31" s="163">
        <f t="shared" ca="1" si="74"/>
        <v>2269.71396</v>
      </c>
      <c r="CT31" s="162"/>
      <c r="CU31" s="221">
        <f t="shared" ca="1" si="120"/>
        <v>78.819999999999993</v>
      </c>
      <c r="CV31" s="221">
        <f t="shared" ca="1" si="120"/>
        <v>34.667999999999999</v>
      </c>
      <c r="CW31" s="163">
        <f t="shared" ca="1" si="75"/>
        <v>2732.5317599999998</v>
      </c>
      <c r="CX31" s="162"/>
      <c r="CY31" s="221">
        <f t="shared" ca="1" si="121"/>
        <v>79.87</v>
      </c>
      <c r="CZ31" s="221">
        <f t="shared" ca="1" si="121"/>
        <v>34.667999999999999</v>
      </c>
      <c r="DA31" s="163">
        <f t="shared" ca="1" si="76"/>
        <v>2768.93316</v>
      </c>
      <c r="DB31" s="162"/>
      <c r="DC31" s="221">
        <f t="shared" ca="1" si="122"/>
        <v>73.08</v>
      </c>
      <c r="DD31" s="221">
        <f t="shared" ca="1" si="122"/>
        <v>34.667999999999999</v>
      </c>
      <c r="DE31" s="163">
        <f t="shared" ca="1" si="77"/>
        <v>2533.5374400000001</v>
      </c>
      <c r="DF31" s="162"/>
      <c r="DG31" s="221">
        <f t="shared" ca="1" si="123"/>
        <v>67.97</v>
      </c>
      <c r="DH31" s="221">
        <f t="shared" ca="1" si="123"/>
        <v>34.667999999999999</v>
      </c>
      <c r="DI31" s="163">
        <f t="shared" ca="1" si="78"/>
        <v>2356.3839600000001</v>
      </c>
      <c r="DJ31" s="162"/>
      <c r="DK31" s="221">
        <f t="shared" ca="1" si="124"/>
        <v>59.96</v>
      </c>
      <c r="DL31" s="221">
        <f t="shared" ca="1" si="124"/>
        <v>34.667999999999999</v>
      </c>
      <c r="DM31" s="163">
        <f t="shared" ca="1" si="79"/>
        <v>2078.69328</v>
      </c>
      <c r="DN31" s="162"/>
      <c r="DO31" s="221">
        <f t="shared" ca="1" si="125"/>
        <v>63.85</v>
      </c>
      <c r="DP31" s="221">
        <f t="shared" ca="1" si="125"/>
        <v>34.667999999999999</v>
      </c>
      <c r="DQ31" s="163">
        <f t="shared" ca="1" si="80"/>
        <v>2213.5518000000002</v>
      </c>
      <c r="DR31" s="162"/>
      <c r="DS31" s="221">
        <f t="shared" ca="1" si="126"/>
        <v>63.05</v>
      </c>
      <c r="DT31" s="221">
        <f t="shared" ca="1" si="126"/>
        <v>34.667999999999999</v>
      </c>
      <c r="DU31" s="163">
        <f t="shared" ca="1" si="81"/>
        <v>2185.8173999999999</v>
      </c>
      <c r="DV31" s="162"/>
      <c r="DW31" s="221">
        <f t="shared" ca="1" si="127"/>
        <v>56.1</v>
      </c>
      <c r="DX31" s="221">
        <f t="shared" ca="1" si="127"/>
        <v>34.667999999999999</v>
      </c>
      <c r="DY31" s="163">
        <f t="shared" ca="1" si="82"/>
        <v>1944.8748000000001</v>
      </c>
      <c r="DZ31" s="162"/>
      <c r="EA31" s="221">
        <f t="shared" ca="1" si="128"/>
        <v>63.1</v>
      </c>
      <c r="EB31" s="221">
        <f t="shared" ca="1" si="128"/>
        <v>34.667999999999999</v>
      </c>
      <c r="EC31" s="163">
        <f t="shared" ca="1" si="83"/>
        <v>2187.5508</v>
      </c>
      <c r="ED31" s="162"/>
      <c r="EE31" s="221">
        <f t="shared" ca="1" si="129"/>
        <v>64.599999999999994</v>
      </c>
      <c r="EF31" s="221">
        <f t="shared" ca="1" si="129"/>
        <v>34.667999999999999</v>
      </c>
      <c r="EG31" s="163">
        <f t="shared" ca="1" si="84"/>
        <v>2239.5527999999999</v>
      </c>
      <c r="EH31" s="162"/>
      <c r="EI31" s="221">
        <f t="shared" ca="1" si="130"/>
        <v>64.349999999999994</v>
      </c>
      <c r="EJ31" s="221">
        <f t="shared" ca="1" si="130"/>
        <v>34.667999999999999</v>
      </c>
      <c r="EK31" s="163">
        <f t="shared" ca="1" si="85"/>
        <v>2230.8857999999996</v>
      </c>
      <c r="EL31" s="162"/>
      <c r="EM31" s="221">
        <f t="shared" ca="1" si="131"/>
        <v>65</v>
      </c>
      <c r="EN31" s="221">
        <f t="shared" ca="1" si="131"/>
        <v>34.667999999999999</v>
      </c>
      <c r="EO31" s="163">
        <f t="shared" ca="1" si="86"/>
        <v>2253.42</v>
      </c>
      <c r="EP31" s="162"/>
      <c r="EQ31" s="221">
        <f t="shared" ca="1" si="132"/>
        <v>65.3</v>
      </c>
      <c r="ER31" s="221">
        <f t="shared" ca="1" si="132"/>
        <v>34.667999999999999</v>
      </c>
      <c r="ES31" s="163">
        <f t="shared" ca="1" si="87"/>
        <v>2263.8204000000001</v>
      </c>
      <c r="ET31" s="162"/>
      <c r="EU31" s="221">
        <f t="shared" ca="1" si="133"/>
        <v>56.51</v>
      </c>
      <c r="EV31" s="221">
        <f t="shared" ca="1" si="133"/>
        <v>34.667999999999999</v>
      </c>
      <c r="EW31" s="163">
        <f t="shared" ca="1" si="88"/>
        <v>1959.0886799999998</v>
      </c>
      <c r="EX31" s="162"/>
      <c r="EY31" s="221">
        <f t="shared" ca="1" si="134"/>
        <v>56.52</v>
      </c>
      <c r="EZ31" s="221">
        <f t="shared" ca="1" si="134"/>
        <v>34.667999999999999</v>
      </c>
      <c r="FA31" s="163">
        <f t="shared" ca="1" si="89"/>
        <v>1959.4353600000002</v>
      </c>
      <c r="FB31" s="162"/>
      <c r="FC31" s="221">
        <f t="shared" ca="1" si="135"/>
        <v>52.25</v>
      </c>
      <c r="FD31" s="221">
        <f t="shared" ca="1" si="135"/>
        <v>34.667999999999999</v>
      </c>
      <c r="FE31" s="163">
        <f t="shared" ca="1" si="90"/>
        <v>1811.403</v>
      </c>
      <c r="FF31" s="162"/>
      <c r="FG31" s="221">
        <f t="shared" ca="1" si="136"/>
        <v>46.4</v>
      </c>
      <c r="FH31" s="221">
        <f t="shared" ca="1" si="136"/>
        <v>34.667999999999999</v>
      </c>
      <c r="FI31" s="163">
        <f t="shared" ca="1" si="91"/>
        <v>1608.5952</v>
      </c>
      <c r="FJ31" s="162"/>
      <c r="FK31" s="221">
        <f t="shared" ca="1" si="137"/>
        <v>41.19</v>
      </c>
      <c r="FL31" s="221">
        <f t="shared" ca="1" si="137"/>
        <v>34.667999999999999</v>
      </c>
      <c r="FM31" s="163">
        <f t="shared" ca="1" si="92"/>
        <v>1427.9749199999999</v>
      </c>
      <c r="FN31" s="162"/>
      <c r="FO31" s="221">
        <f t="shared" ca="1" si="138"/>
        <v>38.729999999999997</v>
      </c>
      <c r="FP31" s="221">
        <f t="shared" ca="1" si="138"/>
        <v>34.667999999999999</v>
      </c>
      <c r="FQ31" s="163">
        <f t="shared" ca="1" si="93"/>
        <v>1342.6916399999998</v>
      </c>
      <c r="FR31" s="162"/>
      <c r="FS31" s="221">
        <f t="shared" ca="1" si="139"/>
        <v>44.32</v>
      </c>
      <c r="FT31" s="221">
        <f t="shared" ca="1" si="139"/>
        <v>34.667999999999999</v>
      </c>
      <c r="FU31" s="163">
        <f t="shared" ca="1" si="94"/>
        <v>1536.48576</v>
      </c>
      <c r="FW31" s="221">
        <f t="shared" ca="1" si="140"/>
        <v>45.61</v>
      </c>
      <c r="FX31" s="221">
        <f t="shared" ca="1" si="140"/>
        <v>34.667999999999999</v>
      </c>
      <c r="FY31" s="163">
        <f t="shared" ca="1" si="95"/>
        <v>1581.20748</v>
      </c>
      <c r="GA31" s="221">
        <f t="shared" ca="1" si="141"/>
        <v>37.26</v>
      </c>
      <c r="GB31" s="221">
        <f t="shared" ca="1" si="141"/>
        <v>34.667999999999999</v>
      </c>
      <c r="GC31" s="163">
        <f t="shared" ca="1" si="96"/>
        <v>1291.7296799999999</v>
      </c>
      <c r="GE31" s="221">
        <f t="shared" ca="1" si="142"/>
        <v>39.51</v>
      </c>
      <c r="GF31" s="221">
        <f t="shared" ca="1" si="142"/>
        <v>34.667999999999999</v>
      </c>
      <c r="GG31" s="163">
        <f t="shared" ca="1" si="97"/>
        <v>1369.7326799999998</v>
      </c>
      <c r="GI31" s="221">
        <f t="shared" ca="1" si="143"/>
        <v>39.229999999999997</v>
      </c>
      <c r="GJ31" s="221">
        <f t="shared" ca="1" si="143"/>
        <v>34.667999999999999</v>
      </c>
      <c r="GK31" s="163">
        <f t="shared" ca="1" si="98"/>
        <v>1360.0256399999998</v>
      </c>
      <c r="GM31" s="221">
        <f t="shared" ca="1" si="144"/>
        <v>38.473333333333336</v>
      </c>
      <c r="GN31" s="221">
        <f t="shared" ca="1" si="144"/>
        <v>34.670999999999999</v>
      </c>
      <c r="GO31" s="163">
        <f t="shared" ca="1" si="99"/>
        <v>1333.90894</v>
      </c>
      <c r="GQ31" s="221">
        <f t="shared" ca="1" si="145"/>
        <v>36.366666666666667</v>
      </c>
      <c r="GR31" s="221">
        <f t="shared" ca="1" si="145"/>
        <v>34.670999999999999</v>
      </c>
      <c r="GS31" s="163">
        <f t="shared" ca="1" si="100"/>
        <v>1260.8687</v>
      </c>
      <c r="GU31" s="221">
        <f t="shared" ca="1" si="110"/>
        <v>36.506666666666668</v>
      </c>
      <c r="GV31" s="221">
        <f t="shared" ca="1" si="110"/>
        <v>34.670999999999999</v>
      </c>
      <c r="GW31" s="163">
        <f t="shared" ca="1" si="101"/>
        <v>1265.72264</v>
      </c>
      <c r="GY31" s="221">
        <f t="shared" ca="1" si="111"/>
        <v>36.96</v>
      </c>
      <c r="GZ31" s="221">
        <f t="shared" ca="1" si="111"/>
        <v>34.670999999999999</v>
      </c>
      <c r="HA31" s="163">
        <f t="shared" ca="1" si="102"/>
        <v>1281.4401600000001</v>
      </c>
      <c r="HC31" s="221">
        <f t="shared" ca="1" si="112"/>
        <v>33.966666666666669</v>
      </c>
      <c r="HD31" s="221">
        <f t="shared" ca="1" si="112"/>
        <v>34.670999999999999</v>
      </c>
      <c r="HE31" s="163">
        <f t="shared" ca="1" si="103"/>
        <v>1177.6583000000001</v>
      </c>
      <c r="HG31" s="221">
        <f t="shared" ca="1" si="113"/>
        <v>35.326666666666668</v>
      </c>
      <c r="HH31" s="221">
        <f t="shared" ca="1" si="113"/>
        <v>34.670999999999999</v>
      </c>
      <c r="HI31" s="163">
        <f t="shared" ca="1" si="104"/>
        <v>1224.81086</v>
      </c>
      <c r="HK31" s="221">
        <f t="shared" ca="1" si="114"/>
        <v>31.533333333333331</v>
      </c>
      <c r="HL31" s="221">
        <f t="shared" ca="1" si="114"/>
        <v>34.670999999999999</v>
      </c>
      <c r="HM31" s="163">
        <f t="shared" ca="1" si="105"/>
        <v>1093.2921999999999</v>
      </c>
      <c r="HO31" s="148">
        <f t="shared" ca="1" si="115"/>
        <v>29.58</v>
      </c>
      <c r="HP31" s="148">
        <f t="shared" ca="1" si="115"/>
        <v>34.670999999999999</v>
      </c>
      <c r="HQ31" s="163">
        <f t="shared" ca="1" si="106"/>
        <v>1025.56818</v>
      </c>
      <c r="HS31" s="148">
        <f t="shared" ca="1" si="116"/>
        <v>31.180000000000003</v>
      </c>
      <c r="HT31" s="148">
        <f t="shared" ca="1" si="116"/>
        <v>34.670999999999999</v>
      </c>
      <c r="HU31" s="163">
        <f t="shared" ca="1" si="107"/>
        <v>1081.04178</v>
      </c>
      <c r="HX31" s="149">
        <f t="shared" ca="1" si="54"/>
        <v>85</v>
      </c>
    </row>
    <row r="32" spans="2:232" s="137" customFormat="1">
      <c r="B32" s="155">
        <f t="shared" ca="1" si="108"/>
        <v>23</v>
      </c>
      <c r="C32" s="146" t="str">
        <f t="shared" ca="1" si="109"/>
        <v>NextEra Energy, Inc.</v>
      </c>
      <c r="D32" s="138" t="str">
        <f t="shared" ca="1" si="109"/>
        <v>NEE</v>
      </c>
      <c r="E32" s="138">
        <f t="shared" ca="1" si="109"/>
        <v>3010401</v>
      </c>
      <c r="F32" s="147"/>
      <c r="G32" s="363">
        <f t="shared" ca="1" si="146"/>
        <v>71.69</v>
      </c>
      <c r="H32" s="363">
        <f t="shared" ca="1" si="146"/>
        <v>2053.5</v>
      </c>
      <c r="I32" s="364">
        <f t="shared" ca="1" si="55"/>
        <v>147215.41500000001</v>
      </c>
      <c r="J32" s="147"/>
      <c r="K32" s="147"/>
      <c r="L32" s="363">
        <f t="shared" ca="1" si="147"/>
        <v>84.53</v>
      </c>
      <c r="M32" s="363">
        <f t="shared" ca="1" si="147"/>
        <v>2052.5</v>
      </c>
      <c r="N32" s="364">
        <f t="shared" ca="1" si="56"/>
        <v>173497.82500000001</v>
      </c>
      <c r="O32" s="147"/>
      <c r="P32" s="147"/>
      <c r="Q32" s="363">
        <f t="shared" ca="1" si="148"/>
        <v>70.81</v>
      </c>
      <c r="R32" s="363">
        <f t="shared" ca="1" si="148"/>
        <v>2051.5</v>
      </c>
      <c r="S32" s="364">
        <f t="shared" ca="1" si="57"/>
        <v>145266.715</v>
      </c>
      <c r="T32" s="147"/>
      <c r="U32" s="147"/>
      <c r="V32" s="363">
        <f t="shared" ca="1" si="149"/>
        <v>63.91</v>
      </c>
      <c r="W32" s="363">
        <f t="shared" ca="1" si="149"/>
        <v>2051</v>
      </c>
      <c r="X32" s="364">
        <f t="shared" ca="1" si="58"/>
        <v>131079.41</v>
      </c>
      <c r="Y32" s="147"/>
      <c r="Z32" s="147"/>
      <c r="AA32" s="363">
        <f t="shared" ca="1" si="150"/>
        <v>60.74</v>
      </c>
      <c r="AB32" s="363">
        <f t="shared" ca="1" si="150"/>
        <v>2031.3</v>
      </c>
      <c r="AC32" s="364">
        <f t="shared" ca="1" si="59"/>
        <v>123381.162</v>
      </c>
      <c r="AD32" s="147"/>
      <c r="AE32" s="147"/>
      <c r="AF32" s="363">
        <f t="shared" ca="1" si="151"/>
        <v>57.29</v>
      </c>
      <c r="AG32" s="363">
        <f t="shared" ca="1" si="151"/>
        <v>2022</v>
      </c>
      <c r="AH32" s="364">
        <f t="shared" ca="1" si="60"/>
        <v>115840.38</v>
      </c>
      <c r="AI32" s="147"/>
      <c r="AJ32" s="147"/>
      <c r="AK32" s="363">
        <f t="shared" ca="1" si="152"/>
        <v>74.2</v>
      </c>
      <c r="AL32" s="363">
        <f t="shared" ca="1" si="152"/>
        <v>1999.9</v>
      </c>
      <c r="AM32" s="364">
        <f t="shared" ca="1" si="61"/>
        <v>148392.58000000002</v>
      </c>
      <c r="AN32" s="147"/>
      <c r="AO32" s="147"/>
      <c r="AP32" s="363">
        <f t="shared" ca="1" si="153"/>
        <v>77.08</v>
      </c>
      <c r="AQ32" s="363">
        <f t="shared" ca="1" si="153"/>
        <v>1972.6</v>
      </c>
      <c r="AR32" s="364">
        <f t="shared" ca="1" si="62"/>
        <v>152048.008</v>
      </c>
      <c r="AS32" s="147"/>
      <c r="AT32" s="147"/>
      <c r="AU32" s="363">
        <f t="shared" ca="1" si="154"/>
        <v>83.6</v>
      </c>
      <c r="AV32" s="363">
        <f t="shared" ca="1" si="154"/>
        <v>1972.5</v>
      </c>
      <c r="AW32" s="364">
        <f t="shared" ca="1" si="63"/>
        <v>164901</v>
      </c>
      <c r="AX32" s="147"/>
      <c r="AY32" s="147"/>
      <c r="AZ32" s="363">
        <f t="shared" ca="1" si="155"/>
        <v>78.41</v>
      </c>
      <c r="BA32" s="363">
        <f t="shared" ca="1" si="155"/>
        <v>1965.2</v>
      </c>
      <c r="BB32" s="364">
        <f t="shared" ca="1" si="64"/>
        <v>154091.33199999999</v>
      </c>
      <c r="BC32" s="147"/>
      <c r="BD32" s="147"/>
      <c r="BE32" s="363">
        <f t="shared" ca="1" si="156"/>
        <v>77.459999999999994</v>
      </c>
      <c r="BF32" s="363">
        <f t="shared" ca="1" si="156"/>
        <v>1964.7</v>
      </c>
      <c r="BG32" s="364">
        <f t="shared" ca="1" si="65"/>
        <v>152185.66199999998</v>
      </c>
      <c r="BH32" s="147"/>
      <c r="BI32" s="147"/>
      <c r="BJ32" s="363">
        <f t="shared" ca="1" si="157"/>
        <v>84.71</v>
      </c>
      <c r="BK32" s="363">
        <f t="shared" ca="1" si="157"/>
        <v>1962.5</v>
      </c>
      <c r="BL32" s="364">
        <f t="shared" ca="1" si="66"/>
        <v>166243.375</v>
      </c>
      <c r="BM32" s="147"/>
      <c r="BN32" s="147"/>
      <c r="BO32" s="363">
        <f t="shared" ca="1" si="158"/>
        <v>93.36</v>
      </c>
      <c r="BP32" s="363">
        <f t="shared" ca="1" si="158"/>
        <v>1962.7</v>
      </c>
      <c r="BQ32" s="364">
        <f t="shared" ca="1" si="67"/>
        <v>183237.67199999999</v>
      </c>
      <c r="BR32" s="162"/>
      <c r="BS32" s="363">
        <f t="shared" ca="1" si="159"/>
        <v>78.52</v>
      </c>
      <c r="BT32" s="363">
        <f t="shared" ca="1" si="159"/>
        <v>1962.4</v>
      </c>
      <c r="BU32" s="364">
        <f t="shared" ca="1" si="68"/>
        <v>154087.64799999999</v>
      </c>
      <c r="BV32" s="162"/>
      <c r="BW32" s="363">
        <f t="shared" ca="1" si="160"/>
        <v>73.28</v>
      </c>
      <c r="BX32" s="363">
        <f t="shared" ca="1" si="160"/>
        <v>1961.6</v>
      </c>
      <c r="BY32" s="364">
        <f t="shared" ca="1" si="69"/>
        <v>143746.04800000001</v>
      </c>
      <c r="BZ32" s="162"/>
      <c r="CA32" s="363">
        <f t="shared" ca="1" si="161"/>
        <v>75.61</v>
      </c>
      <c r="CB32" s="363">
        <f t="shared" ca="1" si="161"/>
        <v>1959</v>
      </c>
      <c r="CC32" s="364">
        <f t="shared" ca="1" si="70"/>
        <v>148119.99</v>
      </c>
      <c r="CD32" s="162"/>
      <c r="CE32" s="363">
        <f t="shared" ca="1" si="162"/>
        <v>77.150000000000006</v>
      </c>
      <c r="CF32" s="363">
        <f t="shared" ca="1" si="162"/>
        <v>1959.6</v>
      </c>
      <c r="CG32" s="364">
        <f t="shared" ca="1" si="71"/>
        <v>151183.14000000001</v>
      </c>
      <c r="CH32" s="162"/>
      <c r="CI32" s="363">
        <f t="shared" ca="1" si="117"/>
        <v>277.56</v>
      </c>
      <c r="CJ32" s="363">
        <f t="shared" ca="1" si="117"/>
        <v>489.7</v>
      </c>
      <c r="CK32" s="364">
        <f t="shared" ca="1" si="72"/>
        <v>135921.13200000001</v>
      </c>
      <c r="CL32" s="162"/>
      <c r="CM32" s="363">
        <f t="shared" ca="1" si="118"/>
        <v>240.17</v>
      </c>
      <c r="CN32" s="363">
        <f t="shared" ca="1" si="118"/>
        <v>489.3</v>
      </c>
      <c r="CO32" s="364">
        <f t="shared" ca="1" si="73"/>
        <v>117515.181</v>
      </c>
      <c r="CP32" s="162"/>
      <c r="CQ32" s="221">
        <f t="shared" ca="1" si="119"/>
        <v>240.62</v>
      </c>
      <c r="CR32" s="221">
        <f t="shared" ca="1" si="119"/>
        <v>482</v>
      </c>
      <c r="CS32" s="163">
        <f t="shared" ca="1" si="74"/>
        <v>115978.84</v>
      </c>
      <c r="CT32" s="162"/>
      <c r="CU32" s="221">
        <f t="shared" ca="1" si="120"/>
        <v>242.16</v>
      </c>
      <c r="CV32" s="221">
        <f t="shared" ca="1" si="120"/>
        <v>481.9</v>
      </c>
      <c r="CW32" s="163">
        <f t="shared" ca="1" si="75"/>
        <v>116696.90399999999</v>
      </c>
      <c r="CX32" s="162"/>
      <c r="CY32" s="221">
        <f t="shared" ca="1" si="121"/>
        <v>232.99</v>
      </c>
      <c r="CZ32" s="221">
        <f t="shared" ca="1" si="121"/>
        <v>478.9</v>
      </c>
      <c r="DA32" s="163">
        <f t="shared" ca="1" si="76"/>
        <v>111578.91099999999</v>
      </c>
      <c r="DB32" s="162"/>
      <c r="DC32" s="221">
        <f t="shared" ca="1" si="122"/>
        <v>204.86</v>
      </c>
      <c r="DD32" s="221">
        <f t="shared" ca="1" si="122"/>
        <v>478.3</v>
      </c>
      <c r="DE32" s="163">
        <f t="shared" ca="1" si="77"/>
        <v>97984.538000000015</v>
      </c>
      <c r="DF32" s="162"/>
      <c r="DG32" s="221">
        <f t="shared" ca="1" si="123"/>
        <v>193.32</v>
      </c>
      <c r="DH32" s="221">
        <f t="shared" ca="1" si="123"/>
        <v>473.2</v>
      </c>
      <c r="DI32" s="163">
        <f t="shared" ca="1" si="78"/>
        <v>91479.02399999999</v>
      </c>
      <c r="DJ32" s="162"/>
      <c r="DK32" s="221">
        <f t="shared" ca="1" si="124"/>
        <v>173.82</v>
      </c>
      <c r="DL32" s="221">
        <f t="shared" ca="1" si="124"/>
        <v>473.1</v>
      </c>
      <c r="DM32" s="163">
        <f t="shared" ca="1" si="79"/>
        <v>82234.241999999998</v>
      </c>
      <c r="DN32" s="162"/>
      <c r="DO32" s="221">
        <f t="shared" ca="1" si="125"/>
        <v>167.6</v>
      </c>
      <c r="DP32" s="221">
        <f t="shared" ca="1" si="125"/>
        <v>471.1</v>
      </c>
      <c r="DQ32" s="163">
        <f t="shared" ca="1" si="80"/>
        <v>78956.36</v>
      </c>
      <c r="DR32" s="162"/>
      <c r="DS32" s="221">
        <f t="shared" ca="1" si="126"/>
        <v>167.03</v>
      </c>
      <c r="DT32" s="221">
        <f t="shared" ca="1" si="126"/>
        <v>470.7</v>
      </c>
      <c r="DU32" s="163">
        <f t="shared" ca="1" si="81"/>
        <v>78621.020999999993</v>
      </c>
      <c r="DV32" s="162"/>
      <c r="DW32" s="221">
        <f t="shared" ca="1" si="127"/>
        <v>163.33000000000001</v>
      </c>
      <c r="DX32" s="221">
        <f t="shared" ca="1" si="127"/>
        <v>470.3</v>
      </c>
      <c r="DY32" s="163">
        <f t="shared" ca="1" si="82"/>
        <v>76814.099000000002</v>
      </c>
      <c r="DZ32" s="162"/>
      <c r="EA32" s="221">
        <f t="shared" ca="1" si="128"/>
        <v>156.19</v>
      </c>
      <c r="EB32" s="221">
        <f t="shared" ca="1" si="128"/>
        <v>469.4</v>
      </c>
      <c r="EC32" s="163">
        <f t="shared" ca="1" si="83"/>
        <v>73315.585999999996</v>
      </c>
      <c r="ED32" s="162"/>
      <c r="EE32" s="221">
        <f t="shared" ca="1" si="129"/>
        <v>146.55000000000001</v>
      </c>
      <c r="EF32" s="221">
        <f t="shared" ca="1" si="129"/>
        <v>467.9</v>
      </c>
      <c r="EG32" s="163">
        <f t="shared" ca="1" si="84"/>
        <v>68570.744999999995</v>
      </c>
      <c r="EH32" s="162"/>
      <c r="EI32" s="221">
        <f t="shared" ca="1" si="130"/>
        <v>140.13</v>
      </c>
      <c r="EJ32" s="221">
        <f t="shared" ca="1" si="130"/>
        <v>467.5</v>
      </c>
      <c r="EK32" s="163">
        <f t="shared" ca="1" si="85"/>
        <v>65510.775000000001</v>
      </c>
      <c r="EL32" s="162"/>
      <c r="EM32" s="221">
        <f t="shared" ca="1" si="131"/>
        <v>128.37</v>
      </c>
      <c r="EN32" s="221">
        <f t="shared" ca="1" si="131"/>
        <v>463.1</v>
      </c>
      <c r="EO32" s="163">
        <f t="shared" ca="1" si="86"/>
        <v>59448.147000000004</v>
      </c>
      <c r="EP32" s="162"/>
      <c r="EQ32" s="221">
        <f t="shared" ca="1" si="132"/>
        <v>119.46</v>
      </c>
      <c r="ER32" s="221">
        <f t="shared" ca="1" si="132"/>
        <v>463.3</v>
      </c>
      <c r="ES32" s="163">
        <f t="shared" ca="1" si="87"/>
        <v>55345.817999999999</v>
      </c>
      <c r="ET32" s="162"/>
      <c r="EU32" s="221">
        <f t="shared" ca="1" si="133"/>
        <v>122.32</v>
      </c>
      <c r="EV32" s="221">
        <f t="shared" ca="1" si="133"/>
        <v>461.3</v>
      </c>
      <c r="EW32" s="163">
        <f t="shared" ca="1" si="88"/>
        <v>56426.216</v>
      </c>
      <c r="EX32" s="162"/>
      <c r="EY32" s="221">
        <f t="shared" ca="1" si="134"/>
        <v>130.4</v>
      </c>
      <c r="EZ32" s="221">
        <f t="shared" ca="1" si="134"/>
        <v>460.5</v>
      </c>
      <c r="FA32" s="163">
        <f t="shared" ca="1" si="89"/>
        <v>60049.200000000004</v>
      </c>
      <c r="FB32" s="162"/>
      <c r="FC32" s="221">
        <f t="shared" ca="1" si="135"/>
        <v>118.34</v>
      </c>
      <c r="FD32" s="221">
        <f t="shared" ca="1" si="135"/>
        <v>450.5</v>
      </c>
      <c r="FE32" s="163">
        <f t="shared" ca="1" si="90"/>
        <v>53312.17</v>
      </c>
      <c r="FF32" s="162"/>
      <c r="FG32" s="221">
        <f t="shared" ca="1" si="136"/>
        <v>103.89</v>
      </c>
      <c r="FH32" s="221">
        <f t="shared" ca="1" si="136"/>
        <v>454.1</v>
      </c>
      <c r="FI32" s="163">
        <f t="shared" ca="1" si="91"/>
        <v>47176.449000000001</v>
      </c>
      <c r="FJ32" s="162"/>
      <c r="FK32" s="221">
        <f t="shared" ca="1" si="137"/>
        <v>97.55</v>
      </c>
      <c r="FL32" s="221">
        <f t="shared" ca="1" si="137"/>
        <v>445.5</v>
      </c>
      <c r="FM32" s="163">
        <f t="shared" ca="1" si="92"/>
        <v>43458.525000000001</v>
      </c>
      <c r="FN32" s="162"/>
      <c r="FO32" s="221">
        <f t="shared" ca="1" si="138"/>
        <v>98.03</v>
      </c>
      <c r="FP32" s="221">
        <f t="shared" ca="1" si="138"/>
        <v>442.3</v>
      </c>
      <c r="FQ32" s="163">
        <f t="shared" ca="1" si="93"/>
        <v>43358.669000000002</v>
      </c>
      <c r="FR32" s="162"/>
      <c r="FS32" s="221">
        <f t="shared" ca="1" si="139"/>
        <v>104.05</v>
      </c>
      <c r="FT32" s="221">
        <f t="shared" ca="1" si="139"/>
        <v>435.6</v>
      </c>
      <c r="FU32" s="163">
        <f t="shared" ca="1" si="94"/>
        <v>45324.18</v>
      </c>
      <c r="FW32" s="221">
        <f t="shared" ca="1" si="140"/>
        <v>106.29</v>
      </c>
      <c r="FX32" s="221">
        <f t="shared" ca="1" si="140"/>
        <v>434.5</v>
      </c>
      <c r="FY32" s="163">
        <f t="shared" ca="1" si="95"/>
        <v>46183.005000000005</v>
      </c>
      <c r="GA32" s="221">
        <f t="shared" ca="1" si="141"/>
        <v>93.88</v>
      </c>
      <c r="GB32" s="221">
        <f t="shared" ca="1" si="141"/>
        <v>434.1</v>
      </c>
      <c r="GC32" s="163">
        <f t="shared" ca="1" si="96"/>
        <v>40753.307999999997</v>
      </c>
      <c r="GE32" s="221">
        <f t="shared" ca="1" si="142"/>
        <v>102.48</v>
      </c>
      <c r="GF32" s="221">
        <f t="shared" ca="1" si="142"/>
        <v>433.5</v>
      </c>
      <c r="GG32" s="163">
        <f t="shared" ca="1" si="97"/>
        <v>44425.08</v>
      </c>
      <c r="GI32" s="221">
        <f t="shared" ca="1" si="143"/>
        <v>95.62</v>
      </c>
      <c r="GJ32" s="221">
        <f t="shared" ca="1" si="143"/>
        <v>424.2</v>
      </c>
      <c r="GK32" s="163">
        <f t="shared" ca="1" si="98"/>
        <v>40562.004000000001</v>
      </c>
      <c r="GM32" s="221">
        <f t="shared" ca="1" si="144"/>
        <v>85.62</v>
      </c>
      <c r="GN32" s="221">
        <f t="shared" ca="1" si="144"/>
        <v>423.8</v>
      </c>
      <c r="GO32" s="163">
        <f t="shared" ca="1" si="99"/>
        <v>36285.756000000001</v>
      </c>
      <c r="GQ32" s="221">
        <f t="shared" ca="1" si="145"/>
        <v>80.16</v>
      </c>
      <c r="GR32" s="221">
        <f t="shared" ca="1" si="145"/>
        <v>421.8</v>
      </c>
      <c r="GS32" s="163">
        <f t="shared" ca="1" si="100"/>
        <v>33811.487999999998</v>
      </c>
      <c r="GU32" s="221">
        <f t="shared" ca="1" si="110"/>
        <v>81.48</v>
      </c>
      <c r="GV32" s="221">
        <f t="shared" ca="1" si="110"/>
        <v>421</v>
      </c>
      <c r="GW32" s="163">
        <f t="shared" ca="1" si="101"/>
        <v>34303.08</v>
      </c>
      <c r="GY32" s="221">
        <f t="shared" ca="1" si="111"/>
        <v>77.680000000000007</v>
      </c>
      <c r="GZ32" s="221">
        <f t="shared" ca="1" si="111"/>
        <v>416.7</v>
      </c>
      <c r="HA32" s="163">
        <f t="shared" ca="1" si="102"/>
        <v>32369.256000000001</v>
      </c>
      <c r="HC32" s="221">
        <f t="shared" ca="1" si="112"/>
        <v>69.19</v>
      </c>
      <c r="HD32" s="221">
        <f t="shared" ca="1" si="112"/>
        <v>419.3</v>
      </c>
      <c r="HE32" s="163">
        <f t="shared" ca="1" si="103"/>
        <v>29011.366999999998</v>
      </c>
      <c r="HG32" s="221">
        <f t="shared" ca="1" si="113"/>
        <v>70.33</v>
      </c>
      <c r="HH32" s="221">
        <f t="shared" ca="1" si="113"/>
        <v>415</v>
      </c>
      <c r="HI32" s="163">
        <f t="shared" ca="1" si="104"/>
        <v>29186.95</v>
      </c>
      <c r="HK32" s="221">
        <f t="shared" ca="1" si="114"/>
        <v>68.81</v>
      </c>
      <c r="HL32" s="221">
        <f t="shared" ca="1" si="114"/>
        <v>412.3</v>
      </c>
      <c r="HM32" s="163">
        <f t="shared" ca="1" si="105"/>
        <v>28370.363000000001</v>
      </c>
      <c r="HO32" s="148">
        <f t="shared" ca="1" si="115"/>
        <v>61.08</v>
      </c>
      <c r="HP32" s="148">
        <f t="shared" ca="1" si="115"/>
        <v>416.6</v>
      </c>
      <c r="HQ32" s="163">
        <f t="shared" ca="1" si="106"/>
        <v>25445.928</v>
      </c>
      <c r="HS32" s="148">
        <f t="shared" ca="1" si="116"/>
        <v>60.88</v>
      </c>
      <c r="HT32" s="148">
        <f t="shared" ca="1" si="116"/>
        <v>417.4</v>
      </c>
      <c r="HU32" s="163">
        <f t="shared" ca="1" si="107"/>
        <v>25411.311999999998</v>
      </c>
      <c r="HX32" s="149">
        <f t="shared" ca="1" si="54"/>
        <v>32</v>
      </c>
    </row>
    <row r="33" spans="2:232" s="137" customFormat="1">
      <c r="B33" s="155">
        <f t="shared" ca="1" si="108"/>
        <v>24</v>
      </c>
      <c r="C33" s="146" t="str">
        <f t="shared" ca="1" si="109"/>
        <v>NiSource Inc.</v>
      </c>
      <c r="D33" s="138" t="str">
        <f t="shared" ca="1" si="109"/>
        <v>NI</v>
      </c>
      <c r="E33" s="138">
        <f t="shared" ca="1" si="109"/>
        <v>4057051</v>
      </c>
      <c r="F33" s="147"/>
      <c r="G33" s="363">
        <f t="shared" ca="1" si="146"/>
        <v>36.76</v>
      </c>
      <c r="H33" s="363">
        <f t="shared" ca="1" si="146"/>
        <v>451.9</v>
      </c>
      <c r="I33" s="364">
        <f t="shared" ca="1" si="55"/>
        <v>16611.843999999997</v>
      </c>
      <c r="J33" s="147"/>
      <c r="K33" s="147"/>
      <c r="L33" s="363">
        <f t="shared" ca="1" si="147"/>
        <v>34.65</v>
      </c>
      <c r="M33" s="363">
        <f t="shared" ca="1" si="147"/>
        <v>448.5</v>
      </c>
      <c r="N33" s="364">
        <f t="shared" ca="1" si="56"/>
        <v>15540.525</v>
      </c>
      <c r="O33" s="147"/>
      <c r="P33" s="147"/>
      <c r="Q33" s="363">
        <f t="shared" ca="1" si="148"/>
        <v>28.81</v>
      </c>
      <c r="R33" s="363">
        <f t="shared" ca="1" si="148"/>
        <v>447.9</v>
      </c>
      <c r="S33" s="364">
        <f t="shared" ca="1" si="57"/>
        <v>12903.998999999998</v>
      </c>
      <c r="T33" s="147"/>
      <c r="U33" s="147"/>
      <c r="V33" s="363">
        <f t="shared" ca="1" si="149"/>
        <v>27.66</v>
      </c>
      <c r="W33" s="363">
        <f t="shared" ca="1" si="149"/>
        <v>424.8</v>
      </c>
      <c r="X33" s="364">
        <f t="shared" ca="1" si="58"/>
        <v>11749.968000000001</v>
      </c>
      <c r="Y33" s="147"/>
      <c r="Z33" s="147"/>
      <c r="AA33" s="363">
        <f t="shared" ca="1" si="150"/>
        <v>26.55</v>
      </c>
      <c r="AB33" s="363">
        <f t="shared" ca="1" si="150"/>
        <v>413.5</v>
      </c>
      <c r="AC33" s="364">
        <f t="shared" ca="1" si="59"/>
        <v>10978.425000000001</v>
      </c>
      <c r="AD33" s="147"/>
      <c r="AE33" s="147"/>
      <c r="AF33" s="363">
        <f t="shared" ca="1" si="151"/>
        <v>24.68</v>
      </c>
      <c r="AG33" s="363">
        <f t="shared" ca="1" si="151"/>
        <v>413.3</v>
      </c>
      <c r="AH33" s="364">
        <f t="shared" ca="1" si="60"/>
        <v>10200.244000000001</v>
      </c>
      <c r="AI33" s="147"/>
      <c r="AJ33" s="147"/>
      <c r="AK33" s="363">
        <f t="shared" ca="1" si="152"/>
        <v>27.35</v>
      </c>
      <c r="AL33" s="363">
        <f t="shared" ca="1" si="152"/>
        <v>412.8</v>
      </c>
      <c r="AM33" s="364">
        <f t="shared" ca="1" si="61"/>
        <v>11290.080000000002</v>
      </c>
      <c r="AN33" s="147"/>
      <c r="AO33" s="147"/>
      <c r="AP33" s="363">
        <f t="shared" ca="1" si="153"/>
        <v>27.96</v>
      </c>
      <c r="AQ33" s="363">
        <f t="shared" ca="1" si="153"/>
        <v>407.1</v>
      </c>
      <c r="AR33" s="364">
        <f t="shared" ca="1" si="62"/>
        <v>11382.516000000001</v>
      </c>
      <c r="AS33" s="147"/>
      <c r="AT33" s="147"/>
      <c r="AU33" s="363">
        <f t="shared" ca="1" si="154"/>
        <v>27.42</v>
      </c>
      <c r="AV33" s="363">
        <f t="shared" ca="1" si="154"/>
        <v>406.5</v>
      </c>
      <c r="AW33" s="364">
        <f t="shared" ca="1" si="63"/>
        <v>11146.230000000001</v>
      </c>
      <c r="AX33" s="147"/>
      <c r="AY33" s="147"/>
      <c r="AZ33" s="363">
        <f t="shared" ca="1" si="155"/>
        <v>25.19</v>
      </c>
      <c r="BA33" s="363">
        <f t="shared" ca="1" si="155"/>
        <v>406.4</v>
      </c>
      <c r="BB33" s="364">
        <f t="shared" ca="1" si="64"/>
        <v>10237.216</v>
      </c>
      <c r="BC33" s="147"/>
      <c r="BD33" s="147"/>
      <c r="BE33" s="363">
        <f t="shared" ca="1" si="156"/>
        <v>29.49</v>
      </c>
      <c r="BF33" s="363">
        <f t="shared" ca="1" si="156"/>
        <v>406</v>
      </c>
      <c r="BG33" s="364">
        <f t="shared" ca="1" si="65"/>
        <v>11972.939999999999</v>
      </c>
      <c r="BH33" s="147"/>
      <c r="BI33" s="147"/>
      <c r="BJ33" s="363">
        <f t="shared" ca="1" si="157"/>
        <v>31.8</v>
      </c>
      <c r="BK33" s="363">
        <f t="shared" ca="1" si="157"/>
        <v>393.6</v>
      </c>
      <c r="BL33" s="364">
        <f t="shared" ca="1" si="66"/>
        <v>12516.480000000001</v>
      </c>
      <c r="BM33" s="147"/>
      <c r="BN33" s="147"/>
      <c r="BO33" s="363">
        <f t="shared" ca="1" si="158"/>
        <v>27.61</v>
      </c>
      <c r="BP33" s="363">
        <f t="shared" ca="1" si="158"/>
        <v>393.2</v>
      </c>
      <c r="BQ33" s="364">
        <f t="shared" ca="1" si="67"/>
        <v>10856.251999999999</v>
      </c>
      <c r="BR33" s="162"/>
      <c r="BS33" s="363">
        <f t="shared" ca="1" si="159"/>
        <v>24.23</v>
      </c>
      <c r="BT33" s="363">
        <f t="shared" ca="1" si="159"/>
        <v>393</v>
      </c>
      <c r="BU33" s="364">
        <f t="shared" ca="1" si="68"/>
        <v>9522.39</v>
      </c>
      <c r="BV33" s="162"/>
      <c r="BW33" s="363">
        <f t="shared" ca="1" si="160"/>
        <v>24.5</v>
      </c>
      <c r="BX33" s="363">
        <f t="shared" ca="1" si="160"/>
        <v>392.65699999999998</v>
      </c>
      <c r="BY33" s="364">
        <f t="shared" ca="1" si="69"/>
        <v>9620.0964999999997</v>
      </c>
      <c r="BZ33" s="162"/>
      <c r="CA33" s="363">
        <f t="shared" ca="1" si="161"/>
        <v>24.11</v>
      </c>
      <c r="CB33" s="363">
        <f t="shared" ca="1" si="161"/>
        <v>384.34699999999998</v>
      </c>
      <c r="CC33" s="364">
        <f t="shared" ca="1" si="70"/>
        <v>9266.6061699999991</v>
      </c>
      <c r="CD33" s="162"/>
      <c r="CE33" s="363">
        <f t="shared" ca="1" si="162"/>
        <v>22.94</v>
      </c>
      <c r="CF33" s="363">
        <f t="shared" ca="1" si="162"/>
        <v>383.8</v>
      </c>
      <c r="CG33" s="364">
        <f t="shared" ca="1" si="71"/>
        <v>8804.3720000000012</v>
      </c>
      <c r="CH33" s="162"/>
      <c r="CI33" s="363">
        <f t="shared" ca="1" si="117"/>
        <v>22</v>
      </c>
      <c r="CJ33" s="363">
        <f t="shared" ca="1" si="117"/>
        <v>383.5</v>
      </c>
      <c r="CK33" s="364">
        <f t="shared" ca="1" si="72"/>
        <v>8437</v>
      </c>
      <c r="CL33" s="162"/>
      <c r="CM33" s="363">
        <f t="shared" ca="1" si="118"/>
        <v>22.74</v>
      </c>
      <c r="CN33" s="363">
        <f t="shared" ca="1" si="118"/>
        <v>383.06200000000001</v>
      </c>
      <c r="CO33" s="364">
        <f t="shared" ca="1" si="73"/>
        <v>8710.8298799999993</v>
      </c>
      <c r="CP33" s="162"/>
      <c r="CQ33" s="221">
        <f t="shared" ca="1" si="119"/>
        <v>24.97</v>
      </c>
      <c r="CR33" s="221">
        <f t="shared" ca="1" si="119"/>
        <v>374.65</v>
      </c>
      <c r="CS33" s="163">
        <f t="shared" ca="1" si="74"/>
        <v>9355.0104999999985</v>
      </c>
      <c r="CT33" s="162"/>
      <c r="CU33" s="221">
        <f t="shared" ca="1" si="120"/>
        <v>27.84</v>
      </c>
      <c r="CV33" s="221">
        <f t="shared" ca="1" si="120"/>
        <v>374.1</v>
      </c>
      <c r="CW33" s="163">
        <f t="shared" ca="1" si="75"/>
        <v>10414.944000000001</v>
      </c>
      <c r="CX33" s="162"/>
      <c r="CY33" s="221">
        <f t="shared" ca="1" si="121"/>
        <v>29.92</v>
      </c>
      <c r="CZ33" s="221">
        <f t="shared" ca="1" si="121"/>
        <v>373.89800000000002</v>
      </c>
      <c r="DA33" s="163">
        <f t="shared" ca="1" si="76"/>
        <v>11187.028160000002</v>
      </c>
      <c r="DB33" s="162"/>
      <c r="DC33" s="221">
        <f t="shared" ca="1" si="122"/>
        <v>28.8</v>
      </c>
      <c r="DD33" s="221">
        <f t="shared" ca="1" si="122"/>
        <v>373.35599999999999</v>
      </c>
      <c r="DE33" s="163">
        <f t="shared" ca="1" si="77"/>
        <v>10752.6528</v>
      </c>
      <c r="DF33" s="162"/>
      <c r="DG33" s="221">
        <f t="shared" ca="1" si="123"/>
        <v>28.66</v>
      </c>
      <c r="DH33" s="221">
        <f t="shared" ca="1" si="123"/>
        <v>356.5</v>
      </c>
      <c r="DI33" s="163">
        <f t="shared" ca="1" si="78"/>
        <v>10217.290000000001</v>
      </c>
      <c r="DJ33" s="162"/>
      <c r="DK33" s="221">
        <f t="shared" ca="1" si="124"/>
        <v>25.35</v>
      </c>
      <c r="DL33" s="221">
        <f t="shared" ca="1" si="124"/>
        <v>363.9</v>
      </c>
      <c r="DM33" s="163">
        <f t="shared" ca="1" si="79"/>
        <v>9224.8649999999998</v>
      </c>
      <c r="DN33" s="162"/>
      <c r="DO33" s="221">
        <f t="shared" ca="1" si="125"/>
        <v>24.92</v>
      </c>
      <c r="DP33" s="221">
        <f t="shared" ca="1" si="125"/>
        <v>354.22899999999998</v>
      </c>
      <c r="DQ33" s="163">
        <f t="shared" ca="1" si="80"/>
        <v>8827.3866799999996</v>
      </c>
      <c r="DR33" s="162"/>
      <c r="DS33" s="221">
        <f t="shared" ca="1" si="126"/>
        <v>26.28</v>
      </c>
      <c r="DT33" s="221">
        <f t="shared" ca="1" si="126"/>
        <v>338.012</v>
      </c>
      <c r="DU33" s="163">
        <f t="shared" ca="1" si="81"/>
        <v>8882.9553599999999</v>
      </c>
      <c r="DV33" s="162"/>
      <c r="DW33" s="221">
        <f t="shared" ca="1" si="127"/>
        <v>23.91</v>
      </c>
      <c r="DX33" s="221">
        <f t="shared" ca="1" si="127"/>
        <v>337.5</v>
      </c>
      <c r="DY33" s="163">
        <f t="shared" ca="1" si="82"/>
        <v>8069.625</v>
      </c>
      <c r="DZ33" s="162"/>
      <c r="EA33" s="221">
        <f t="shared" ca="1" si="128"/>
        <v>25.67</v>
      </c>
      <c r="EB33" s="221">
        <f t="shared" ca="1" si="128"/>
        <v>331.13900000000001</v>
      </c>
      <c r="EC33" s="163">
        <f t="shared" ca="1" si="83"/>
        <v>8500.3381300000001</v>
      </c>
      <c r="ED33" s="162"/>
      <c r="EE33" s="221">
        <f t="shared" ca="1" si="129"/>
        <v>25.59</v>
      </c>
      <c r="EF33" s="221">
        <f t="shared" ca="1" si="129"/>
        <v>325.10000000000002</v>
      </c>
      <c r="EG33" s="163">
        <f t="shared" ca="1" si="84"/>
        <v>8319.3090000000011</v>
      </c>
      <c r="EH33" s="162"/>
      <c r="EI33" s="221">
        <f t="shared" ca="1" si="130"/>
        <v>25.36</v>
      </c>
      <c r="EJ33" s="221">
        <f t="shared" ca="1" si="130"/>
        <v>323.68099999999998</v>
      </c>
      <c r="EK33" s="163">
        <f t="shared" ca="1" si="85"/>
        <v>8208.5501599999989</v>
      </c>
      <c r="EL33" s="162"/>
      <c r="EM33" s="221">
        <f t="shared" ca="1" si="131"/>
        <v>23.79</v>
      </c>
      <c r="EN33" s="221">
        <f t="shared" ca="1" si="131"/>
        <v>321.80500000000001</v>
      </c>
      <c r="EO33" s="163">
        <f t="shared" ca="1" si="86"/>
        <v>7655.7409500000003</v>
      </c>
      <c r="EP33" s="162"/>
      <c r="EQ33" s="221">
        <f t="shared" ca="1" si="132"/>
        <v>22.14</v>
      </c>
      <c r="ER33" s="221">
        <f t="shared" ca="1" si="132"/>
        <v>322.31799999999998</v>
      </c>
      <c r="ES33" s="163">
        <f t="shared" ca="1" si="87"/>
        <v>7136.1205199999995</v>
      </c>
      <c r="ET33" s="162"/>
      <c r="EU33" s="221">
        <f t="shared" ca="1" si="133"/>
        <v>24.11</v>
      </c>
      <c r="EV33" s="221">
        <f t="shared" ca="1" si="133"/>
        <v>321.72500000000002</v>
      </c>
      <c r="EW33" s="163">
        <f t="shared" ca="1" si="88"/>
        <v>7756.7897499999999</v>
      </c>
      <c r="EX33" s="162"/>
      <c r="EY33" s="221">
        <f t="shared" ca="1" si="134"/>
        <v>26.52</v>
      </c>
      <c r="EZ33" s="221">
        <f t="shared" ca="1" si="134"/>
        <v>320.28100000000001</v>
      </c>
      <c r="FA33" s="163">
        <f t="shared" ca="1" si="89"/>
        <v>8493.8521199999996</v>
      </c>
      <c r="FB33" s="162"/>
      <c r="FC33" s="221">
        <f t="shared" ca="1" si="135"/>
        <v>23.56</v>
      </c>
      <c r="FD33" s="221">
        <f t="shared" ca="1" si="135"/>
        <v>317.74599999999998</v>
      </c>
      <c r="FE33" s="163">
        <f t="shared" ca="1" si="90"/>
        <v>7486.0957599999992</v>
      </c>
      <c r="FF33" s="162"/>
      <c r="FG33" s="221">
        <f t="shared" ca="1" si="136"/>
        <v>19.510000000000002</v>
      </c>
      <c r="FH33" s="221">
        <f t="shared" ca="1" si="136"/>
        <v>318.08999999999997</v>
      </c>
      <c r="FI33" s="163">
        <f t="shared" ca="1" si="91"/>
        <v>6205.9359000000004</v>
      </c>
      <c r="FJ33" s="162"/>
      <c r="FK33" s="221">
        <f t="shared" ca="1" si="137"/>
        <v>18.55</v>
      </c>
      <c r="FL33" s="221">
        <f t="shared" ca="1" si="137"/>
        <v>317.5</v>
      </c>
      <c r="FM33" s="163">
        <f t="shared" ca="1" si="92"/>
        <v>5889.625</v>
      </c>
      <c r="FN33" s="162"/>
      <c r="FO33" s="221">
        <f t="shared" ca="1" si="138"/>
        <v>45.59</v>
      </c>
      <c r="FP33" s="221">
        <f t="shared" ca="1" si="138"/>
        <v>316.58699999999999</v>
      </c>
      <c r="FQ33" s="163">
        <f t="shared" ca="1" si="93"/>
        <v>14433.20133</v>
      </c>
      <c r="FR33" s="162"/>
      <c r="FS33" s="221">
        <f t="shared" ca="1" si="139"/>
        <v>44.16</v>
      </c>
      <c r="FT33" s="221">
        <f t="shared" ca="1" si="139"/>
        <v>315.8</v>
      </c>
      <c r="FU33" s="163">
        <f t="shared" ca="1" si="94"/>
        <v>13945.727999999999</v>
      </c>
      <c r="FW33" s="221">
        <f t="shared" ca="1" si="140"/>
        <v>42.42</v>
      </c>
      <c r="FX33" s="221">
        <f t="shared" ca="1" si="140"/>
        <v>315.41800000000001</v>
      </c>
      <c r="FY33" s="163">
        <f t="shared" ca="1" si="95"/>
        <v>13380.031560000001</v>
      </c>
      <c r="GA33" s="221">
        <f t="shared" ca="1" si="141"/>
        <v>40.98</v>
      </c>
      <c r="GB33" s="221">
        <f t="shared" ca="1" si="141"/>
        <v>315.01299999999998</v>
      </c>
      <c r="GC33" s="163">
        <f t="shared" ca="1" si="96"/>
        <v>12909.232739999998</v>
      </c>
      <c r="GE33" s="221">
        <f t="shared" ca="1" si="142"/>
        <v>39.340000000000003</v>
      </c>
      <c r="GF33" s="221">
        <f t="shared" ca="1" si="142"/>
        <v>314.22199999999998</v>
      </c>
      <c r="GG33" s="163">
        <f t="shared" ca="1" si="97"/>
        <v>12361.493480000001</v>
      </c>
      <c r="GI33" s="221">
        <f t="shared" ca="1" si="143"/>
        <v>35.53</v>
      </c>
      <c r="GJ33" s="221">
        <f t="shared" ca="1" si="143"/>
        <v>312.40199999999999</v>
      </c>
      <c r="GK33" s="163">
        <f t="shared" ca="1" si="98"/>
        <v>11099.64306</v>
      </c>
      <c r="GM33" s="221">
        <f t="shared" ca="1" si="144"/>
        <v>32.880000000000003</v>
      </c>
      <c r="GN33" s="221">
        <f t="shared" ca="1" si="144"/>
        <v>312.84199999999998</v>
      </c>
      <c r="GO33" s="163">
        <f t="shared" ca="1" si="99"/>
        <v>10286.24496</v>
      </c>
      <c r="GQ33" s="221">
        <f t="shared" ca="1" si="145"/>
        <v>30.89</v>
      </c>
      <c r="GR33" s="221">
        <f t="shared" ca="1" si="145"/>
        <v>312.17700000000002</v>
      </c>
      <c r="GS33" s="163">
        <f t="shared" ca="1" si="100"/>
        <v>9643.1475300000002</v>
      </c>
      <c r="GU33" s="221">
        <f t="shared" ca="1" si="110"/>
        <v>28.64</v>
      </c>
      <c r="GV33" s="221">
        <f t="shared" ca="1" si="110"/>
        <v>311.12</v>
      </c>
      <c r="GW33" s="163">
        <f t="shared" ca="1" si="101"/>
        <v>8910.4768000000004</v>
      </c>
      <c r="GY33" s="221">
        <f t="shared" ca="1" si="111"/>
        <v>29.34</v>
      </c>
      <c r="GZ33" s="221">
        <f t="shared" ca="1" si="111"/>
        <v>291.92700000000002</v>
      </c>
      <c r="HA33" s="163">
        <f t="shared" ca="1" si="102"/>
        <v>8565.1381799999999</v>
      </c>
      <c r="HC33" s="221">
        <f t="shared" ca="1" si="112"/>
        <v>24.89</v>
      </c>
      <c r="HD33" s="221">
        <f t="shared" ca="1" si="112"/>
        <v>290.32799999999997</v>
      </c>
      <c r="HE33" s="163">
        <f t="shared" ca="1" si="103"/>
        <v>7226.2639199999994</v>
      </c>
      <c r="HG33" s="221">
        <f t="shared" ca="1" si="113"/>
        <v>25.48</v>
      </c>
      <c r="HH33" s="221">
        <f t="shared" ca="1" si="113"/>
        <v>284.37</v>
      </c>
      <c r="HI33" s="163">
        <f t="shared" ca="1" si="104"/>
        <v>7245.7476000000006</v>
      </c>
      <c r="HK33" s="221">
        <f t="shared" ca="1" si="114"/>
        <v>24.75</v>
      </c>
      <c r="HL33" s="221">
        <f t="shared" ca="1" si="114"/>
        <v>282.92500000000001</v>
      </c>
      <c r="HM33" s="163">
        <f t="shared" ca="1" si="105"/>
        <v>7002.3937500000002</v>
      </c>
      <c r="HO33" s="148">
        <f t="shared" ca="1" si="115"/>
        <v>24.35</v>
      </c>
      <c r="HP33" s="148">
        <f t="shared" ca="1" si="115"/>
        <v>280.44200000000001</v>
      </c>
      <c r="HQ33" s="163">
        <f t="shared" ca="1" si="106"/>
        <v>6828.7627000000002</v>
      </c>
      <c r="HS33" s="148">
        <f t="shared" ca="1" si="116"/>
        <v>23.81</v>
      </c>
      <c r="HT33" s="148">
        <f t="shared" ca="1" si="116"/>
        <v>280.76499999999999</v>
      </c>
      <c r="HU33" s="163">
        <f t="shared" ca="1" si="107"/>
        <v>6685.0146499999992</v>
      </c>
      <c r="HX33" s="149">
        <f t="shared" ca="1" si="54"/>
        <v>89</v>
      </c>
    </row>
    <row r="34" spans="2:232" s="137" customFormat="1">
      <c r="B34" s="155">
        <f t="shared" ca="1" si="108"/>
        <v>25</v>
      </c>
      <c r="C34" s="146" t="str">
        <f t="shared" ca="1" si="109"/>
        <v>NorthWestern Corporation</v>
      </c>
      <c r="D34" s="138" t="str">
        <f t="shared" ca="1" si="109"/>
        <v>NWE</v>
      </c>
      <c r="E34" s="138">
        <f t="shared" ca="1" si="109"/>
        <v>4057053</v>
      </c>
      <c r="F34" s="147"/>
      <c r="G34" s="363">
        <f t="shared" ca="1" si="146"/>
        <v>53.46</v>
      </c>
      <c r="H34" s="363">
        <f t="shared" ca="1" si="146"/>
        <v>61.301696</v>
      </c>
      <c r="I34" s="364">
        <f t="shared" ca="1" si="55"/>
        <v>3277.1886681599999</v>
      </c>
      <c r="J34" s="147"/>
      <c r="K34" s="147"/>
      <c r="L34" s="363">
        <f t="shared" ca="1" si="147"/>
        <v>57.22</v>
      </c>
      <c r="M34" s="363">
        <f t="shared" ca="1" si="147"/>
        <v>61.288870000000003</v>
      </c>
      <c r="N34" s="364">
        <f t="shared" ca="1" si="56"/>
        <v>3506.9491413999999</v>
      </c>
      <c r="O34" s="147"/>
      <c r="P34" s="147"/>
      <c r="Q34" s="363">
        <f t="shared" ca="1" si="148"/>
        <v>50.08</v>
      </c>
      <c r="R34" s="363">
        <f t="shared" ca="1" si="148"/>
        <v>61.265967000000003</v>
      </c>
      <c r="S34" s="364">
        <f t="shared" ca="1" si="57"/>
        <v>3068.1996273600002</v>
      </c>
      <c r="T34" s="147"/>
      <c r="U34" s="147"/>
      <c r="V34" s="363">
        <f t="shared" ca="1" si="149"/>
        <v>50.93</v>
      </c>
      <c r="W34" s="363">
        <f t="shared" ca="1" si="149"/>
        <v>61.253999999999998</v>
      </c>
      <c r="X34" s="364">
        <f t="shared" ca="1" si="58"/>
        <v>3119.6662200000001</v>
      </c>
      <c r="Y34" s="147"/>
      <c r="Z34" s="147"/>
      <c r="AA34" s="363">
        <f t="shared" ca="1" si="150"/>
        <v>50.89</v>
      </c>
      <c r="AB34" s="363">
        <f t="shared" ca="1" si="150"/>
        <v>60.442163999999998</v>
      </c>
      <c r="AC34" s="364">
        <f t="shared" ca="1" si="59"/>
        <v>3075.90172596</v>
      </c>
      <c r="AD34" s="147"/>
      <c r="AE34" s="147"/>
      <c r="AF34" s="363">
        <f t="shared" ca="1" si="151"/>
        <v>48.06</v>
      </c>
      <c r="AG34" s="363">
        <f t="shared" ca="1" si="151"/>
        <v>59.804000000000002</v>
      </c>
      <c r="AH34" s="364">
        <f t="shared" ca="1" si="60"/>
        <v>2874.1802400000001</v>
      </c>
      <c r="AI34" s="147"/>
      <c r="AJ34" s="147"/>
      <c r="AK34" s="363">
        <f t="shared" ca="1" si="152"/>
        <v>56.76</v>
      </c>
      <c r="AL34" s="363">
        <f t="shared" ca="1" si="152"/>
        <v>59.776195000000001</v>
      </c>
      <c r="AM34" s="364">
        <f t="shared" ca="1" si="61"/>
        <v>3392.8968282000001</v>
      </c>
      <c r="AN34" s="147"/>
      <c r="AO34" s="147"/>
      <c r="AP34" s="363">
        <f t="shared" ca="1" si="153"/>
        <v>57.86</v>
      </c>
      <c r="AQ34" s="363">
        <f t="shared" ca="1" si="153"/>
        <v>55.769156000000002</v>
      </c>
      <c r="AR34" s="364">
        <f t="shared" ca="1" si="62"/>
        <v>3226.8033661600002</v>
      </c>
      <c r="AS34" s="147"/>
      <c r="AT34" s="147"/>
      <c r="AU34" s="363">
        <f t="shared" ca="1" si="154"/>
        <v>59.34</v>
      </c>
      <c r="AV34" s="363">
        <f t="shared" ca="1" si="154"/>
        <v>56.310526000000003</v>
      </c>
      <c r="AW34" s="364">
        <f t="shared" ca="1" si="63"/>
        <v>3341.4666128400004</v>
      </c>
      <c r="AX34" s="147"/>
      <c r="AY34" s="147"/>
      <c r="AZ34" s="363">
        <f t="shared" ca="1" si="155"/>
        <v>49.28</v>
      </c>
      <c r="BA34" s="363">
        <f t="shared" ca="1" si="155"/>
        <v>54.271861999999999</v>
      </c>
      <c r="BB34" s="364">
        <f t="shared" ca="1" si="64"/>
        <v>2674.5173593599998</v>
      </c>
      <c r="BC34" s="147"/>
      <c r="BD34" s="147"/>
      <c r="BE34" s="363">
        <f t="shared" ca="1" si="156"/>
        <v>58.93</v>
      </c>
      <c r="BF34" s="363">
        <f t="shared" ca="1" si="156"/>
        <v>54.096767999999997</v>
      </c>
      <c r="BG34" s="364">
        <f t="shared" ca="1" si="65"/>
        <v>3187.92253824</v>
      </c>
      <c r="BH34" s="147"/>
      <c r="BI34" s="147"/>
      <c r="BJ34" s="363">
        <f t="shared" ca="1" si="157"/>
        <v>60.49</v>
      </c>
      <c r="BK34" s="363">
        <f t="shared" ca="1" si="157"/>
        <v>51.709229000000001</v>
      </c>
      <c r="BL34" s="364">
        <f t="shared" ca="1" si="66"/>
        <v>3127.8912622100001</v>
      </c>
      <c r="BM34" s="147"/>
      <c r="BN34" s="147"/>
      <c r="BO34" s="363">
        <f t="shared" ca="1" si="158"/>
        <v>57.16</v>
      </c>
      <c r="BP34" s="363">
        <f t="shared" ca="1" si="158"/>
        <v>51.891556999999999</v>
      </c>
      <c r="BQ34" s="364">
        <f t="shared" ca="1" si="67"/>
        <v>2966.1213981199999</v>
      </c>
      <c r="BR34" s="162"/>
      <c r="BS34" s="363">
        <f t="shared" ca="1" si="159"/>
        <v>57.3</v>
      </c>
      <c r="BT34" s="363">
        <f t="shared" ca="1" si="159"/>
        <v>50.989182</v>
      </c>
      <c r="BU34" s="364">
        <f t="shared" ca="1" si="68"/>
        <v>2921.6801286</v>
      </c>
      <c r="BV34" s="162"/>
      <c r="BW34" s="363">
        <f t="shared" ca="1" si="160"/>
        <v>60.22</v>
      </c>
      <c r="BX34" s="363">
        <f t="shared" ca="1" si="160"/>
        <v>50.631447999999999</v>
      </c>
      <c r="BY34" s="364">
        <f t="shared" ca="1" si="69"/>
        <v>3049.0257985599997</v>
      </c>
      <c r="BZ34" s="162"/>
      <c r="CA34" s="363">
        <f t="shared" ca="1" si="161"/>
        <v>65.2</v>
      </c>
      <c r="CB34" s="363">
        <f t="shared" ca="1" si="161"/>
        <v>50.559207999999998</v>
      </c>
      <c r="CC34" s="364">
        <f t="shared" ca="1" si="70"/>
        <v>3296.4603615999999</v>
      </c>
      <c r="CD34" s="162"/>
      <c r="CE34" s="363">
        <f t="shared" ca="1" si="162"/>
        <v>58.31</v>
      </c>
      <c r="CF34" s="363">
        <f t="shared" ca="1" si="162"/>
        <v>50.576563999999998</v>
      </c>
      <c r="CG34" s="364">
        <f t="shared" ca="1" si="71"/>
        <v>2949.1194468399999</v>
      </c>
      <c r="CH34" s="162"/>
      <c r="CI34" s="363">
        <f t="shared" ca="1" si="117"/>
        <v>48.64</v>
      </c>
      <c r="CJ34" s="363">
        <f t="shared" ca="1" si="117"/>
        <v>50.569724999999998</v>
      </c>
      <c r="CK34" s="364">
        <f t="shared" ca="1" si="72"/>
        <v>2459.7114240000001</v>
      </c>
      <c r="CL34" s="162"/>
      <c r="CM34" s="363">
        <f t="shared" ca="1" si="118"/>
        <v>54.52</v>
      </c>
      <c r="CN34" s="363">
        <f t="shared" ca="1" si="118"/>
        <v>50.506793999999999</v>
      </c>
      <c r="CO34" s="364">
        <f t="shared" ca="1" si="73"/>
        <v>2753.6304088800002</v>
      </c>
      <c r="CP34" s="162"/>
      <c r="CQ34" s="221">
        <f t="shared" ca="1" si="119"/>
        <v>59.83</v>
      </c>
      <c r="CR34" s="221">
        <f t="shared" ca="1" si="119"/>
        <v>50.428559999999997</v>
      </c>
      <c r="CS34" s="163">
        <f t="shared" ca="1" si="74"/>
        <v>3017.1407447999995</v>
      </c>
      <c r="CT34" s="162"/>
      <c r="CU34" s="221">
        <f t="shared" ca="1" si="120"/>
        <v>71.67</v>
      </c>
      <c r="CV34" s="221">
        <f t="shared" ca="1" si="120"/>
        <v>50.443866</v>
      </c>
      <c r="CW34" s="163">
        <f t="shared" ca="1" si="75"/>
        <v>3615.3118762200002</v>
      </c>
      <c r="CX34" s="162"/>
      <c r="CY34" s="221">
        <f t="shared" ca="1" si="121"/>
        <v>75.05</v>
      </c>
      <c r="CZ34" s="221">
        <f t="shared" ca="1" si="121"/>
        <v>50.440685000000002</v>
      </c>
      <c r="DA34" s="163">
        <f t="shared" ca="1" si="76"/>
        <v>3785.5734092500002</v>
      </c>
      <c r="DB34" s="162"/>
      <c r="DC34" s="221">
        <f t="shared" ca="1" si="122"/>
        <v>72.150000000000006</v>
      </c>
      <c r="DD34" s="221">
        <f t="shared" ca="1" si="122"/>
        <v>50.380839000000002</v>
      </c>
      <c r="DE34" s="163">
        <f t="shared" ca="1" si="77"/>
        <v>3634.9775338500003</v>
      </c>
      <c r="DF34" s="162"/>
      <c r="DG34" s="221">
        <f t="shared" ca="1" si="123"/>
        <v>70.41</v>
      </c>
      <c r="DH34" s="221">
        <f t="shared" ca="1" si="123"/>
        <v>49.984561999999997</v>
      </c>
      <c r="DI34" s="163">
        <f t="shared" ca="1" si="78"/>
        <v>3519.4130104199994</v>
      </c>
      <c r="DJ34" s="162"/>
      <c r="DK34" s="221">
        <f t="shared" ca="1" si="124"/>
        <v>59.44</v>
      </c>
      <c r="DL34" s="221">
        <f t="shared" ca="1" si="124"/>
        <v>50.317813000000001</v>
      </c>
      <c r="DM34" s="163">
        <f t="shared" ca="1" si="79"/>
        <v>2990.8908047199998</v>
      </c>
      <c r="DN34" s="162"/>
      <c r="DO34" s="221">
        <f t="shared" ca="1" si="125"/>
        <v>58.66</v>
      </c>
      <c r="DP34" s="221">
        <f t="shared" ca="1" si="125"/>
        <v>49.869176000000003</v>
      </c>
      <c r="DQ34" s="163">
        <f t="shared" ca="1" si="80"/>
        <v>2925.32586416</v>
      </c>
      <c r="DR34" s="162"/>
      <c r="DS34" s="221">
        <f t="shared" ca="1" si="126"/>
        <v>57.25</v>
      </c>
      <c r="DT34" s="221">
        <f t="shared" ca="1" si="126"/>
        <v>49.416229999999999</v>
      </c>
      <c r="DU34" s="163">
        <f t="shared" ca="1" si="81"/>
        <v>2829.0791675</v>
      </c>
      <c r="DV34" s="162"/>
      <c r="DW34" s="221">
        <f t="shared" ca="1" si="127"/>
        <v>53.8</v>
      </c>
      <c r="DX34" s="221">
        <f t="shared" ca="1" si="127"/>
        <v>48.902000000000001</v>
      </c>
      <c r="DY34" s="163">
        <f t="shared" ca="1" si="82"/>
        <v>2630.9276</v>
      </c>
      <c r="DZ34" s="162"/>
      <c r="EA34" s="221">
        <f t="shared" ca="1" si="128"/>
        <v>59.7</v>
      </c>
      <c r="EB34" s="221">
        <f t="shared" ca="1" si="128"/>
        <v>48.486899000000001</v>
      </c>
      <c r="EC34" s="163">
        <f t="shared" ca="1" si="83"/>
        <v>2894.6678703000002</v>
      </c>
      <c r="ED34" s="162"/>
      <c r="EE34" s="221">
        <f t="shared" ca="1" si="129"/>
        <v>56.94</v>
      </c>
      <c r="EF34" s="221">
        <f t="shared" ca="1" si="129"/>
        <v>48.450639000000002</v>
      </c>
      <c r="EG34" s="163">
        <f t="shared" ca="1" si="84"/>
        <v>2758.7793846600002</v>
      </c>
      <c r="EH34" s="162"/>
      <c r="EI34" s="221">
        <f t="shared" ca="1" si="130"/>
        <v>61.02</v>
      </c>
      <c r="EJ34" s="221">
        <f t="shared" ca="1" si="130"/>
        <v>48.385738000000003</v>
      </c>
      <c r="EK34" s="163">
        <f t="shared" ca="1" si="85"/>
        <v>2952.4977327600004</v>
      </c>
      <c r="EL34" s="162"/>
      <c r="EM34" s="221">
        <f t="shared" ca="1" si="131"/>
        <v>58.7</v>
      </c>
      <c r="EN34" s="221">
        <f t="shared" ca="1" si="131"/>
        <v>48.298895999999999</v>
      </c>
      <c r="EO34" s="163">
        <f t="shared" ca="1" si="86"/>
        <v>2835.1451952000002</v>
      </c>
      <c r="EP34" s="162"/>
      <c r="EQ34" s="221">
        <f t="shared" ca="1" si="132"/>
        <v>56.87</v>
      </c>
      <c r="ER34" s="221">
        <f t="shared" ca="1" si="132"/>
        <v>48.314782999999998</v>
      </c>
      <c r="ES34" s="163">
        <f t="shared" ca="1" si="87"/>
        <v>2747.6617092099996</v>
      </c>
      <c r="ET34" s="162"/>
      <c r="EU34" s="221">
        <f t="shared" ca="1" si="133"/>
        <v>57.53</v>
      </c>
      <c r="EV34" s="221">
        <f t="shared" ca="1" si="133"/>
        <v>48.308655999999999</v>
      </c>
      <c r="EW34" s="163">
        <f t="shared" ca="1" si="88"/>
        <v>2779.1969796799999</v>
      </c>
      <c r="EX34" s="162"/>
      <c r="EY34" s="221">
        <f t="shared" ca="1" si="134"/>
        <v>63.07</v>
      </c>
      <c r="EZ34" s="221">
        <f t="shared" ca="1" si="134"/>
        <v>48.242306999999997</v>
      </c>
      <c r="FA34" s="163">
        <f t="shared" ca="1" si="89"/>
        <v>3042.64230249</v>
      </c>
      <c r="FB34" s="162"/>
      <c r="FC34" s="221">
        <f t="shared" ca="1" si="135"/>
        <v>61.75</v>
      </c>
      <c r="FD34" s="221">
        <f t="shared" ca="1" si="135"/>
        <v>47.298349999999999</v>
      </c>
      <c r="FE34" s="163">
        <f t="shared" ca="1" si="90"/>
        <v>2920.6731125000001</v>
      </c>
      <c r="FF34" s="162"/>
      <c r="FG34" s="221">
        <f t="shared" ca="1" si="136"/>
        <v>54.25</v>
      </c>
      <c r="FH34" s="221">
        <f t="shared" ca="1" si="136"/>
        <v>47.065081999999997</v>
      </c>
      <c r="FI34" s="163">
        <f t="shared" ca="1" si="91"/>
        <v>2553.2806984999997</v>
      </c>
      <c r="FJ34" s="162"/>
      <c r="FK34" s="221">
        <f t="shared" ca="1" si="137"/>
        <v>53.83</v>
      </c>
      <c r="FL34" s="221">
        <f t="shared" ca="1" si="137"/>
        <v>47.043734999999998</v>
      </c>
      <c r="FM34" s="163">
        <f t="shared" ca="1" si="92"/>
        <v>2532.3642550499999</v>
      </c>
      <c r="FN34" s="162"/>
      <c r="FO34" s="221">
        <f t="shared" ca="1" si="138"/>
        <v>48.75</v>
      </c>
      <c r="FP34" s="221">
        <f t="shared" ca="1" si="138"/>
        <v>46.976989000000003</v>
      </c>
      <c r="FQ34" s="163">
        <f t="shared" ca="1" si="93"/>
        <v>2290.1282137500002</v>
      </c>
      <c r="FR34" s="162"/>
      <c r="FS34" s="221">
        <f t="shared" ca="1" si="139"/>
        <v>53.79</v>
      </c>
      <c r="FT34" s="221">
        <f t="shared" ca="1" si="139"/>
        <v>43.451000000000001</v>
      </c>
      <c r="FU34" s="163">
        <f t="shared" ca="1" si="94"/>
        <v>2337.2292899999998</v>
      </c>
      <c r="FW34" s="221">
        <f t="shared" ca="1" si="140"/>
        <v>56.58</v>
      </c>
      <c r="FX34" s="221">
        <f t="shared" ca="1" si="140"/>
        <v>39.141148000000001</v>
      </c>
      <c r="FY34" s="163">
        <f t="shared" ca="1" si="95"/>
        <v>2214.6061538399999</v>
      </c>
      <c r="GA34" s="221">
        <f t="shared" ca="1" si="141"/>
        <v>45.36</v>
      </c>
      <c r="GB34" s="221">
        <f t="shared" ca="1" si="141"/>
        <v>39.137307</v>
      </c>
      <c r="GC34" s="163">
        <f t="shared" ca="1" si="96"/>
        <v>1775.2682455199999</v>
      </c>
      <c r="GE34" s="221">
        <f t="shared" ca="1" si="142"/>
        <v>52.19</v>
      </c>
      <c r="GF34" s="221">
        <f t="shared" ca="1" si="142"/>
        <v>38.855778999999998</v>
      </c>
      <c r="GG34" s="163">
        <f t="shared" ca="1" si="97"/>
        <v>2027.8831060099999</v>
      </c>
      <c r="GI34" s="221">
        <f t="shared" ca="1" si="143"/>
        <v>47.43</v>
      </c>
      <c r="GJ34" s="221">
        <f t="shared" ca="1" si="143"/>
        <v>38.144852</v>
      </c>
      <c r="GK34" s="163">
        <f t="shared" ca="1" si="98"/>
        <v>1809.2103303599999</v>
      </c>
      <c r="GM34" s="221">
        <f t="shared" ca="1" si="144"/>
        <v>43.32</v>
      </c>
      <c r="GN34" s="221">
        <f t="shared" ca="1" si="144"/>
        <v>38.459484000000003</v>
      </c>
      <c r="GO34" s="163">
        <f t="shared" ca="1" si="99"/>
        <v>1666.0648468800002</v>
      </c>
      <c r="GQ34" s="221">
        <f t="shared" ca="1" si="145"/>
        <v>44.92</v>
      </c>
      <c r="GR34" s="221">
        <f t="shared" ca="1" si="145"/>
        <v>38.092292</v>
      </c>
      <c r="GS34" s="163">
        <f t="shared" ca="1" si="100"/>
        <v>1711.10575664</v>
      </c>
      <c r="GU34" s="221">
        <f t="shared" ca="1" si="110"/>
        <v>39.9</v>
      </c>
      <c r="GV34" s="221">
        <f t="shared" ca="1" si="110"/>
        <v>37.384428999999997</v>
      </c>
      <c r="GW34" s="163">
        <f t="shared" ca="1" si="101"/>
        <v>1491.6387170999999</v>
      </c>
      <c r="GY34" s="221">
        <f t="shared" ca="1" si="111"/>
        <v>39.86</v>
      </c>
      <c r="GZ34" s="221">
        <f t="shared" ca="1" si="111"/>
        <v>36.847427000000003</v>
      </c>
      <c r="HA34" s="163">
        <f t="shared" ca="1" si="102"/>
        <v>1468.73844022</v>
      </c>
      <c r="HC34" s="221">
        <f t="shared" ca="1" si="112"/>
        <v>34.729999999999997</v>
      </c>
      <c r="HD34" s="221">
        <f t="shared" ca="1" si="112"/>
        <v>37.201051</v>
      </c>
      <c r="HE34" s="163">
        <f t="shared" ca="1" si="103"/>
        <v>1291.9925012299998</v>
      </c>
      <c r="HG34" s="221">
        <f t="shared" ca="1" si="113"/>
        <v>36.229999999999997</v>
      </c>
      <c r="HH34" s="221">
        <f t="shared" ca="1" si="113"/>
        <v>36.634653</v>
      </c>
      <c r="HI34" s="163">
        <f t="shared" ca="1" si="104"/>
        <v>1327.2734781899999</v>
      </c>
      <c r="HK34" s="221">
        <f t="shared" ca="1" si="114"/>
        <v>36.700000000000003</v>
      </c>
      <c r="HL34" s="221">
        <f t="shared" ca="1" si="114"/>
        <v>36.328360000000004</v>
      </c>
      <c r="HM34" s="163">
        <f t="shared" ca="1" si="105"/>
        <v>1333.2508120000002</v>
      </c>
      <c r="HO34" s="148">
        <f t="shared" ca="1" si="115"/>
        <v>35.46</v>
      </c>
      <c r="HP34" s="148">
        <f t="shared" ca="1" si="115"/>
        <v>36.258462999999999</v>
      </c>
      <c r="HQ34" s="163">
        <f t="shared" ca="1" si="106"/>
        <v>1285.7250979800001</v>
      </c>
      <c r="HS34" s="148">
        <f t="shared" ca="1" si="116"/>
        <v>35.79</v>
      </c>
      <c r="HT34" s="148">
        <f t="shared" ca="1" si="116"/>
        <v>36.262245999999998</v>
      </c>
      <c r="HU34" s="163">
        <f t="shared" ca="1" si="107"/>
        <v>1297.8257843399999</v>
      </c>
      <c r="HX34" s="149">
        <f t="shared" ca="1" si="54"/>
        <v>93</v>
      </c>
    </row>
    <row r="35" spans="2:232" s="137" customFormat="1">
      <c r="B35" s="155">
        <f t="shared" ca="1" si="108"/>
        <v>26</v>
      </c>
      <c r="C35" s="146" t="str">
        <f t="shared" ca="1" si="109"/>
        <v>OGE Energy Corp.</v>
      </c>
      <c r="D35" s="138" t="str">
        <f t="shared" ca="1" si="109"/>
        <v>OGE</v>
      </c>
      <c r="E35" s="138">
        <f t="shared" ca="1" si="109"/>
        <v>4057055</v>
      </c>
      <c r="F35" s="147"/>
      <c r="G35" s="363">
        <f t="shared" ca="1" si="146"/>
        <v>41.25</v>
      </c>
      <c r="H35" s="363">
        <f t="shared" ca="1" si="146"/>
        <v>200.9</v>
      </c>
      <c r="I35" s="364">
        <f t="shared" ca="1" si="55"/>
        <v>8287.125</v>
      </c>
      <c r="J35" s="147"/>
      <c r="K35" s="147"/>
      <c r="L35" s="363">
        <f t="shared" ca="1" si="147"/>
        <v>41.02</v>
      </c>
      <c r="M35" s="363">
        <f t="shared" ca="1" si="147"/>
        <v>200.8</v>
      </c>
      <c r="N35" s="364">
        <f t="shared" ca="1" si="56"/>
        <v>8236.8160000000007</v>
      </c>
      <c r="O35" s="147"/>
      <c r="P35" s="147"/>
      <c r="Q35" s="363">
        <f t="shared" ca="1" si="148"/>
        <v>35.700000000000003</v>
      </c>
      <c r="R35" s="363">
        <f t="shared" ca="1" si="148"/>
        <v>200.4</v>
      </c>
      <c r="S35" s="364">
        <f t="shared" ca="1" si="57"/>
        <v>7154.2800000000007</v>
      </c>
      <c r="T35" s="147"/>
      <c r="U35" s="147"/>
      <c r="V35" s="363">
        <f t="shared" ca="1" si="149"/>
        <v>34.299999999999997</v>
      </c>
      <c r="W35" s="363">
        <f t="shared" ca="1" si="149"/>
        <v>200.3</v>
      </c>
      <c r="X35" s="364">
        <f t="shared" ca="1" si="58"/>
        <v>6870.29</v>
      </c>
      <c r="Y35" s="147"/>
      <c r="Z35" s="147"/>
      <c r="AA35" s="363">
        <f t="shared" ca="1" si="150"/>
        <v>34.93</v>
      </c>
      <c r="AB35" s="363">
        <f t="shared" ca="1" si="150"/>
        <v>200.3</v>
      </c>
      <c r="AC35" s="364">
        <f t="shared" ca="1" si="59"/>
        <v>6996.4790000000003</v>
      </c>
      <c r="AD35" s="147"/>
      <c r="AE35" s="147"/>
      <c r="AF35" s="363">
        <f t="shared" ca="1" si="151"/>
        <v>33.33</v>
      </c>
      <c r="AG35" s="363">
        <f t="shared" ca="1" si="151"/>
        <v>200.3</v>
      </c>
      <c r="AH35" s="364">
        <f t="shared" ca="1" si="60"/>
        <v>6675.9989999999998</v>
      </c>
      <c r="AI35" s="147"/>
      <c r="AJ35" s="147"/>
      <c r="AK35" s="363">
        <f t="shared" ca="1" si="152"/>
        <v>35.909999999999997</v>
      </c>
      <c r="AL35" s="363">
        <f t="shared" ca="1" si="152"/>
        <v>200.2</v>
      </c>
      <c r="AM35" s="364">
        <f t="shared" ca="1" si="61"/>
        <v>7189.1819999999989</v>
      </c>
      <c r="AN35" s="147"/>
      <c r="AO35" s="147"/>
      <c r="AP35" s="363">
        <f t="shared" ca="1" si="153"/>
        <v>37.659999999999997</v>
      </c>
      <c r="AQ35" s="363">
        <f t="shared" ca="1" si="153"/>
        <v>200.2</v>
      </c>
      <c r="AR35" s="364">
        <f t="shared" ca="1" si="62"/>
        <v>7539.5319999999992</v>
      </c>
      <c r="AS35" s="147"/>
      <c r="AT35" s="147"/>
      <c r="AU35" s="363">
        <f t="shared" ca="1" si="154"/>
        <v>39.549999999999997</v>
      </c>
      <c r="AV35" s="363">
        <f t="shared" ca="1" si="154"/>
        <v>200.2</v>
      </c>
      <c r="AW35" s="364">
        <f t="shared" ca="1" si="63"/>
        <v>7917.9099999999989</v>
      </c>
      <c r="AX35" s="147"/>
      <c r="AY35" s="147"/>
      <c r="AZ35" s="363">
        <f t="shared" ca="1" si="155"/>
        <v>36.46</v>
      </c>
      <c r="BA35" s="363">
        <f t="shared" ca="1" si="155"/>
        <v>200.2</v>
      </c>
      <c r="BB35" s="364">
        <f t="shared" ca="1" si="64"/>
        <v>7299.2919999999995</v>
      </c>
      <c r="BC35" s="147"/>
      <c r="BD35" s="147"/>
      <c r="BE35" s="363">
        <f t="shared" ca="1" si="156"/>
        <v>38.56</v>
      </c>
      <c r="BF35" s="363">
        <f t="shared" ca="1" si="156"/>
        <v>200.2</v>
      </c>
      <c r="BG35" s="364">
        <f t="shared" ca="1" si="65"/>
        <v>7719.7120000000004</v>
      </c>
      <c r="BH35" s="147"/>
      <c r="BI35" s="147"/>
      <c r="BJ35" s="363">
        <f t="shared" ca="1" si="157"/>
        <v>40.78</v>
      </c>
      <c r="BK35" s="363">
        <f t="shared" ca="1" si="157"/>
        <v>200.1</v>
      </c>
      <c r="BL35" s="364">
        <f t="shared" ca="1" si="66"/>
        <v>8160.0780000000004</v>
      </c>
      <c r="BM35" s="147"/>
      <c r="BN35" s="147"/>
      <c r="BO35" s="363">
        <f t="shared" ca="1" si="158"/>
        <v>38.380000000000003</v>
      </c>
      <c r="BP35" s="363">
        <f t="shared" ca="1" si="158"/>
        <v>200.2</v>
      </c>
      <c r="BQ35" s="364">
        <f t="shared" ca="1" si="67"/>
        <v>7683.6760000000004</v>
      </c>
      <c r="BR35" s="162"/>
      <c r="BS35" s="363">
        <f t="shared" ca="1" si="159"/>
        <v>32.96</v>
      </c>
      <c r="BT35" s="363">
        <f t="shared" ca="1" si="159"/>
        <v>200.2</v>
      </c>
      <c r="BU35" s="364">
        <f t="shared" ca="1" si="68"/>
        <v>6598.5919999999996</v>
      </c>
      <c r="BV35" s="162"/>
      <c r="BW35" s="363">
        <f t="shared" ca="1" si="160"/>
        <v>33.65</v>
      </c>
      <c r="BX35" s="363">
        <f t="shared" ca="1" si="160"/>
        <v>200.1</v>
      </c>
      <c r="BY35" s="364">
        <f t="shared" ca="1" si="69"/>
        <v>6733.3649999999998</v>
      </c>
      <c r="BZ35" s="162"/>
      <c r="CA35" s="363">
        <f t="shared" ca="1" si="161"/>
        <v>32.36</v>
      </c>
      <c r="CB35" s="363">
        <f t="shared" ca="1" si="161"/>
        <v>200.1</v>
      </c>
      <c r="CC35" s="364">
        <f t="shared" ca="1" si="70"/>
        <v>6475.2359999999999</v>
      </c>
      <c r="CD35" s="162"/>
      <c r="CE35" s="363">
        <f t="shared" ca="1" si="162"/>
        <v>31.86</v>
      </c>
      <c r="CF35" s="363">
        <f t="shared" ca="1" si="162"/>
        <v>200.1</v>
      </c>
      <c r="CG35" s="364">
        <f t="shared" ca="1" si="71"/>
        <v>6375.1859999999997</v>
      </c>
      <c r="CH35" s="162"/>
      <c r="CI35" s="363">
        <f t="shared" ca="1" si="117"/>
        <v>29.99</v>
      </c>
      <c r="CJ35" s="363">
        <f t="shared" ca="1" si="117"/>
        <v>200.2</v>
      </c>
      <c r="CK35" s="364">
        <f t="shared" ca="1" si="72"/>
        <v>6003.9979999999996</v>
      </c>
      <c r="CL35" s="162"/>
      <c r="CM35" s="363">
        <f t="shared" ca="1" si="118"/>
        <v>30.36</v>
      </c>
      <c r="CN35" s="363">
        <f t="shared" ca="1" si="118"/>
        <v>200.2</v>
      </c>
      <c r="CO35" s="364">
        <f t="shared" ca="1" si="73"/>
        <v>6078.0719999999992</v>
      </c>
      <c r="CP35" s="162"/>
      <c r="CQ35" s="221">
        <f t="shared" ca="1" si="119"/>
        <v>30.73</v>
      </c>
      <c r="CR35" s="221">
        <f t="shared" ca="1" si="119"/>
        <v>200.1</v>
      </c>
      <c r="CS35" s="163">
        <f t="shared" ca="1" si="74"/>
        <v>6149.0730000000003</v>
      </c>
      <c r="CT35" s="162"/>
      <c r="CU35" s="221">
        <f t="shared" ca="1" si="120"/>
        <v>44.47</v>
      </c>
      <c r="CV35" s="221">
        <f t="shared" ca="1" si="120"/>
        <v>200.2</v>
      </c>
      <c r="CW35" s="163">
        <f t="shared" ca="1" si="75"/>
        <v>8902.8939999999984</v>
      </c>
      <c r="CX35" s="162"/>
      <c r="CY35" s="221">
        <f t="shared" ca="1" si="121"/>
        <v>45.38</v>
      </c>
      <c r="CZ35" s="221">
        <f t="shared" ca="1" si="121"/>
        <v>200.2</v>
      </c>
      <c r="DA35" s="163">
        <f t="shared" ca="1" si="76"/>
        <v>9085.0759999999991</v>
      </c>
      <c r="DB35" s="162"/>
      <c r="DC35" s="221">
        <f t="shared" ca="1" si="122"/>
        <v>42.56</v>
      </c>
      <c r="DD35" s="221">
        <f t="shared" ca="1" si="122"/>
        <v>199.9</v>
      </c>
      <c r="DE35" s="163">
        <f t="shared" ca="1" si="77"/>
        <v>8507.7440000000006</v>
      </c>
      <c r="DF35" s="162"/>
      <c r="DG35" s="221">
        <f t="shared" ca="1" si="123"/>
        <v>43.12</v>
      </c>
      <c r="DH35" s="221">
        <f t="shared" ca="1" si="123"/>
        <v>199.7</v>
      </c>
      <c r="DI35" s="163">
        <f t="shared" ca="1" si="78"/>
        <v>8611.0639999999985</v>
      </c>
      <c r="DJ35" s="162"/>
      <c r="DK35" s="221">
        <f t="shared" ca="1" si="124"/>
        <v>39.19</v>
      </c>
      <c r="DL35" s="221">
        <f t="shared" ca="1" si="124"/>
        <v>199.7</v>
      </c>
      <c r="DM35" s="163">
        <f t="shared" ca="1" si="79"/>
        <v>7826.2429999999995</v>
      </c>
      <c r="DN35" s="162"/>
      <c r="DO35" s="221">
        <f t="shared" ca="1" si="125"/>
        <v>36.32</v>
      </c>
      <c r="DP35" s="221">
        <f t="shared" ca="1" si="125"/>
        <v>199.7</v>
      </c>
      <c r="DQ35" s="163">
        <f t="shared" ca="1" si="80"/>
        <v>7253.1039999999994</v>
      </c>
      <c r="DR35" s="162"/>
      <c r="DS35" s="221">
        <f t="shared" ca="1" si="126"/>
        <v>35.21</v>
      </c>
      <c r="DT35" s="221">
        <f t="shared" ca="1" si="126"/>
        <v>199.7</v>
      </c>
      <c r="DU35" s="163">
        <f t="shared" ca="1" si="81"/>
        <v>7031.4369999999999</v>
      </c>
      <c r="DV35" s="162"/>
      <c r="DW35" s="221">
        <f t="shared" ca="1" si="127"/>
        <v>32.770000000000003</v>
      </c>
      <c r="DX35" s="221">
        <f t="shared" ca="1" si="127"/>
        <v>199.7</v>
      </c>
      <c r="DY35" s="163">
        <f t="shared" ca="1" si="82"/>
        <v>6544.1689999999999</v>
      </c>
      <c r="DZ35" s="162"/>
      <c r="EA35" s="221">
        <f t="shared" ca="1" si="128"/>
        <v>32.909999999999997</v>
      </c>
      <c r="EB35" s="221">
        <f t="shared" ca="1" si="128"/>
        <v>199.7</v>
      </c>
      <c r="EC35" s="163">
        <f t="shared" ca="1" si="83"/>
        <v>6572.1269999999986</v>
      </c>
      <c r="ED35" s="162"/>
      <c r="EE35" s="221">
        <f t="shared" ca="1" si="129"/>
        <v>36.03</v>
      </c>
      <c r="EF35" s="221">
        <f t="shared" ca="1" si="129"/>
        <v>199.7</v>
      </c>
      <c r="EG35" s="163">
        <f t="shared" ca="1" si="84"/>
        <v>7195.1909999999998</v>
      </c>
      <c r="EH35" s="162"/>
      <c r="EI35" s="221">
        <f t="shared" ca="1" si="130"/>
        <v>34.79</v>
      </c>
      <c r="EJ35" s="221">
        <f t="shared" ca="1" si="130"/>
        <v>199.7</v>
      </c>
      <c r="EK35" s="163">
        <f t="shared" ca="1" si="85"/>
        <v>6947.5629999999992</v>
      </c>
      <c r="EL35" s="162"/>
      <c r="EM35" s="221">
        <f t="shared" ca="1" si="131"/>
        <v>34.979999999999997</v>
      </c>
      <c r="EN35" s="221">
        <f t="shared" ca="1" si="131"/>
        <v>199.7</v>
      </c>
      <c r="EO35" s="163">
        <f t="shared" ca="1" si="86"/>
        <v>6985.5059999999994</v>
      </c>
      <c r="EP35" s="162"/>
      <c r="EQ35" s="221">
        <f t="shared" ca="1" si="132"/>
        <v>33.450000000000003</v>
      </c>
      <c r="ER35" s="221">
        <f t="shared" ca="1" si="132"/>
        <v>199.7</v>
      </c>
      <c r="ES35" s="163">
        <f t="shared" ca="1" si="87"/>
        <v>6679.9650000000001</v>
      </c>
      <c r="ET35" s="162"/>
      <c r="EU35" s="221">
        <f t="shared" ca="1" si="133"/>
        <v>31.62</v>
      </c>
      <c r="EV35" s="221">
        <f t="shared" ca="1" si="133"/>
        <v>199.7</v>
      </c>
      <c r="EW35" s="163">
        <f t="shared" ca="1" si="88"/>
        <v>6314.5140000000001</v>
      </c>
      <c r="EX35" s="162"/>
      <c r="EY35" s="221">
        <f t="shared" ca="1" si="134"/>
        <v>32.75</v>
      </c>
      <c r="EZ35" s="221">
        <f t="shared" ca="1" si="134"/>
        <v>199.7</v>
      </c>
      <c r="FA35" s="163">
        <f t="shared" ca="1" si="89"/>
        <v>6540.1749999999993</v>
      </c>
      <c r="FB35" s="162"/>
      <c r="FC35" s="221">
        <f t="shared" ca="1" si="135"/>
        <v>28.63</v>
      </c>
      <c r="FD35" s="221">
        <f t="shared" ca="1" si="135"/>
        <v>199.6</v>
      </c>
      <c r="FE35" s="163">
        <f t="shared" ca="1" si="90"/>
        <v>5714.5479999999998</v>
      </c>
      <c r="FF35" s="162"/>
      <c r="FG35" s="221">
        <f t="shared" ca="1" si="136"/>
        <v>26.29</v>
      </c>
      <c r="FH35" s="221">
        <f t="shared" ca="1" si="136"/>
        <v>199.7</v>
      </c>
      <c r="FI35" s="163">
        <f t="shared" ca="1" si="91"/>
        <v>5250.1129999999994</v>
      </c>
      <c r="FJ35" s="162"/>
      <c r="FK35" s="221">
        <f t="shared" ca="1" si="137"/>
        <v>27.36</v>
      </c>
      <c r="FL35" s="221">
        <f t="shared" ca="1" si="137"/>
        <v>199.6</v>
      </c>
      <c r="FM35" s="163">
        <f t="shared" ca="1" si="92"/>
        <v>5461.0559999999996</v>
      </c>
      <c r="FN35" s="162"/>
      <c r="FO35" s="221">
        <f t="shared" ca="1" si="138"/>
        <v>28.57</v>
      </c>
      <c r="FP35" s="221">
        <f t="shared" ca="1" si="138"/>
        <v>199.5</v>
      </c>
      <c r="FQ35" s="163">
        <f t="shared" ca="1" si="93"/>
        <v>5699.7150000000001</v>
      </c>
      <c r="FR35" s="162"/>
      <c r="FS35" s="221">
        <f t="shared" ca="1" si="139"/>
        <v>31.61</v>
      </c>
      <c r="FT35" s="221">
        <f t="shared" ca="1" si="139"/>
        <v>199.4</v>
      </c>
      <c r="FU35" s="163">
        <f t="shared" ca="1" si="94"/>
        <v>6303.0339999999997</v>
      </c>
      <c r="FW35" s="221">
        <f t="shared" ca="1" si="140"/>
        <v>35.479999999999997</v>
      </c>
      <c r="FX35" s="221">
        <f t="shared" ca="1" si="140"/>
        <v>199.3</v>
      </c>
      <c r="FY35" s="163">
        <f t="shared" ca="1" si="95"/>
        <v>7071.1639999999998</v>
      </c>
      <c r="GA35" s="221">
        <f t="shared" ca="1" si="141"/>
        <v>37.11</v>
      </c>
      <c r="GB35" s="221">
        <f t="shared" ca="1" si="141"/>
        <v>199.2</v>
      </c>
      <c r="GC35" s="163">
        <f t="shared" ca="1" si="96"/>
        <v>7392.3119999999999</v>
      </c>
      <c r="GE35" s="221">
        <f t="shared" ca="1" si="142"/>
        <v>39.08</v>
      </c>
      <c r="GF35" s="221">
        <f t="shared" ca="1" si="142"/>
        <v>198.8</v>
      </c>
      <c r="GG35" s="163">
        <f t="shared" ca="1" si="97"/>
        <v>7769.1040000000003</v>
      </c>
      <c r="GI35" s="221">
        <f t="shared" ca="1" si="143"/>
        <v>36.76</v>
      </c>
      <c r="GJ35" s="221">
        <f t="shared" ca="1" si="143"/>
        <v>198.2</v>
      </c>
      <c r="GK35" s="163">
        <f t="shared" ca="1" si="98"/>
        <v>7285.8319999999994</v>
      </c>
      <c r="GM35" s="221">
        <f t="shared" ca="1" si="144"/>
        <v>33.9</v>
      </c>
      <c r="GN35" s="221">
        <f t="shared" ca="1" si="144"/>
        <v>198.4</v>
      </c>
      <c r="GO35" s="163">
        <f t="shared" ca="1" si="99"/>
        <v>6725.76</v>
      </c>
      <c r="GQ35" s="221">
        <f t="shared" ca="1" si="145"/>
        <v>36.090000000000003</v>
      </c>
      <c r="GR35" s="221">
        <f t="shared" ca="1" si="145"/>
        <v>198.3</v>
      </c>
      <c r="GS35" s="163">
        <f t="shared" ca="1" si="100"/>
        <v>7156.6470000000008</v>
      </c>
      <c r="GU35" s="221">
        <f t="shared" ca="1" si="110"/>
        <v>34.1</v>
      </c>
      <c r="GV35" s="221">
        <f t="shared" ca="1" si="110"/>
        <v>197.8</v>
      </c>
      <c r="GW35" s="163">
        <f t="shared" ca="1" si="101"/>
        <v>6744.9800000000005</v>
      </c>
      <c r="GY35" s="221">
        <f t="shared" ca="1" si="111"/>
        <v>34.99</v>
      </c>
      <c r="GZ35" s="221">
        <f t="shared" ca="1" si="111"/>
        <v>197.2</v>
      </c>
      <c r="HA35" s="163">
        <f t="shared" ca="1" si="102"/>
        <v>6900.0280000000002</v>
      </c>
      <c r="HC35" s="221">
        <f t="shared" ca="1" si="112"/>
        <v>28.155000000000001</v>
      </c>
      <c r="HD35" s="221">
        <f t="shared" ca="1" si="112"/>
        <v>197.4</v>
      </c>
      <c r="HE35" s="163">
        <f t="shared" ca="1" si="103"/>
        <v>5557.7970000000005</v>
      </c>
      <c r="HG35" s="221">
        <f t="shared" ca="1" si="113"/>
        <v>27.73</v>
      </c>
      <c r="HH35" s="221">
        <f t="shared" ca="1" si="113"/>
        <v>197.2</v>
      </c>
      <c r="HI35" s="163">
        <f t="shared" ca="1" si="104"/>
        <v>5468.3559999999998</v>
      </c>
      <c r="HK35" s="221">
        <f t="shared" ca="1" si="114"/>
        <v>25.895</v>
      </c>
      <c r="HL35" s="221">
        <f t="shared" ca="1" si="114"/>
        <v>196.6</v>
      </c>
      <c r="HM35" s="163">
        <f t="shared" ca="1" si="105"/>
        <v>5090.9569999999994</v>
      </c>
      <c r="HO35" s="148">
        <f t="shared" ca="1" si="115"/>
        <v>26.75</v>
      </c>
      <c r="HP35" s="148">
        <f t="shared" ca="1" si="115"/>
        <v>195.8</v>
      </c>
      <c r="HQ35" s="163">
        <f t="shared" ca="1" si="106"/>
        <v>5237.6500000000005</v>
      </c>
      <c r="HS35" s="148">
        <f t="shared" ca="1" si="116"/>
        <v>28.355</v>
      </c>
      <c r="HT35" s="148">
        <f t="shared" ca="1" si="116"/>
        <v>196</v>
      </c>
      <c r="HU35" s="163">
        <f t="shared" ca="1" si="107"/>
        <v>5557.58</v>
      </c>
      <c r="HX35" s="149">
        <f t="shared" ca="1" si="54"/>
        <v>50</v>
      </c>
    </row>
    <row r="36" spans="2:232" s="137" customFormat="1">
      <c r="B36" s="155">
        <f t="shared" ca="1" si="108"/>
        <v>27</v>
      </c>
      <c r="C36" s="146" t="str">
        <f t="shared" ca="1" si="109"/>
        <v>Otter Tail Corporation</v>
      </c>
      <c r="D36" s="138" t="str">
        <f t="shared" ca="1" si="109"/>
        <v>OTTR</v>
      </c>
      <c r="E36" s="138">
        <f t="shared" ca="1" si="109"/>
        <v>4057017</v>
      </c>
      <c r="F36" s="147"/>
      <c r="G36" s="363">
        <f t="shared" ca="1" si="146"/>
        <v>73.84</v>
      </c>
      <c r="H36" s="363">
        <f t="shared" ca="1" si="146"/>
        <v>41.8</v>
      </c>
      <c r="I36" s="364">
        <f t="shared" ca="1" si="55"/>
        <v>3086.5119999999997</v>
      </c>
      <c r="J36" s="147"/>
      <c r="K36" s="147"/>
      <c r="L36" s="363">
        <f t="shared" ca="1" si="147"/>
        <v>78.16</v>
      </c>
      <c r="M36" s="363">
        <f t="shared" ca="1" si="147"/>
        <v>41.783999999999999</v>
      </c>
      <c r="N36" s="364">
        <f t="shared" ca="1" si="56"/>
        <v>3265.8374399999998</v>
      </c>
      <c r="O36" s="147"/>
      <c r="P36" s="147"/>
      <c r="Q36" s="363">
        <f t="shared" ca="1" si="148"/>
        <v>87.59</v>
      </c>
      <c r="R36" s="363">
        <f t="shared" ca="1" si="148"/>
        <v>41.723999999999997</v>
      </c>
      <c r="S36" s="364">
        <f t="shared" ca="1" si="57"/>
        <v>3654.6051600000001</v>
      </c>
      <c r="T36" s="147"/>
      <c r="U36" s="147"/>
      <c r="V36" s="363">
        <f t="shared" ca="1" si="149"/>
        <v>86.4</v>
      </c>
      <c r="W36" s="363">
        <f t="shared" ca="1" si="149"/>
        <v>41.68</v>
      </c>
      <c r="X36" s="364">
        <f t="shared" ca="1" si="58"/>
        <v>3601.152</v>
      </c>
      <c r="Y36" s="147"/>
      <c r="Z36" s="147"/>
      <c r="AA36" s="363">
        <f t="shared" ca="1" si="150"/>
        <v>84.97</v>
      </c>
      <c r="AB36" s="363">
        <f t="shared" ca="1" si="150"/>
        <v>41.68</v>
      </c>
      <c r="AC36" s="364">
        <f t="shared" ca="1" si="59"/>
        <v>3541.5495999999998</v>
      </c>
      <c r="AD36" s="147"/>
      <c r="AE36" s="147"/>
      <c r="AF36" s="363">
        <f t="shared" ca="1" si="151"/>
        <v>75.92</v>
      </c>
      <c r="AG36" s="363">
        <f t="shared" ca="1" si="151"/>
        <v>41.677999999999997</v>
      </c>
      <c r="AH36" s="364">
        <f t="shared" ca="1" si="60"/>
        <v>3164.1937599999997</v>
      </c>
      <c r="AI36" s="147"/>
      <c r="AJ36" s="147"/>
      <c r="AK36" s="363">
        <f t="shared" ca="1" si="152"/>
        <v>78.959999999999994</v>
      </c>
      <c r="AL36" s="363">
        <f t="shared" ca="1" si="152"/>
        <v>41.631999999999998</v>
      </c>
      <c r="AM36" s="364">
        <f t="shared" ca="1" si="61"/>
        <v>3287.2627199999997</v>
      </c>
      <c r="AN36" s="147"/>
      <c r="AO36" s="147"/>
      <c r="AP36" s="363">
        <f t="shared" ca="1" si="153"/>
        <v>72.27</v>
      </c>
      <c r="AQ36" s="363">
        <f t="shared" ca="1" si="153"/>
        <v>41.585999999999999</v>
      </c>
      <c r="AR36" s="364">
        <f t="shared" ca="1" si="62"/>
        <v>3005.4202199999995</v>
      </c>
      <c r="AS36" s="147"/>
      <c r="AT36" s="147"/>
      <c r="AU36" s="363">
        <f t="shared" ca="1" si="154"/>
        <v>58.71</v>
      </c>
      <c r="AV36" s="363">
        <f t="shared" ca="1" si="154"/>
        <v>41.6</v>
      </c>
      <c r="AW36" s="364">
        <f t="shared" ca="1" si="63"/>
        <v>2442.3360000000002</v>
      </c>
      <c r="AX36" s="147"/>
      <c r="AY36" s="147"/>
      <c r="AZ36" s="363">
        <f t="shared" ca="1" si="155"/>
        <v>61.52</v>
      </c>
      <c r="BA36" s="363">
        <f t="shared" ca="1" si="155"/>
        <v>41.597000000000001</v>
      </c>
      <c r="BB36" s="364">
        <f t="shared" ca="1" si="64"/>
        <v>2559.0474400000003</v>
      </c>
      <c r="BC36" s="147"/>
      <c r="BD36" s="147"/>
      <c r="BE36" s="363">
        <f t="shared" ca="1" si="156"/>
        <v>67.13</v>
      </c>
      <c r="BF36" s="363">
        <f t="shared" ca="1" si="156"/>
        <v>41.548000000000002</v>
      </c>
      <c r="BG36" s="364">
        <f t="shared" ca="1" si="65"/>
        <v>2789.11724</v>
      </c>
      <c r="BH36" s="147"/>
      <c r="BI36" s="147"/>
      <c r="BJ36" s="363">
        <f t="shared" ca="1" si="157"/>
        <v>62.5</v>
      </c>
      <c r="BK36" s="363">
        <f t="shared" ca="1" si="157"/>
        <v>41.491</v>
      </c>
      <c r="BL36" s="364">
        <f t="shared" ca="1" si="66"/>
        <v>2593.1875</v>
      </c>
      <c r="BM36" s="147"/>
      <c r="BN36" s="147"/>
      <c r="BO36" s="363">
        <f t="shared" ca="1" si="158"/>
        <v>71.42</v>
      </c>
      <c r="BP36" s="363">
        <f t="shared" ca="1" si="158"/>
        <v>41.503999999999998</v>
      </c>
      <c r="BQ36" s="364">
        <f t="shared" ca="1" si="67"/>
        <v>2964.2156799999998</v>
      </c>
      <c r="BR36" s="162"/>
      <c r="BS36" s="363">
        <f t="shared" ca="1" si="159"/>
        <v>55.97</v>
      </c>
      <c r="BT36" s="363">
        <f t="shared" ca="1" si="159"/>
        <v>41.5</v>
      </c>
      <c r="BU36" s="364">
        <f t="shared" ca="1" si="68"/>
        <v>2322.7550000000001</v>
      </c>
      <c r="BV36" s="162"/>
      <c r="BW36" s="363">
        <f t="shared" ca="1" si="160"/>
        <v>48.81</v>
      </c>
      <c r="BX36" s="363">
        <f t="shared" ca="1" si="160"/>
        <v>41.454999999999998</v>
      </c>
      <c r="BY36" s="364">
        <f t="shared" ca="1" si="69"/>
        <v>2023.4185500000001</v>
      </c>
      <c r="BZ36" s="162"/>
      <c r="CA36" s="363">
        <f t="shared" ca="1" si="161"/>
        <v>46.17</v>
      </c>
      <c r="CB36" s="363">
        <f t="shared" ca="1" si="161"/>
        <v>40.71</v>
      </c>
      <c r="CC36" s="364">
        <f t="shared" ca="1" si="70"/>
        <v>1879.5807000000002</v>
      </c>
      <c r="CD36" s="162"/>
      <c r="CE36" s="363">
        <f t="shared" ca="1" si="162"/>
        <v>42.61</v>
      </c>
      <c r="CF36" s="363">
        <f t="shared" ca="1" si="162"/>
        <v>40.913972000000001</v>
      </c>
      <c r="CG36" s="364">
        <f t="shared" ca="1" si="71"/>
        <v>1743.3443469200001</v>
      </c>
      <c r="CH36" s="162"/>
      <c r="CI36" s="363">
        <f t="shared" ca="1" si="117"/>
        <v>36.17</v>
      </c>
      <c r="CJ36" s="363">
        <f t="shared" ca="1" si="117"/>
        <v>40.513286000000001</v>
      </c>
      <c r="CK36" s="364">
        <f t="shared" ca="1" si="72"/>
        <v>1465.36555462</v>
      </c>
      <c r="CL36" s="162"/>
      <c r="CM36" s="363">
        <f t="shared" ca="1" si="118"/>
        <v>38.79</v>
      </c>
      <c r="CN36" s="363">
        <f t="shared" ca="1" si="118"/>
        <v>40.217140999999998</v>
      </c>
      <c r="CO36" s="364">
        <f t="shared" ca="1" si="73"/>
        <v>1560.0228993899998</v>
      </c>
      <c r="CP36" s="162"/>
      <c r="CQ36" s="221">
        <f t="shared" ca="1" si="119"/>
        <v>44.46</v>
      </c>
      <c r="CR36" s="221">
        <f t="shared" ca="1" si="119"/>
        <v>39.720846999999999</v>
      </c>
      <c r="CS36" s="163">
        <f t="shared" ca="1" si="74"/>
        <v>1765.9888576200001</v>
      </c>
      <c r="CT36" s="162"/>
      <c r="CU36" s="221">
        <f t="shared" ca="1" si="120"/>
        <v>51.29</v>
      </c>
      <c r="CV36" s="221">
        <f t="shared" ca="1" si="120"/>
        <v>39.714672</v>
      </c>
      <c r="CW36" s="163">
        <f t="shared" ca="1" si="75"/>
        <v>2036.96552688</v>
      </c>
      <c r="CX36" s="162"/>
      <c r="CY36" s="221">
        <f t="shared" ca="1" si="121"/>
        <v>53.75</v>
      </c>
      <c r="CZ36" s="221">
        <f t="shared" ca="1" si="121"/>
        <v>39.712035999999998</v>
      </c>
      <c r="DA36" s="163">
        <f t="shared" ca="1" si="76"/>
        <v>2134.5219349999998</v>
      </c>
      <c r="DB36" s="162"/>
      <c r="DC36" s="221">
        <f t="shared" ca="1" si="122"/>
        <v>52.81</v>
      </c>
      <c r="DD36" s="221">
        <f t="shared" ca="1" si="122"/>
        <v>39.657321000000003</v>
      </c>
      <c r="DE36" s="163">
        <f t="shared" ca="1" si="77"/>
        <v>2094.3031220100002</v>
      </c>
      <c r="DF36" s="162"/>
      <c r="DG36" s="221">
        <f t="shared" ca="1" si="123"/>
        <v>49.82</v>
      </c>
      <c r="DH36" s="221">
        <f t="shared" ca="1" si="123"/>
        <v>39.599944000000001</v>
      </c>
      <c r="DI36" s="163">
        <f t="shared" ca="1" si="78"/>
        <v>1972.8692100800001</v>
      </c>
      <c r="DJ36" s="162"/>
      <c r="DK36" s="221">
        <f t="shared" ca="1" si="124"/>
        <v>49.64</v>
      </c>
      <c r="DL36" s="221">
        <f t="shared" ca="1" si="124"/>
        <v>39.621524000000001</v>
      </c>
      <c r="DM36" s="163">
        <f t="shared" ca="1" si="79"/>
        <v>1966.8124513600001</v>
      </c>
      <c r="DN36" s="162"/>
      <c r="DO36" s="221">
        <f t="shared" ca="1" si="125"/>
        <v>47.9</v>
      </c>
      <c r="DP36" s="221">
        <f t="shared" ca="1" si="125"/>
        <v>39.605716999999999</v>
      </c>
      <c r="DQ36" s="163">
        <f t="shared" ca="1" si="80"/>
        <v>1897.1138443</v>
      </c>
      <c r="DR36" s="162"/>
      <c r="DS36" s="221">
        <f t="shared" ca="1" si="126"/>
        <v>47.6</v>
      </c>
      <c r="DT36" s="221">
        <f t="shared" ca="1" si="126"/>
        <v>39.550874</v>
      </c>
      <c r="DU36" s="163">
        <f t="shared" ca="1" si="81"/>
        <v>1882.6216024</v>
      </c>
      <c r="DV36" s="162"/>
      <c r="DW36" s="221">
        <f t="shared" ca="1" si="127"/>
        <v>43.35</v>
      </c>
      <c r="DX36" s="221">
        <f t="shared" ca="1" si="127"/>
        <v>39.507795999999999</v>
      </c>
      <c r="DY36" s="163">
        <f t="shared" ca="1" si="82"/>
        <v>1712.6629565999999</v>
      </c>
      <c r="DZ36" s="162"/>
      <c r="EA36" s="221">
        <f t="shared" ca="1" si="128"/>
        <v>44.45</v>
      </c>
      <c r="EB36" s="221">
        <f t="shared" ca="1" si="128"/>
        <v>39.507581000000002</v>
      </c>
      <c r="EC36" s="163">
        <f t="shared" ca="1" si="83"/>
        <v>1756.1119754500003</v>
      </c>
      <c r="ED36" s="162"/>
      <c r="EE36" s="221">
        <f t="shared" ca="1" si="129"/>
        <v>43.35</v>
      </c>
      <c r="EF36" s="221">
        <f t="shared" ca="1" si="129"/>
        <v>39.462865000000001</v>
      </c>
      <c r="EG36" s="163">
        <f t="shared" ca="1" si="84"/>
        <v>1710.71519775</v>
      </c>
      <c r="EH36" s="162"/>
      <c r="EI36" s="221">
        <f t="shared" ca="1" si="130"/>
        <v>39.6</v>
      </c>
      <c r="EJ36" s="221">
        <f t="shared" ca="1" si="130"/>
        <v>39.350802000000002</v>
      </c>
      <c r="EK36" s="163">
        <f t="shared" ca="1" si="85"/>
        <v>1558.2917592000001</v>
      </c>
      <c r="EL36" s="162"/>
      <c r="EM36" s="221">
        <f t="shared" ca="1" si="131"/>
        <v>37.9</v>
      </c>
      <c r="EN36" s="221">
        <f t="shared" ca="1" si="131"/>
        <v>38.546458999999999</v>
      </c>
      <c r="EO36" s="163">
        <f t="shared" ca="1" si="86"/>
        <v>1460.9107961</v>
      </c>
      <c r="EP36" s="162"/>
      <c r="EQ36" s="221">
        <f t="shared" ca="1" si="132"/>
        <v>40.799999999999997</v>
      </c>
      <c r="ER36" s="221">
        <f t="shared" ca="1" si="132"/>
        <v>38.832659</v>
      </c>
      <c r="ES36" s="163">
        <f t="shared" ca="1" si="87"/>
        <v>1584.3724871999998</v>
      </c>
      <c r="ET36" s="162"/>
      <c r="EU36" s="221">
        <f t="shared" ca="1" si="133"/>
        <v>34.590000000000003</v>
      </c>
      <c r="EV36" s="221">
        <f t="shared" ca="1" si="133"/>
        <v>38.179371000000003</v>
      </c>
      <c r="EW36" s="163">
        <f t="shared" ca="1" si="88"/>
        <v>1320.6244428900002</v>
      </c>
      <c r="EX36" s="162"/>
      <c r="EY36" s="221">
        <f t="shared" ca="1" si="134"/>
        <v>33.49</v>
      </c>
      <c r="EZ36" s="221">
        <f t="shared" ca="1" si="134"/>
        <v>37.936942999999999</v>
      </c>
      <c r="FA36" s="163">
        <f t="shared" ca="1" si="89"/>
        <v>1270.50822107</v>
      </c>
      <c r="FB36" s="162"/>
      <c r="FC36" s="221">
        <f t="shared" ca="1" si="135"/>
        <v>29.62</v>
      </c>
      <c r="FD36" s="221">
        <f t="shared" ca="1" si="135"/>
        <v>37.494985999999997</v>
      </c>
      <c r="FE36" s="163">
        <f t="shared" ca="1" si="90"/>
        <v>1110.6014853199999</v>
      </c>
      <c r="FF36" s="162"/>
      <c r="FG36" s="221">
        <f t="shared" ca="1" si="136"/>
        <v>26.63</v>
      </c>
      <c r="FH36" s="221">
        <f t="shared" ca="1" si="136"/>
        <v>37.575412999999998</v>
      </c>
      <c r="FI36" s="163">
        <f t="shared" ca="1" si="91"/>
        <v>1000.6332481899999</v>
      </c>
      <c r="FJ36" s="162"/>
      <c r="FK36" s="221">
        <f t="shared" ca="1" si="137"/>
        <v>26.06</v>
      </c>
      <c r="FL36" s="221">
        <f t="shared" ca="1" si="137"/>
        <v>37.433318</v>
      </c>
      <c r="FM36" s="163">
        <f t="shared" ca="1" si="92"/>
        <v>975.5122670799999</v>
      </c>
      <c r="FN36" s="162"/>
      <c r="FO36" s="221">
        <f t="shared" ca="1" si="138"/>
        <v>26.6</v>
      </c>
      <c r="FP36" s="221">
        <f t="shared" ca="1" si="138"/>
        <v>37.243118000000003</v>
      </c>
      <c r="FQ36" s="163">
        <f t="shared" ca="1" si="93"/>
        <v>990.66693880000014</v>
      </c>
      <c r="FR36" s="162"/>
      <c r="FS36" s="221">
        <f t="shared" ca="1" si="139"/>
        <v>32.17</v>
      </c>
      <c r="FT36" s="221">
        <f t="shared" ca="1" si="139"/>
        <v>36.811087999999998</v>
      </c>
      <c r="FU36" s="163">
        <f t="shared" ca="1" si="94"/>
        <v>1184.2127009599999</v>
      </c>
      <c r="FW36" s="221">
        <f t="shared" ca="1" si="140"/>
        <v>30.96</v>
      </c>
      <c r="FX36" s="221">
        <f t="shared" ca="1" si="140"/>
        <v>36.596395999999999</v>
      </c>
      <c r="FY36" s="163">
        <f t="shared" ca="1" si="95"/>
        <v>1133.0244201600001</v>
      </c>
      <c r="GA36" s="221">
        <f t="shared" ca="1" si="141"/>
        <v>26.67</v>
      </c>
      <c r="GB36" s="221">
        <f t="shared" ca="1" si="141"/>
        <v>36.409753000000002</v>
      </c>
      <c r="GC36" s="163">
        <f t="shared" ca="1" si="96"/>
        <v>971.04811251000012</v>
      </c>
      <c r="GE36" s="221">
        <f t="shared" ca="1" si="142"/>
        <v>30.29</v>
      </c>
      <c r="GF36" s="221">
        <f t="shared" ca="1" si="142"/>
        <v>36.240349999999999</v>
      </c>
      <c r="GG36" s="163">
        <f t="shared" ca="1" si="97"/>
        <v>1097.7202015</v>
      </c>
      <c r="GI36" s="221">
        <f t="shared" ca="1" si="143"/>
        <v>30.79</v>
      </c>
      <c r="GJ36" s="221">
        <f t="shared" ca="1" si="143"/>
        <v>36.151364000000001</v>
      </c>
      <c r="GK36" s="163">
        <f t="shared" ca="1" si="98"/>
        <v>1113.1004975599999</v>
      </c>
      <c r="GM36" s="221">
        <f t="shared" ca="1" si="144"/>
        <v>29.27</v>
      </c>
      <c r="GN36" s="221">
        <f t="shared" ca="1" si="144"/>
        <v>36.179507000000001</v>
      </c>
      <c r="GO36" s="163">
        <f t="shared" ca="1" si="99"/>
        <v>1058.97416989</v>
      </c>
      <c r="GQ36" s="221">
        <f t="shared" ca="1" si="145"/>
        <v>27.6</v>
      </c>
      <c r="GR36" s="221">
        <f t="shared" ca="1" si="145"/>
        <v>36.170352999999999</v>
      </c>
      <c r="GS36" s="163">
        <f t="shared" ca="1" si="100"/>
        <v>998.30174280000006</v>
      </c>
      <c r="GU36" s="221">
        <f t="shared" ca="1" si="110"/>
        <v>28.4</v>
      </c>
      <c r="GV36" s="221">
        <f t="shared" ca="1" si="110"/>
        <v>36.075130999999999</v>
      </c>
      <c r="GW36" s="163">
        <f t="shared" ca="1" si="101"/>
        <v>1024.5337204</v>
      </c>
      <c r="GY36" s="221">
        <f t="shared" ca="1" si="111"/>
        <v>31.14</v>
      </c>
      <c r="GZ36" s="221">
        <f t="shared" ca="1" si="111"/>
        <v>36.047984</v>
      </c>
      <c r="HA36" s="163">
        <f t="shared" ca="1" si="102"/>
        <v>1122.53422176</v>
      </c>
      <c r="HC36" s="221">
        <f t="shared" ca="1" si="112"/>
        <v>25</v>
      </c>
      <c r="HD36" s="221">
        <f t="shared" ca="1" si="112"/>
        <v>36.061022000000001</v>
      </c>
      <c r="HE36" s="163">
        <f t="shared" ca="1" si="103"/>
        <v>901.52555000000007</v>
      </c>
      <c r="HG36" s="221">
        <f t="shared" ca="1" si="113"/>
        <v>23.86</v>
      </c>
      <c r="HH36" s="221">
        <f t="shared" ca="1" si="113"/>
        <v>36.031447</v>
      </c>
      <c r="HI36" s="163">
        <f t="shared" ca="1" si="104"/>
        <v>859.71032542</v>
      </c>
      <c r="HK36" s="221">
        <f t="shared" ca="1" si="114"/>
        <v>22.86</v>
      </c>
      <c r="HL36" s="221">
        <f t="shared" ca="1" si="114"/>
        <v>35.995179</v>
      </c>
      <c r="HM36" s="163">
        <f t="shared" ca="1" si="105"/>
        <v>822.84979193999993</v>
      </c>
      <c r="HO36" s="148">
        <f t="shared" ca="1" si="115"/>
        <v>21.7</v>
      </c>
      <c r="HP36" s="148">
        <f t="shared" ca="1" si="115"/>
        <v>35.922154999999997</v>
      </c>
      <c r="HQ36" s="163">
        <f t="shared" ca="1" si="106"/>
        <v>779.51076349999994</v>
      </c>
      <c r="HS36" s="148">
        <f t="shared" ca="1" si="116"/>
        <v>22.02</v>
      </c>
      <c r="HT36" s="148">
        <f t="shared" ca="1" si="116"/>
        <v>35.933002999999999</v>
      </c>
      <c r="HU36" s="163">
        <f t="shared" ca="1" si="107"/>
        <v>791.24472605999995</v>
      </c>
      <c r="HX36" s="149">
        <f t="shared" ca="1" si="54"/>
        <v>51</v>
      </c>
    </row>
    <row r="37" spans="2:232" s="137" customFormat="1">
      <c r="B37" s="155">
        <f t="shared" ca="1" si="108"/>
        <v>28</v>
      </c>
      <c r="C37" s="146" t="str">
        <f t="shared" ca="1" si="109"/>
        <v>PG&amp;E Corporation</v>
      </c>
      <c r="D37" s="138" t="str">
        <f t="shared" ca="1" si="109"/>
        <v>PCG</v>
      </c>
      <c r="E37" s="138">
        <f t="shared" ca="1" si="109"/>
        <v>4057057</v>
      </c>
      <c r="F37" s="147"/>
      <c r="G37" s="363">
        <f t="shared" ca="1" si="146"/>
        <v>20.18</v>
      </c>
      <c r="H37" s="363">
        <f t="shared" ca="1" si="146"/>
        <v>2137</v>
      </c>
      <c r="I37" s="364">
        <f t="shared" ca="1" si="55"/>
        <v>43124.659999999996</v>
      </c>
      <c r="J37" s="147"/>
      <c r="K37" s="147"/>
      <c r="L37" s="363">
        <f t="shared" ca="1" si="147"/>
        <v>19.77</v>
      </c>
      <c r="M37" s="363">
        <f t="shared" ca="1" si="147"/>
        <v>2137</v>
      </c>
      <c r="N37" s="364">
        <f t="shared" ca="1" si="56"/>
        <v>42248.49</v>
      </c>
      <c r="O37" s="147"/>
      <c r="P37" s="147"/>
      <c r="Q37" s="363">
        <f t="shared" ca="1" si="148"/>
        <v>17.46</v>
      </c>
      <c r="R37" s="363">
        <f t="shared" ca="1" si="148"/>
        <v>2134</v>
      </c>
      <c r="S37" s="364">
        <f t="shared" ca="1" si="57"/>
        <v>37259.64</v>
      </c>
      <c r="T37" s="147"/>
      <c r="U37" s="147"/>
      <c r="V37" s="363">
        <f t="shared" ca="1" si="149"/>
        <v>16.760000000000002</v>
      </c>
      <c r="W37" s="363">
        <f t="shared" ca="1" si="149"/>
        <v>2133</v>
      </c>
      <c r="X37" s="364">
        <f t="shared" ca="1" si="58"/>
        <v>35749.08</v>
      </c>
      <c r="Y37" s="147"/>
      <c r="Z37" s="147"/>
      <c r="AA37" s="363">
        <f t="shared" ca="1" si="150"/>
        <v>18.03</v>
      </c>
      <c r="AB37" s="363">
        <f t="shared" ca="1" si="150"/>
        <v>2111</v>
      </c>
      <c r="AC37" s="364">
        <f t="shared" ca="1" si="59"/>
        <v>38061.33</v>
      </c>
      <c r="AD37" s="147"/>
      <c r="AE37" s="147"/>
      <c r="AF37" s="363">
        <f t="shared" ca="1" si="151"/>
        <v>16.13</v>
      </c>
      <c r="AG37" s="363">
        <f t="shared" ca="1" si="151"/>
        <v>2019</v>
      </c>
      <c r="AH37" s="364">
        <f t="shared" ca="1" si="60"/>
        <v>32566.469999999998</v>
      </c>
      <c r="AI37" s="147"/>
      <c r="AJ37" s="147"/>
      <c r="AK37" s="363">
        <f t="shared" ca="1" si="152"/>
        <v>17.28</v>
      </c>
      <c r="AL37" s="363">
        <f t="shared" ca="1" si="152"/>
        <v>1991</v>
      </c>
      <c r="AM37" s="364">
        <f t="shared" ca="1" si="61"/>
        <v>34404.480000000003</v>
      </c>
      <c r="AN37" s="147"/>
      <c r="AO37" s="147"/>
      <c r="AP37" s="363">
        <f t="shared" ca="1" si="153"/>
        <v>16.170000000000002</v>
      </c>
      <c r="AQ37" s="363">
        <f t="shared" ca="1" si="153"/>
        <v>1987</v>
      </c>
      <c r="AR37" s="364">
        <f t="shared" ca="1" si="62"/>
        <v>32129.790000000005</v>
      </c>
      <c r="AS37" s="147"/>
      <c r="AT37" s="147"/>
      <c r="AU37" s="363">
        <f t="shared" ca="1" si="154"/>
        <v>16.260000000000002</v>
      </c>
      <c r="AV37" s="363">
        <f t="shared" ca="1" si="154"/>
        <v>1987</v>
      </c>
      <c r="AW37" s="364">
        <f t="shared" ca="1" si="63"/>
        <v>32308.620000000003</v>
      </c>
      <c r="AX37" s="147"/>
      <c r="AY37" s="147"/>
      <c r="AZ37" s="363">
        <f t="shared" ca="1" si="155"/>
        <v>12.5</v>
      </c>
      <c r="BA37" s="363">
        <f t="shared" ca="1" si="155"/>
        <v>1987</v>
      </c>
      <c r="BB37" s="364">
        <f t="shared" ca="1" si="64"/>
        <v>24837.5</v>
      </c>
      <c r="BC37" s="147"/>
      <c r="BD37" s="147"/>
      <c r="BE37" s="363">
        <f t="shared" ca="1" si="156"/>
        <v>9.98</v>
      </c>
      <c r="BF37" s="363">
        <f t="shared" ca="1" si="156"/>
        <v>1986</v>
      </c>
      <c r="BG37" s="364">
        <f t="shared" ca="1" si="65"/>
        <v>19820.280000000002</v>
      </c>
      <c r="BH37" s="147"/>
      <c r="BI37" s="147"/>
      <c r="BJ37" s="363">
        <f t="shared" ca="1" si="157"/>
        <v>11.94</v>
      </c>
      <c r="BK37" s="363">
        <f t="shared" ca="1" si="157"/>
        <v>1985</v>
      </c>
      <c r="BL37" s="364">
        <f t="shared" ca="1" si="66"/>
        <v>23700.899999999998</v>
      </c>
      <c r="BM37" s="147"/>
      <c r="BN37" s="147"/>
      <c r="BO37" s="363">
        <f t="shared" ca="1" si="158"/>
        <v>12.14</v>
      </c>
      <c r="BP37" s="363">
        <f t="shared" ca="1" si="158"/>
        <v>1985</v>
      </c>
      <c r="BQ37" s="364">
        <f t="shared" ca="1" si="67"/>
        <v>24097.9</v>
      </c>
      <c r="BR37" s="162"/>
      <c r="BS37" s="363">
        <f t="shared" ca="1" si="159"/>
        <v>9.6</v>
      </c>
      <c r="BT37" s="363">
        <f t="shared" ca="1" si="159"/>
        <v>1985</v>
      </c>
      <c r="BU37" s="364">
        <f t="shared" ca="1" si="68"/>
        <v>19056</v>
      </c>
      <c r="BV37" s="162"/>
      <c r="BW37" s="363">
        <f t="shared" ca="1" si="160"/>
        <v>10.17</v>
      </c>
      <c r="BX37" s="363">
        <f t="shared" ca="1" si="160"/>
        <v>1985</v>
      </c>
      <c r="BY37" s="364">
        <f t="shared" ca="1" si="69"/>
        <v>20187.45</v>
      </c>
      <c r="BZ37" s="162"/>
      <c r="CA37" s="363">
        <f t="shared" ca="1" si="161"/>
        <v>11.71</v>
      </c>
      <c r="CB37" s="363">
        <f t="shared" ca="1" si="161"/>
        <v>1257</v>
      </c>
      <c r="CC37" s="364">
        <f t="shared" ca="1" si="70"/>
        <v>14719.470000000001</v>
      </c>
      <c r="CD37" s="162"/>
      <c r="CE37" s="363">
        <f t="shared" ca="1" si="162"/>
        <v>12.46</v>
      </c>
      <c r="CF37" s="363">
        <f t="shared" ca="1" si="162"/>
        <v>1967</v>
      </c>
      <c r="CG37" s="364">
        <f t="shared" ca="1" si="71"/>
        <v>24508.820000000003</v>
      </c>
      <c r="CH37" s="162"/>
      <c r="CI37" s="363">
        <f t="shared" ca="1" si="117"/>
        <v>9.39</v>
      </c>
      <c r="CJ37" s="363">
        <f t="shared" ca="1" si="117"/>
        <v>529</v>
      </c>
      <c r="CK37" s="364">
        <f t="shared" ca="1" si="72"/>
        <v>4967.3100000000004</v>
      </c>
      <c r="CL37" s="162"/>
      <c r="CM37" s="363">
        <f t="shared" ca="1" si="118"/>
        <v>8.8699999999999992</v>
      </c>
      <c r="CN37" s="363">
        <f t="shared" ca="1" si="118"/>
        <v>529</v>
      </c>
      <c r="CO37" s="364">
        <f t="shared" ca="1" si="73"/>
        <v>4692.2299999999996</v>
      </c>
      <c r="CP37" s="162"/>
      <c r="CQ37" s="221">
        <f t="shared" ca="1" si="119"/>
        <v>8.99</v>
      </c>
      <c r="CR37" s="221">
        <f t="shared" ca="1" si="119"/>
        <v>528</v>
      </c>
      <c r="CS37" s="163">
        <f t="shared" ca="1" si="74"/>
        <v>4746.72</v>
      </c>
      <c r="CT37" s="162"/>
      <c r="CU37" s="221">
        <f t="shared" ca="1" si="120"/>
        <v>10.87</v>
      </c>
      <c r="CV37" s="221">
        <f t="shared" ca="1" si="120"/>
        <v>529</v>
      </c>
      <c r="CW37" s="163">
        <f t="shared" ca="1" si="75"/>
        <v>5750.23</v>
      </c>
      <c r="CX37" s="162"/>
      <c r="CY37" s="221">
        <f t="shared" ca="1" si="121"/>
        <v>10</v>
      </c>
      <c r="CZ37" s="221">
        <f t="shared" ca="1" si="121"/>
        <v>529</v>
      </c>
      <c r="DA37" s="163">
        <f t="shared" ca="1" si="76"/>
        <v>5290</v>
      </c>
      <c r="DB37" s="162"/>
      <c r="DC37" s="221">
        <f t="shared" ca="1" si="122"/>
        <v>22.92</v>
      </c>
      <c r="DD37" s="221">
        <f t="shared" ca="1" si="122"/>
        <v>526</v>
      </c>
      <c r="DE37" s="163">
        <f t="shared" ca="1" si="77"/>
        <v>12055.92</v>
      </c>
      <c r="DF37" s="162"/>
      <c r="DG37" s="221">
        <f t="shared" ca="1" si="123"/>
        <v>17.8</v>
      </c>
      <c r="DH37" s="221">
        <f t="shared" ca="1" si="123"/>
        <v>517</v>
      </c>
      <c r="DI37" s="163">
        <f t="shared" ca="1" si="78"/>
        <v>9202.6</v>
      </c>
      <c r="DJ37" s="162"/>
      <c r="DK37" s="221">
        <f t="shared" ca="1" si="124"/>
        <v>23.75</v>
      </c>
      <c r="DL37" s="221">
        <f t="shared" ca="1" si="124"/>
        <v>517</v>
      </c>
      <c r="DM37" s="163">
        <f t="shared" ca="1" si="79"/>
        <v>12278.75</v>
      </c>
      <c r="DN37" s="162"/>
      <c r="DO37" s="221">
        <f t="shared" ca="1" si="125"/>
        <v>46.01</v>
      </c>
      <c r="DP37" s="221">
        <f t="shared" ca="1" si="125"/>
        <v>516</v>
      </c>
      <c r="DQ37" s="163">
        <f t="shared" ca="1" si="80"/>
        <v>23741.16</v>
      </c>
      <c r="DR37" s="162"/>
      <c r="DS37" s="221">
        <f t="shared" ca="1" si="126"/>
        <v>42.56</v>
      </c>
      <c r="DT37" s="221">
        <f t="shared" ca="1" si="126"/>
        <v>515</v>
      </c>
      <c r="DU37" s="163">
        <f t="shared" ca="1" si="81"/>
        <v>21918.400000000001</v>
      </c>
      <c r="DV37" s="162"/>
      <c r="DW37" s="221">
        <f t="shared" ca="1" si="127"/>
        <v>43.93</v>
      </c>
      <c r="DX37" s="221">
        <f t="shared" ca="1" si="127"/>
        <v>515</v>
      </c>
      <c r="DY37" s="163">
        <f t="shared" ca="1" si="82"/>
        <v>22623.95</v>
      </c>
      <c r="DZ37" s="162"/>
      <c r="EA37" s="221">
        <f t="shared" ca="1" si="128"/>
        <v>44.83</v>
      </c>
      <c r="EB37" s="221">
        <f t="shared" ca="1" si="128"/>
        <v>513</v>
      </c>
      <c r="EC37" s="163">
        <f t="shared" ca="1" si="83"/>
        <v>22997.79</v>
      </c>
      <c r="ED37" s="162"/>
      <c r="EE37" s="221">
        <f t="shared" ca="1" si="129"/>
        <v>68.09</v>
      </c>
      <c r="EF37" s="221">
        <f t="shared" ca="1" si="129"/>
        <v>511</v>
      </c>
      <c r="EG37" s="163">
        <f t="shared" ca="1" si="84"/>
        <v>34793.990000000005</v>
      </c>
      <c r="EH37" s="162"/>
      <c r="EI37" s="221">
        <f t="shared" ca="1" si="130"/>
        <v>66.37</v>
      </c>
      <c r="EJ37" s="221">
        <f t="shared" ca="1" si="130"/>
        <v>508</v>
      </c>
      <c r="EK37" s="163">
        <f t="shared" ca="1" si="85"/>
        <v>33715.96</v>
      </c>
      <c r="EL37" s="162"/>
      <c r="EM37" s="221">
        <f t="shared" ca="1" si="131"/>
        <v>66.36</v>
      </c>
      <c r="EN37" s="221">
        <f t="shared" ca="1" si="131"/>
        <v>499</v>
      </c>
      <c r="EO37" s="163">
        <f t="shared" ca="1" si="86"/>
        <v>33113.64</v>
      </c>
      <c r="EP37" s="162"/>
      <c r="EQ37" s="221">
        <f t="shared" ca="1" si="132"/>
        <v>60.77</v>
      </c>
      <c r="ER37" s="221">
        <f t="shared" ca="1" si="132"/>
        <v>501</v>
      </c>
      <c r="ES37" s="163">
        <f t="shared" ca="1" si="87"/>
        <v>30445.77</v>
      </c>
      <c r="ET37" s="162"/>
      <c r="EU37" s="221">
        <f t="shared" ca="1" si="133"/>
        <v>61.17</v>
      </c>
      <c r="EV37" s="221">
        <f t="shared" ca="1" si="133"/>
        <v>497</v>
      </c>
      <c r="EW37" s="163">
        <f t="shared" ca="1" si="88"/>
        <v>30401.49</v>
      </c>
      <c r="EX37" s="162"/>
      <c r="EY37" s="221">
        <f t="shared" ca="1" si="134"/>
        <v>63.92</v>
      </c>
      <c r="EZ37" s="221">
        <f t="shared" ca="1" si="134"/>
        <v>493</v>
      </c>
      <c r="FA37" s="163">
        <f t="shared" ca="1" si="89"/>
        <v>31512.560000000001</v>
      </c>
      <c r="FB37" s="162"/>
      <c r="FC37" s="221">
        <f t="shared" ca="1" si="135"/>
        <v>59.72</v>
      </c>
      <c r="FD37" s="221">
        <f t="shared" ca="1" si="135"/>
        <v>484</v>
      </c>
      <c r="FE37" s="163">
        <f t="shared" ca="1" si="90"/>
        <v>28904.48</v>
      </c>
      <c r="FF37" s="162"/>
      <c r="FG37" s="221">
        <f t="shared" ca="1" si="136"/>
        <v>53.19</v>
      </c>
      <c r="FH37" s="221">
        <f t="shared" ca="1" si="136"/>
        <v>486</v>
      </c>
      <c r="FI37" s="163">
        <f t="shared" ca="1" si="91"/>
        <v>25850.34</v>
      </c>
      <c r="FJ37" s="162"/>
      <c r="FK37" s="221">
        <f t="shared" ca="1" si="137"/>
        <v>52.8</v>
      </c>
      <c r="FL37" s="221">
        <f t="shared" ca="1" si="137"/>
        <v>480</v>
      </c>
      <c r="FM37" s="163">
        <f t="shared" ca="1" si="92"/>
        <v>25344</v>
      </c>
      <c r="FN37" s="162"/>
      <c r="FO37" s="221">
        <f t="shared" ca="1" si="138"/>
        <v>49.1</v>
      </c>
      <c r="FP37" s="221">
        <f t="shared" ca="1" si="138"/>
        <v>477</v>
      </c>
      <c r="FQ37" s="163">
        <f t="shared" ca="1" si="93"/>
        <v>23420.7</v>
      </c>
      <c r="FR37" s="162"/>
      <c r="FS37" s="221">
        <f t="shared" ca="1" si="139"/>
        <v>53.07</v>
      </c>
      <c r="FT37" s="221">
        <f t="shared" ca="1" si="139"/>
        <v>474</v>
      </c>
      <c r="FU37" s="163">
        <f t="shared" ca="1" si="94"/>
        <v>25155.18</v>
      </c>
      <c r="FW37" s="221">
        <f t="shared" ca="1" si="140"/>
        <v>53.24</v>
      </c>
      <c r="FX37" s="221">
        <f t="shared" ca="1" si="140"/>
        <v>472</v>
      </c>
      <c r="FY37" s="163">
        <f t="shared" ca="1" si="95"/>
        <v>25129.280000000002</v>
      </c>
      <c r="GA37" s="221">
        <f t="shared" ca="1" si="141"/>
        <v>45.04</v>
      </c>
      <c r="GB37" s="221">
        <f t="shared" ca="1" si="141"/>
        <v>467</v>
      </c>
      <c r="GC37" s="163">
        <f t="shared" ca="1" si="96"/>
        <v>21033.68</v>
      </c>
      <c r="GE37" s="221">
        <f t="shared" ca="1" si="142"/>
        <v>48.02</v>
      </c>
      <c r="GF37" s="221">
        <f t="shared" ca="1" si="142"/>
        <v>459</v>
      </c>
      <c r="GG37" s="163">
        <f t="shared" ca="1" si="97"/>
        <v>22041.18</v>
      </c>
      <c r="GI37" s="221">
        <f t="shared" ca="1" si="143"/>
        <v>43.2</v>
      </c>
      <c r="GJ37" s="221">
        <f t="shared" ca="1" si="143"/>
        <v>444</v>
      </c>
      <c r="GK37" s="163">
        <f t="shared" ca="1" si="98"/>
        <v>19180.800000000003</v>
      </c>
      <c r="GM37" s="221">
        <f t="shared" ca="1" si="144"/>
        <v>40.28</v>
      </c>
      <c r="GN37" s="221">
        <f t="shared" ca="1" si="144"/>
        <v>446</v>
      </c>
      <c r="GO37" s="163">
        <f t="shared" ca="1" si="99"/>
        <v>17964.88</v>
      </c>
      <c r="GQ37" s="221">
        <f t="shared" ca="1" si="145"/>
        <v>40.92</v>
      </c>
      <c r="GR37" s="221">
        <f t="shared" ca="1" si="145"/>
        <v>442</v>
      </c>
      <c r="GS37" s="163">
        <f t="shared" ca="1" si="100"/>
        <v>18086.64</v>
      </c>
      <c r="GU37" s="221">
        <f t="shared" ca="1" si="110"/>
        <v>45.73</v>
      </c>
      <c r="GV37" s="221">
        <f t="shared" ca="1" si="110"/>
        <v>434</v>
      </c>
      <c r="GW37" s="163">
        <f t="shared" ca="1" si="101"/>
        <v>19846.82</v>
      </c>
      <c r="GY37" s="221">
        <f t="shared" ca="1" si="111"/>
        <v>44.53</v>
      </c>
      <c r="GZ37" s="221">
        <f t="shared" ca="1" si="111"/>
        <v>424</v>
      </c>
      <c r="HA37" s="163">
        <f t="shared" ca="1" si="102"/>
        <v>18880.72</v>
      </c>
      <c r="HC37" s="221">
        <f t="shared" ca="1" si="112"/>
        <v>40.18</v>
      </c>
      <c r="HD37" s="221">
        <f t="shared" ca="1" si="112"/>
        <v>428</v>
      </c>
      <c r="HE37" s="163">
        <f t="shared" ca="1" si="103"/>
        <v>17197.04</v>
      </c>
      <c r="HG37" s="221">
        <f t="shared" ca="1" si="113"/>
        <v>42.67</v>
      </c>
      <c r="HH37" s="221">
        <f t="shared" ca="1" si="113"/>
        <v>423</v>
      </c>
      <c r="HI37" s="163">
        <f t="shared" ca="1" si="104"/>
        <v>18049.41</v>
      </c>
      <c r="HK37" s="221">
        <f t="shared" ca="1" si="114"/>
        <v>45.27</v>
      </c>
      <c r="HL37" s="221">
        <f t="shared" ca="1" si="114"/>
        <v>414</v>
      </c>
      <c r="HM37" s="163">
        <f t="shared" ca="1" si="105"/>
        <v>18741.780000000002</v>
      </c>
      <c r="HO37" s="148">
        <f t="shared" ca="1" si="115"/>
        <v>43.41</v>
      </c>
      <c r="HP37" s="148">
        <f t="shared" ca="1" si="115"/>
        <v>401</v>
      </c>
      <c r="HQ37" s="163">
        <f t="shared" ca="1" si="106"/>
        <v>17407.41</v>
      </c>
      <c r="HS37" s="148">
        <f t="shared" ca="1" si="116"/>
        <v>41.22</v>
      </c>
      <c r="HT37" s="148">
        <f t="shared" ca="1" si="116"/>
        <v>403</v>
      </c>
      <c r="HU37" s="163">
        <f t="shared" ca="1" si="107"/>
        <v>16611.66</v>
      </c>
      <c r="HX37" s="149">
        <f t="shared" ca="1" si="54"/>
        <v>95</v>
      </c>
    </row>
    <row r="38" spans="2:232" s="137" customFormat="1">
      <c r="B38" s="155">
        <f t="shared" ca="1" si="108"/>
        <v>29</v>
      </c>
      <c r="C38" s="146" t="str">
        <f t="shared" ca="1" si="109"/>
        <v>Pinnacle West Capital Corporation</v>
      </c>
      <c r="D38" s="138" t="str">
        <f t="shared" ca="1" si="109"/>
        <v>PNW</v>
      </c>
      <c r="E38" s="138">
        <f t="shared" ca="1" si="109"/>
        <v>4056951</v>
      </c>
      <c r="F38" s="147"/>
      <c r="G38" s="363">
        <f t="shared" ca="1" si="146"/>
        <v>84.77</v>
      </c>
      <c r="H38" s="363">
        <f t="shared" ca="1" si="146"/>
        <v>113.729</v>
      </c>
      <c r="I38" s="364">
        <f t="shared" ca="1" si="55"/>
        <v>9640.8073299999996</v>
      </c>
      <c r="J38" s="147"/>
      <c r="K38" s="147"/>
      <c r="L38" s="363">
        <f t="shared" ca="1" si="147"/>
        <v>88.59</v>
      </c>
      <c r="M38" s="363">
        <f t="shared" ca="1" si="147"/>
        <v>113.69499999999999</v>
      </c>
      <c r="N38" s="364">
        <f t="shared" ca="1" si="56"/>
        <v>10072.24005</v>
      </c>
      <c r="O38" s="147"/>
      <c r="P38" s="147"/>
      <c r="Q38" s="363">
        <f t="shared" ca="1" si="148"/>
        <v>76.38</v>
      </c>
      <c r="R38" s="363">
        <f t="shared" ca="1" si="148"/>
        <v>113.621</v>
      </c>
      <c r="S38" s="364">
        <f t="shared" ca="1" si="57"/>
        <v>8678.3719799999999</v>
      </c>
      <c r="T38" s="147"/>
      <c r="U38" s="147"/>
      <c r="V38" s="363">
        <f t="shared" ca="1" si="149"/>
        <v>74.73</v>
      </c>
      <c r="W38" s="363">
        <f t="shared" ca="1" si="149"/>
        <v>113.53400000000001</v>
      </c>
      <c r="X38" s="364">
        <f t="shared" ca="1" si="58"/>
        <v>8484.3958200000015</v>
      </c>
      <c r="Y38" s="147"/>
      <c r="Z38" s="147"/>
      <c r="AA38" s="363">
        <f t="shared" ca="1" si="150"/>
        <v>71.84</v>
      </c>
      <c r="AB38" s="363">
        <f t="shared" ca="1" si="150"/>
        <v>113.464</v>
      </c>
      <c r="AC38" s="364">
        <f t="shared" ca="1" si="59"/>
        <v>8151.2537600000005</v>
      </c>
      <c r="AD38" s="147"/>
      <c r="AE38" s="147"/>
      <c r="AF38" s="363">
        <f t="shared" ca="1" si="151"/>
        <v>73.680000000000007</v>
      </c>
      <c r="AG38" s="363">
        <f t="shared" ca="1" si="151"/>
        <v>113.411</v>
      </c>
      <c r="AH38" s="364">
        <f t="shared" ca="1" si="60"/>
        <v>8356.12248</v>
      </c>
      <c r="AI38" s="147"/>
      <c r="AJ38" s="147"/>
      <c r="AK38" s="363">
        <f t="shared" ca="1" si="152"/>
        <v>81.459999999999994</v>
      </c>
      <c r="AL38" s="363">
        <f t="shared" ca="1" si="152"/>
        <v>113.358</v>
      </c>
      <c r="AM38" s="364">
        <f t="shared" ca="1" si="61"/>
        <v>9234.142679999999</v>
      </c>
      <c r="AN38" s="147"/>
      <c r="AO38" s="147"/>
      <c r="AP38" s="363">
        <f t="shared" ca="1" si="153"/>
        <v>79.239999999999995</v>
      </c>
      <c r="AQ38" s="363">
        <f t="shared" ca="1" si="153"/>
        <v>113.196</v>
      </c>
      <c r="AR38" s="364">
        <f t="shared" ca="1" si="62"/>
        <v>8969.6510399999988</v>
      </c>
      <c r="AS38" s="147"/>
      <c r="AT38" s="147"/>
      <c r="AU38" s="363">
        <f t="shared" ca="1" si="154"/>
        <v>76.040000000000006</v>
      </c>
      <c r="AV38" s="363">
        <f t="shared" ca="1" si="154"/>
        <v>113.211</v>
      </c>
      <c r="AW38" s="364">
        <f t="shared" ca="1" si="63"/>
        <v>8608.5644400000001</v>
      </c>
      <c r="AX38" s="147"/>
      <c r="AY38" s="147"/>
      <c r="AZ38" s="363">
        <f t="shared" ca="1" si="155"/>
        <v>64.510000000000005</v>
      </c>
      <c r="BA38" s="363">
        <f t="shared" ca="1" si="155"/>
        <v>113.172</v>
      </c>
      <c r="BB38" s="364">
        <f t="shared" ca="1" si="64"/>
        <v>7300.7257200000004</v>
      </c>
      <c r="BC38" s="147"/>
      <c r="BD38" s="147"/>
      <c r="BE38" s="363">
        <f t="shared" ca="1" si="156"/>
        <v>73.12</v>
      </c>
      <c r="BF38" s="363">
        <f t="shared" ca="1" si="156"/>
        <v>113.102</v>
      </c>
      <c r="BG38" s="364">
        <f t="shared" ca="1" si="65"/>
        <v>8270.0182400000012</v>
      </c>
      <c r="BH38" s="147"/>
      <c r="BI38" s="147"/>
      <c r="BJ38" s="363">
        <f t="shared" ca="1" si="157"/>
        <v>78.099999999999994</v>
      </c>
      <c r="BK38" s="363">
        <f t="shared" ca="1" si="157"/>
        <v>112.91</v>
      </c>
      <c r="BL38" s="364">
        <f t="shared" ca="1" si="66"/>
        <v>8818.2709999999988</v>
      </c>
      <c r="BM38" s="147"/>
      <c r="BN38" s="147"/>
      <c r="BO38" s="363">
        <f t="shared" ca="1" si="158"/>
        <v>70.59</v>
      </c>
      <c r="BP38" s="363">
        <f t="shared" ca="1" si="158"/>
        <v>112.923</v>
      </c>
      <c r="BQ38" s="364">
        <f t="shared" ca="1" si="67"/>
        <v>7971.2345700000005</v>
      </c>
      <c r="BR38" s="162"/>
      <c r="BS38" s="363">
        <f t="shared" ca="1" si="159"/>
        <v>72.36</v>
      </c>
      <c r="BT38" s="363">
        <f t="shared" ca="1" si="159"/>
        <v>112.88200000000001</v>
      </c>
      <c r="BU38" s="364">
        <f t="shared" ca="1" si="68"/>
        <v>8168.1415200000001</v>
      </c>
      <c r="BV38" s="162"/>
      <c r="BW38" s="363">
        <f t="shared" ca="1" si="160"/>
        <v>81.97</v>
      </c>
      <c r="BX38" s="363">
        <f t="shared" ca="1" si="160"/>
        <v>112.82899999999999</v>
      </c>
      <c r="BY38" s="364">
        <f t="shared" ca="1" si="69"/>
        <v>9248.5931299999993</v>
      </c>
      <c r="BZ38" s="162"/>
      <c r="CA38" s="363">
        <f t="shared" ca="1" si="161"/>
        <v>81.349999999999994</v>
      </c>
      <c r="CB38" s="363">
        <f t="shared" ca="1" si="161"/>
        <v>112.666</v>
      </c>
      <c r="CC38" s="364">
        <f t="shared" ca="1" si="70"/>
        <v>9165.3790999999983</v>
      </c>
      <c r="CD38" s="162"/>
      <c r="CE38" s="363">
        <f t="shared" ca="1" si="162"/>
        <v>79.95</v>
      </c>
      <c r="CF38" s="363">
        <f t="shared" ca="1" si="162"/>
        <v>112.679</v>
      </c>
      <c r="CG38" s="364">
        <f t="shared" ca="1" si="71"/>
        <v>9008.6860500000003</v>
      </c>
      <c r="CH38" s="162"/>
      <c r="CI38" s="363">
        <f t="shared" ca="1" si="117"/>
        <v>74.55</v>
      </c>
      <c r="CJ38" s="363">
        <f t="shared" ca="1" si="117"/>
        <v>112.63800000000001</v>
      </c>
      <c r="CK38" s="364">
        <f t="shared" ca="1" si="72"/>
        <v>8397.1628999999994</v>
      </c>
      <c r="CL38" s="162"/>
      <c r="CM38" s="363">
        <f t="shared" ca="1" si="118"/>
        <v>73.290000000000006</v>
      </c>
      <c r="CN38" s="363">
        <f t="shared" ca="1" si="118"/>
        <v>112.59399999999999</v>
      </c>
      <c r="CO38" s="364">
        <f t="shared" ca="1" si="73"/>
        <v>8252.0142599999999</v>
      </c>
      <c r="CP38" s="162"/>
      <c r="CQ38" s="221">
        <f t="shared" ca="1" si="119"/>
        <v>75.790000000000006</v>
      </c>
      <c r="CR38" s="221">
        <f t="shared" ca="1" si="119"/>
        <v>112.442818</v>
      </c>
      <c r="CS38" s="163">
        <f t="shared" ca="1" si="74"/>
        <v>8522.0411762200001</v>
      </c>
      <c r="CT38" s="162"/>
      <c r="CU38" s="221">
        <f t="shared" ca="1" si="120"/>
        <v>89.93</v>
      </c>
      <c r="CV38" s="221">
        <f t="shared" ca="1" si="120"/>
        <v>112.46299999999999</v>
      </c>
      <c r="CW38" s="163">
        <f t="shared" ca="1" si="75"/>
        <v>10113.79759</v>
      </c>
      <c r="CX38" s="162"/>
      <c r="CY38" s="221">
        <f t="shared" ca="1" si="121"/>
        <v>97.07</v>
      </c>
      <c r="CZ38" s="221">
        <f t="shared" ca="1" si="121"/>
        <v>112.337</v>
      </c>
      <c r="DA38" s="163">
        <f t="shared" ca="1" si="76"/>
        <v>10904.552589999999</v>
      </c>
      <c r="DB38" s="162"/>
      <c r="DC38" s="221">
        <f t="shared" ca="1" si="122"/>
        <v>94.09</v>
      </c>
      <c r="DD38" s="221">
        <f t="shared" ca="1" si="122"/>
        <v>112.337</v>
      </c>
      <c r="DE38" s="163">
        <f t="shared" ca="1" si="77"/>
        <v>10569.788330000001</v>
      </c>
      <c r="DF38" s="162"/>
      <c r="DG38" s="221">
        <f t="shared" ca="1" si="123"/>
        <v>95.58</v>
      </c>
      <c r="DH38" s="221">
        <f t="shared" ca="1" si="123"/>
        <v>112.129017</v>
      </c>
      <c r="DI38" s="163">
        <f t="shared" ca="1" si="78"/>
        <v>10717.29144486</v>
      </c>
      <c r="DJ38" s="162"/>
      <c r="DK38" s="221">
        <f t="shared" ca="1" si="124"/>
        <v>85.2</v>
      </c>
      <c r="DL38" s="221">
        <f t="shared" ca="1" si="124"/>
        <v>112.148</v>
      </c>
      <c r="DM38" s="163">
        <f t="shared" ca="1" si="79"/>
        <v>9555.0095999999994</v>
      </c>
      <c r="DN38" s="162"/>
      <c r="DO38" s="221">
        <f t="shared" ca="1" si="125"/>
        <v>79.180000000000007</v>
      </c>
      <c r="DP38" s="221">
        <f t="shared" ca="1" si="125"/>
        <v>112.11499999999999</v>
      </c>
      <c r="DQ38" s="163">
        <f t="shared" ca="1" si="80"/>
        <v>8877.2656999999999</v>
      </c>
      <c r="DR38" s="162"/>
      <c r="DS38" s="221">
        <f t="shared" ca="1" si="126"/>
        <v>80.56</v>
      </c>
      <c r="DT38" s="221">
        <f t="shared" ca="1" si="126"/>
        <v>112.017</v>
      </c>
      <c r="DU38" s="163">
        <f t="shared" ca="1" si="81"/>
        <v>9024.0895199999995</v>
      </c>
      <c r="DV38" s="162"/>
      <c r="DW38" s="221">
        <f t="shared" ca="1" si="127"/>
        <v>79.8</v>
      </c>
      <c r="DX38" s="221">
        <f t="shared" ca="1" si="127"/>
        <v>111.943</v>
      </c>
      <c r="DY38" s="163">
        <f t="shared" ca="1" si="82"/>
        <v>8933.0514000000003</v>
      </c>
      <c r="DZ38" s="162"/>
      <c r="EA38" s="221">
        <f t="shared" ca="1" si="128"/>
        <v>85.18</v>
      </c>
      <c r="EB38" s="221">
        <f t="shared" ca="1" si="128"/>
        <v>111.83499999999999</v>
      </c>
      <c r="EC38" s="163">
        <f t="shared" ca="1" si="83"/>
        <v>9526.1053000000011</v>
      </c>
      <c r="ED38" s="162"/>
      <c r="EE38" s="221">
        <f t="shared" ca="1" si="129"/>
        <v>84.56</v>
      </c>
      <c r="EF38" s="221">
        <f t="shared" ca="1" si="129"/>
        <v>111.797</v>
      </c>
      <c r="EG38" s="163">
        <f t="shared" ca="1" si="84"/>
        <v>9453.5543199999993</v>
      </c>
      <c r="EH38" s="162"/>
      <c r="EI38" s="221">
        <f t="shared" ca="1" si="130"/>
        <v>85.16</v>
      </c>
      <c r="EJ38" s="221">
        <f t="shared" ca="1" si="130"/>
        <v>111.72799999999999</v>
      </c>
      <c r="EK38" s="163">
        <f t="shared" ca="1" si="85"/>
        <v>9514.75648</v>
      </c>
      <c r="EL38" s="162"/>
      <c r="EM38" s="221">
        <f t="shared" ca="1" si="131"/>
        <v>83.38</v>
      </c>
      <c r="EN38" s="221">
        <f t="shared" ca="1" si="131"/>
        <v>111.40872899999999</v>
      </c>
      <c r="EO38" s="163">
        <f t="shared" ca="1" si="86"/>
        <v>9289.2598240199986</v>
      </c>
      <c r="EP38" s="162"/>
      <c r="EQ38" s="221">
        <f t="shared" ca="1" si="132"/>
        <v>78.03</v>
      </c>
      <c r="ER38" s="221">
        <f t="shared" ca="1" si="132"/>
        <v>111.416</v>
      </c>
      <c r="ES38" s="163">
        <f t="shared" ca="1" si="87"/>
        <v>8693.7904799999997</v>
      </c>
      <c r="ET38" s="162"/>
      <c r="EU38" s="221">
        <f t="shared" ca="1" si="133"/>
        <v>75.989999999999995</v>
      </c>
      <c r="EV38" s="221">
        <f t="shared" ca="1" si="133"/>
        <v>111.36799999999999</v>
      </c>
      <c r="EW38" s="163">
        <f t="shared" ca="1" si="88"/>
        <v>8462.8543199999986</v>
      </c>
      <c r="EX38" s="162"/>
      <c r="EY38" s="221">
        <f t="shared" ca="1" si="134"/>
        <v>81.06</v>
      </c>
      <c r="EZ38" s="221">
        <f t="shared" ca="1" si="134"/>
        <v>111.29600000000001</v>
      </c>
      <c r="FA38" s="163">
        <f t="shared" ca="1" si="89"/>
        <v>9021.6537600000011</v>
      </c>
      <c r="FB38" s="162"/>
      <c r="FC38" s="221">
        <f t="shared" ca="1" si="135"/>
        <v>75.069999999999993</v>
      </c>
      <c r="FD38" s="221">
        <f t="shared" ca="1" si="135"/>
        <v>111.025944</v>
      </c>
      <c r="FE38" s="163">
        <f t="shared" ca="1" si="90"/>
        <v>8334.7176160799991</v>
      </c>
      <c r="FF38" s="162"/>
      <c r="FG38" s="221">
        <f t="shared" ca="1" si="136"/>
        <v>64.48</v>
      </c>
      <c r="FH38" s="221">
        <f t="shared" ca="1" si="136"/>
        <v>111.036</v>
      </c>
      <c r="FI38" s="163">
        <f t="shared" ca="1" si="91"/>
        <v>7159.6012800000008</v>
      </c>
      <c r="FJ38" s="162"/>
      <c r="FK38" s="221">
        <f t="shared" ca="1" si="137"/>
        <v>64.14</v>
      </c>
      <c r="FL38" s="221">
        <f t="shared" ca="1" si="137"/>
        <v>110.986</v>
      </c>
      <c r="FM38" s="163">
        <f t="shared" ca="1" si="92"/>
        <v>7118.6420400000006</v>
      </c>
      <c r="FN38" s="162"/>
      <c r="FO38" s="221">
        <f t="shared" ca="1" si="138"/>
        <v>56.89</v>
      </c>
      <c r="FP38" s="221">
        <f t="shared" ca="1" si="138"/>
        <v>110.916</v>
      </c>
      <c r="FQ38" s="163">
        <f t="shared" ca="1" si="93"/>
        <v>6310.0112399999998</v>
      </c>
      <c r="FR38" s="162"/>
      <c r="FS38" s="221">
        <f t="shared" ca="1" si="139"/>
        <v>63.75</v>
      </c>
      <c r="FT38" s="221">
        <f t="shared" ca="1" si="139"/>
        <v>110.765</v>
      </c>
      <c r="FU38" s="163">
        <f t="shared" ca="1" si="94"/>
        <v>7061.2687500000002</v>
      </c>
      <c r="FW38" s="221">
        <f t="shared" ca="1" si="140"/>
        <v>68.31</v>
      </c>
      <c r="FX38" s="221">
        <f t="shared" ca="1" si="140"/>
        <v>110.68600000000001</v>
      </c>
      <c r="FY38" s="163">
        <f t="shared" ca="1" si="95"/>
        <v>7560.9606600000006</v>
      </c>
      <c r="GA38" s="221">
        <f t="shared" ca="1" si="141"/>
        <v>54.64</v>
      </c>
      <c r="GB38" s="221">
        <f t="shared" ca="1" si="141"/>
        <v>110.565</v>
      </c>
      <c r="GC38" s="163">
        <f t="shared" ca="1" si="96"/>
        <v>6041.2716</v>
      </c>
      <c r="GE38" s="221">
        <f t="shared" ca="1" si="142"/>
        <v>57.84</v>
      </c>
      <c r="GF38" s="221">
        <f t="shared" ca="1" si="142"/>
        <v>110.25700000000001</v>
      </c>
      <c r="GG38" s="163">
        <f t="shared" ca="1" si="97"/>
        <v>6377.2648800000006</v>
      </c>
      <c r="GI38" s="221">
        <f t="shared" ca="1" si="143"/>
        <v>54.66</v>
      </c>
      <c r="GJ38" s="221">
        <f t="shared" ca="1" si="143"/>
        <v>109.98416</v>
      </c>
      <c r="GK38" s="163">
        <f t="shared" ca="1" si="98"/>
        <v>6011.7341855999994</v>
      </c>
      <c r="GM38" s="221">
        <f t="shared" ca="1" si="144"/>
        <v>52.92</v>
      </c>
      <c r="GN38" s="221">
        <f t="shared" ca="1" si="144"/>
        <v>110.009</v>
      </c>
      <c r="GO38" s="163">
        <f t="shared" ca="1" si="99"/>
        <v>5821.6762800000006</v>
      </c>
      <c r="GQ38" s="221">
        <f t="shared" ca="1" si="145"/>
        <v>54.74</v>
      </c>
      <c r="GR38" s="221">
        <f t="shared" ca="1" si="145"/>
        <v>109.962</v>
      </c>
      <c r="GS38" s="163">
        <f t="shared" ca="1" si="100"/>
        <v>6019.31988</v>
      </c>
      <c r="GU38" s="221">
        <f t="shared" ca="1" si="110"/>
        <v>55.47</v>
      </c>
      <c r="GV38" s="221">
        <f t="shared" ca="1" si="110"/>
        <v>109.83199999999999</v>
      </c>
      <c r="GW38" s="163">
        <f t="shared" ca="1" si="101"/>
        <v>6092.3810399999993</v>
      </c>
      <c r="GY38" s="221">
        <f t="shared" ca="1" si="111"/>
        <v>57.89</v>
      </c>
      <c r="GZ38" s="221">
        <f t="shared" ca="1" si="111"/>
        <v>109.510296</v>
      </c>
      <c r="HA38" s="163">
        <f t="shared" ca="1" si="102"/>
        <v>6339.5510354400003</v>
      </c>
      <c r="HC38" s="221">
        <f t="shared" ca="1" si="112"/>
        <v>50.98</v>
      </c>
      <c r="HD38" s="221">
        <f t="shared" ca="1" si="112"/>
        <v>109.55500000000001</v>
      </c>
      <c r="HE38" s="163">
        <f t="shared" ca="1" si="103"/>
        <v>5585.1139000000003</v>
      </c>
      <c r="HG38" s="221">
        <f t="shared" ca="1" si="113"/>
        <v>52.8</v>
      </c>
      <c r="HH38" s="221">
        <f t="shared" ca="1" si="113"/>
        <v>109.491</v>
      </c>
      <c r="HI38" s="163">
        <f t="shared" ca="1" si="104"/>
        <v>5781.1247999999996</v>
      </c>
      <c r="HK38" s="221">
        <f t="shared" ca="1" si="114"/>
        <v>51.704999999999998</v>
      </c>
      <c r="HL38" s="221">
        <f t="shared" ca="1" si="114"/>
        <v>109.29900000000001</v>
      </c>
      <c r="HM38" s="163">
        <f t="shared" ca="1" si="105"/>
        <v>5651.304795</v>
      </c>
      <c r="HO38" s="148">
        <f t="shared" ca="1" si="115"/>
        <v>47.9</v>
      </c>
      <c r="HP38" s="148">
        <f t="shared" ca="1" si="115"/>
        <v>109.05284</v>
      </c>
      <c r="HQ38" s="163">
        <f t="shared" ca="1" si="106"/>
        <v>5223.6310359999998</v>
      </c>
      <c r="HS38" s="148">
        <f t="shared" ca="1" si="116"/>
        <v>48.18</v>
      </c>
      <c r="HT38" s="148">
        <f t="shared" ca="1" si="116"/>
        <v>109.128</v>
      </c>
      <c r="HU38" s="163">
        <f t="shared" ca="1" si="107"/>
        <v>5257.7870400000002</v>
      </c>
      <c r="HX38" s="149">
        <f t="shared" ref="HX38:HX47" ca="1" si="163">MATCH( $D38, INDIRECT( HX$6 &amp; HX$9 ), 0 )</f>
        <v>54</v>
      </c>
    </row>
    <row r="39" spans="2:232" s="137" customFormat="1">
      <c r="B39" s="155">
        <f t="shared" ca="1" si="108"/>
        <v>30</v>
      </c>
      <c r="C39" s="146" t="str">
        <f t="shared" ca="1" si="109"/>
        <v>TXNM Energy, Inc.</v>
      </c>
      <c r="D39" s="138" t="str">
        <f t="shared" ca="1" si="109"/>
        <v>TXNM</v>
      </c>
      <c r="E39" s="138">
        <f t="shared" ca="1" si="109"/>
        <v>4006880</v>
      </c>
      <c r="F39" s="147"/>
      <c r="G39" s="363">
        <f t="shared" ca="1" si="146"/>
        <v>49.17</v>
      </c>
      <c r="H39" s="363">
        <f t="shared" ca="1" si="146"/>
        <v>90.53</v>
      </c>
      <c r="I39" s="364">
        <f t="shared" ca="1" si="55"/>
        <v>4451.3600999999999</v>
      </c>
      <c r="J39" s="147"/>
      <c r="K39" s="147"/>
      <c r="L39" s="363">
        <f t="shared" ca="1" si="147"/>
        <v>43.77</v>
      </c>
      <c r="M39" s="363">
        <f t="shared" ca="1" si="147"/>
        <v>90.504000000000005</v>
      </c>
      <c r="N39" s="364">
        <f t="shared" ca="1" si="56"/>
        <v>3961.3600800000004</v>
      </c>
      <c r="O39" s="147"/>
      <c r="P39" s="147"/>
      <c r="Q39" s="363">
        <f t="shared" ca="1" si="148"/>
        <v>36.96</v>
      </c>
      <c r="R39" s="363">
        <f t="shared" ca="1" si="148"/>
        <v>90.483000000000004</v>
      </c>
      <c r="S39" s="364">
        <f t="shared" ca="1" si="57"/>
        <v>3344.2516800000003</v>
      </c>
      <c r="T39" s="147"/>
      <c r="U39" s="147"/>
      <c r="V39" s="363">
        <f t="shared" ca="1" si="149"/>
        <v>37.64</v>
      </c>
      <c r="W39" s="363">
        <f t="shared" ca="1" si="149"/>
        <v>86.908000000000001</v>
      </c>
      <c r="X39" s="364">
        <f t="shared" ca="1" si="58"/>
        <v>3271.2171200000003</v>
      </c>
      <c r="Y39" s="147"/>
      <c r="Z39" s="147"/>
      <c r="AA39" s="363">
        <f t="shared" ca="1" si="150"/>
        <v>41.6</v>
      </c>
      <c r="AB39" s="363">
        <f t="shared" ca="1" si="150"/>
        <v>86.088999999999999</v>
      </c>
      <c r="AC39" s="364">
        <f t="shared" ca="1" si="59"/>
        <v>3581.3024</v>
      </c>
      <c r="AD39" s="147"/>
      <c r="AE39" s="147"/>
      <c r="AF39" s="363">
        <f t="shared" ca="1" si="151"/>
        <v>44.61</v>
      </c>
      <c r="AG39" s="363">
        <f t="shared" ca="1" si="151"/>
        <v>86.084999999999994</v>
      </c>
      <c r="AH39" s="364">
        <f t="shared" ca="1" si="60"/>
        <v>3840.2518499999996</v>
      </c>
      <c r="AI39" s="147"/>
      <c r="AJ39" s="147"/>
      <c r="AK39" s="363">
        <f t="shared" ca="1" si="152"/>
        <v>45.1</v>
      </c>
      <c r="AL39" s="363">
        <f t="shared" ca="1" si="152"/>
        <v>86.100999999999999</v>
      </c>
      <c r="AM39" s="364">
        <f t="shared" ca="1" si="61"/>
        <v>3883.1550999999999</v>
      </c>
      <c r="AN39" s="147"/>
      <c r="AO39" s="147"/>
      <c r="AP39" s="363">
        <f t="shared" ca="1" si="153"/>
        <v>48.68</v>
      </c>
      <c r="AQ39" s="363">
        <f t="shared" ca="1" si="153"/>
        <v>86.122</v>
      </c>
      <c r="AR39" s="364">
        <f t="shared" ca="1" si="62"/>
        <v>4192.41896</v>
      </c>
      <c r="AS39" s="147"/>
      <c r="AT39" s="147"/>
      <c r="AU39" s="363">
        <f t="shared" ca="1" si="154"/>
        <v>48.79</v>
      </c>
      <c r="AV39" s="363">
        <f t="shared" ca="1" si="154"/>
        <v>86.100999999999999</v>
      </c>
      <c r="AW39" s="364">
        <f t="shared" ca="1" si="63"/>
        <v>4200.8677900000002</v>
      </c>
      <c r="AX39" s="147"/>
      <c r="AY39" s="147"/>
      <c r="AZ39" s="363">
        <f t="shared" ca="1" si="155"/>
        <v>45.73</v>
      </c>
      <c r="BA39" s="363">
        <f t="shared" ca="1" si="155"/>
        <v>86.186000000000007</v>
      </c>
      <c r="BB39" s="364">
        <f t="shared" ca="1" si="64"/>
        <v>3941.2857800000002</v>
      </c>
      <c r="BC39" s="147"/>
      <c r="BD39" s="147"/>
      <c r="BE39" s="363">
        <f t="shared" ca="1" si="156"/>
        <v>47.78</v>
      </c>
      <c r="BF39" s="363">
        <f t="shared" ca="1" si="156"/>
        <v>86.090999999999994</v>
      </c>
      <c r="BG39" s="364">
        <f t="shared" ca="1" si="65"/>
        <v>4113.4279799999995</v>
      </c>
      <c r="BH39" s="147"/>
      <c r="BI39" s="147"/>
      <c r="BJ39" s="363">
        <f t="shared" ca="1" si="157"/>
        <v>47.67</v>
      </c>
      <c r="BK39" s="363">
        <f t="shared" ca="1" si="157"/>
        <v>86.07</v>
      </c>
      <c r="BL39" s="364">
        <f t="shared" ca="1" si="66"/>
        <v>4102.9569000000001</v>
      </c>
      <c r="BM39" s="147"/>
      <c r="BN39" s="147"/>
      <c r="BO39" s="363">
        <f t="shared" ca="1" si="158"/>
        <v>45.61</v>
      </c>
      <c r="BP39" s="363">
        <f t="shared" ca="1" si="158"/>
        <v>86.072000000000003</v>
      </c>
      <c r="BQ39" s="364">
        <f t="shared" ca="1" si="67"/>
        <v>3925.7439199999999</v>
      </c>
      <c r="BR39" s="162"/>
      <c r="BS39" s="363">
        <f t="shared" ca="1" si="159"/>
        <v>49.48</v>
      </c>
      <c r="BT39" s="363">
        <f t="shared" ca="1" si="159"/>
        <v>86.066000000000003</v>
      </c>
      <c r="BU39" s="364">
        <f t="shared" ca="1" si="68"/>
        <v>4258.5456800000002</v>
      </c>
      <c r="BV39" s="162"/>
      <c r="BW39" s="363">
        <f t="shared" ca="1" si="160"/>
        <v>48.77</v>
      </c>
      <c r="BX39" s="363">
        <f t="shared" ca="1" si="160"/>
        <v>86.031000000000006</v>
      </c>
      <c r="BY39" s="364">
        <f t="shared" ca="1" si="69"/>
        <v>4195.7318700000005</v>
      </c>
      <c r="BZ39" s="162"/>
      <c r="CA39" s="363">
        <f t="shared" ca="1" si="161"/>
        <v>49.05</v>
      </c>
      <c r="CB39" s="363">
        <f t="shared" ca="1" si="161"/>
        <v>80.156999999999996</v>
      </c>
      <c r="CC39" s="364">
        <f t="shared" ca="1" si="70"/>
        <v>3931.7008499999997</v>
      </c>
      <c r="CD39" s="162"/>
      <c r="CE39" s="363">
        <f t="shared" ca="1" si="162"/>
        <v>48.53</v>
      </c>
      <c r="CF39" s="363">
        <f t="shared" ca="1" si="162"/>
        <v>79.867000000000004</v>
      </c>
      <c r="CG39" s="364">
        <f t="shared" ca="1" si="71"/>
        <v>3875.9455100000005</v>
      </c>
      <c r="CH39" s="162"/>
      <c r="CI39" s="363">
        <f t="shared" ca="1" si="117"/>
        <v>41.33</v>
      </c>
      <c r="CJ39" s="363">
        <f t="shared" ca="1" si="117"/>
        <v>79.84</v>
      </c>
      <c r="CK39" s="364">
        <f t="shared" ca="1" si="72"/>
        <v>3299.7872000000002</v>
      </c>
      <c r="CL39" s="162"/>
      <c r="CM39" s="363">
        <f t="shared" ca="1" si="118"/>
        <v>38.44</v>
      </c>
      <c r="CN39" s="363">
        <f t="shared" ca="1" si="118"/>
        <v>79.870999999999995</v>
      </c>
      <c r="CO39" s="364">
        <f t="shared" ca="1" si="73"/>
        <v>3070.2412399999998</v>
      </c>
      <c r="CP39" s="162"/>
      <c r="CQ39" s="221">
        <f t="shared" ca="1" si="119"/>
        <v>38</v>
      </c>
      <c r="CR39" s="221">
        <f t="shared" ca="1" si="119"/>
        <v>79.930999999999997</v>
      </c>
      <c r="CS39" s="163">
        <f t="shared" ca="1" si="74"/>
        <v>3037.3779999999997</v>
      </c>
      <c r="CT39" s="162"/>
      <c r="CU39" s="221">
        <f t="shared" ca="1" si="120"/>
        <v>50.71</v>
      </c>
      <c r="CV39" s="221">
        <f t="shared" ca="1" si="120"/>
        <v>80.000506000000001</v>
      </c>
      <c r="CW39" s="163">
        <f t="shared" ca="1" si="75"/>
        <v>4056.8256592600001</v>
      </c>
      <c r="CX39" s="162"/>
      <c r="CY39" s="221">
        <f t="shared" ca="1" si="121"/>
        <v>52.08</v>
      </c>
      <c r="CZ39" s="221">
        <f t="shared" ca="1" si="121"/>
        <v>79.917269000000005</v>
      </c>
      <c r="DA39" s="163">
        <f t="shared" ca="1" si="76"/>
        <v>4162.0913695199997</v>
      </c>
      <c r="DB39" s="162"/>
      <c r="DC39" s="221">
        <f t="shared" ca="1" si="122"/>
        <v>50.91</v>
      </c>
      <c r="DD39" s="221">
        <f t="shared" ca="1" si="122"/>
        <v>79.893000000000001</v>
      </c>
      <c r="DE39" s="163">
        <f t="shared" ca="1" si="77"/>
        <v>4067.3526299999999</v>
      </c>
      <c r="DF39" s="162"/>
      <c r="DG39" s="221">
        <f t="shared" ca="1" si="123"/>
        <v>47.34</v>
      </c>
      <c r="DH39" s="221">
        <f t="shared" ca="1" si="123"/>
        <v>79.89</v>
      </c>
      <c r="DI39" s="163">
        <f t="shared" ca="1" si="78"/>
        <v>3781.9926000000005</v>
      </c>
      <c r="DJ39" s="162"/>
      <c r="DK39" s="221">
        <f t="shared" ca="1" si="124"/>
        <v>41.09</v>
      </c>
      <c r="DL39" s="221">
        <f t="shared" ca="1" si="124"/>
        <v>79.869</v>
      </c>
      <c r="DM39" s="163">
        <f t="shared" ca="1" si="79"/>
        <v>3281.8172100000002</v>
      </c>
      <c r="DN39" s="162"/>
      <c r="DO39" s="221">
        <f t="shared" ca="1" si="125"/>
        <v>39.450000000000003</v>
      </c>
      <c r="DP39" s="221">
        <f t="shared" ca="1" si="125"/>
        <v>79.864999999999995</v>
      </c>
      <c r="DQ39" s="163">
        <f t="shared" ca="1" si="80"/>
        <v>3150.67425</v>
      </c>
      <c r="DR39" s="162"/>
      <c r="DS39" s="221">
        <f t="shared" ca="1" si="126"/>
        <v>38.9</v>
      </c>
      <c r="DT39" s="221">
        <f t="shared" ca="1" si="126"/>
        <v>79.858999999999995</v>
      </c>
      <c r="DU39" s="163">
        <f t="shared" ca="1" si="81"/>
        <v>3106.5150999999996</v>
      </c>
      <c r="DV39" s="162"/>
      <c r="DW39" s="221">
        <f t="shared" ca="1" si="127"/>
        <v>38.25</v>
      </c>
      <c r="DX39" s="221">
        <f t="shared" ca="1" si="127"/>
        <v>80.169385000000005</v>
      </c>
      <c r="DY39" s="163">
        <f t="shared" ca="1" si="82"/>
        <v>3066.4789762500004</v>
      </c>
      <c r="DZ39" s="162"/>
      <c r="EA39" s="221">
        <f t="shared" ca="1" si="128"/>
        <v>40.450000000000003</v>
      </c>
      <c r="EB39" s="221">
        <f t="shared" ca="1" si="128"/>
        <v>79.938000000000002</v>
      </c>
      <c r="EC39" s="163">
        <f t="shared" ca="1" si="83"/>
        <v>3233.4921000000004</v>
      </c>
      <c r="ED39" s="162"/>
      <c r="EE39" s="221">
        <f t="shared" ca="1" si="129"/>
        <v>40.299999999999997</v>
      </c>
      <c r="EF39" s="221">
        <f t="shared" ca="1" si="129"/>
        <v>79.905000000000001</v>
      </c>
      <c r="EG39" s="163">
        <f t="shared" ca="1" si="84"/>
        <v>3220.1714999999999</v>
      </c>
      <c r="EH39" s="162"/>
      <c r="EI39" s="221">
        <f t="shared" ca="1" si="130"/>
        <v>38.25</v>
      </c>
      <c r="EJ39" s="221">
        <f t="shared" ca="1" si="130"/>
        <v>79.766000000000005</v>
      </c>
      <c r="EK39" s="163">
        <f t="shared" ca="1" si="85"/>
        <v>3051.0495000000001</v>
      </c>
      <c r="EL39" s="162"/>
      <c r="EM39" s="221">
        <f t="shared" ca="1" si="131"/>
        <v>37</v>
      </c>
      <c r="EN39" s="221">
        <f t="shared" ca="1" si="131"/>
        <v>79.757999999999996</v>
      </c>
      <c r="EO39" s="163">
        <f t="shared" ca="1" si="86"/>
        <v>2951.0459999999998</v>
      </c>
      <c r="EP39" s="162"/>
      <c r="EQ39" s="221">
        <f t="shared" ca="1" si="132"/>
        <v>34.299999999999997</v>
      </c>
      <c r="ER39" s="221">
        <f t="shared" ca="1" si="132"/>
        <v>79.75</v>
      </c>
      <c r="ES39" s="163">
        <f t="shared" ca="1" si="87"/>
        <v>2735.4249999999997</v>
      </c>
      <c r="ET39" s="162"/>
      <c r="EU39" s="221">
        <f t="shared" ca="1" si="133"/>
        <v>32.72</v>
      </c>
      <c r="EV39" s="221">
        <f t="shared" ca="1" si="133"/>
        <v>79.751000000000005</v>
      </c>
      <c r="EW39" s="163">
        <f t="shared" ca="1" si="88"/>
        <v>2609.4527200000002</v>
      </c>
      <c r="EX39" s="162"/>
      <c r="EY39" s="221">
        <f t="shared" ca="1" si="134"/>
        <v>35.44</v>
      </c>
      <c r="EZ39" s="221">
        <f t="shared" ca="1" si="134"/>
        <v>79.757999999999996</v>
      </c>
      <c r="FA39" s="163">
        <f t="shared" ca="1" si="89"/>
        <v>2826.6235199999996</v>
      </c>
      <c r="FB39" s="162"/>
      <c r="FC39" s="221">
        <f t="shared" ca="1" si="135"/>
        <v>33.72</v>
      </c>
      <c r="FD39" s="221">
        <f t="shared" ca="1" si="135"/>
        <v>79.759</v>
      </c>
      <c r="FE39" s="163">
        <f t="shared" ca="1" si="90"/>
        <v>2689.4734800000001</v>
      </c>
      <c r="FF39" s="162"/>
      <c r="FG39" s="221">
        <f t="shared" ca="1" si="136"/>
        <v>30.57</v>
      </c>
      <c r="FH39" s="221">
        <f t="shared" ca="1" si="136"/>
        <v>79.754000000000005</v>
      </c>
      <c r="FI39" s="163">
        <f t="shared" ca="1" si="91"/>
        <v>2438.07978</v>
      </c>
      <c r="FJ39" s="162"/>
      <c r="FK39" s="221">
        <f t="shared" ca="1" si="137"/>
        <v>28.05</v>
      </c>
      <c r="FL39" s="221">
        <f t="shared" ca="1" si="137"/>
        <v>79.753</v>
      </c>
      <c r="FM39" s="163">
        <f t="shared" ca="1" si="92"/>
        <v>2237.0716499999999</v>
      </c>
      <c r="FN39" s="162"/>
      <c r="FO39" s="221">
        <f t="shared" ca="1" si="138"/>
        <v>24.6</v>
      </c>
      <c r="FP39" s="221">
        <f t="shared" ca="1" si="138"/>
        <v>79.766000000000005</v>
      </c>
      <c r="FQ39" s="163">
        <f t="shared" ca="1" si="93"/>
        <v>1962.2436000000002</v>
      </c>
      <c r="FR39" s="162"/>
      <c r="FS39" s="221">
        <f t="shared" ca="1" si="139"/>
        <v>29.2</v>
      </c>
      <c r="FT39" s="221">
        <f t="shared" ca="1" si="139"/>
        <v>79.787999999999997</v>
      </c>
      <c r="FU39" s="163">
        <f t="shared" ca="1" si="94"/>
        <v>2329.8096</v>
      </c>
      <c r="FW39" s="221">
        <f t="shared" ca="1" si="140"/>
        <v>29.63</v>
      </c>
      <c r="FX39" s="221">
        <f t="shared" ca="1" si="140"/>
        <v>79.766000000000005</v>
      </c>
      <c r="FY39" s="163">
        <f t="shared" ca="1" si="95"/>
        <v>2363.4665800000002</v>
      </c>
      <c r="GA39" s="221">
        <f t="shared" ca="1" si="141"/>
        <v>24.91</v>
      </c>
      <c r="GB39" s="221">
        <f t="shared" ca="1" si="141"/>
        <v>79.763999999999996</v>
      </c>
      <c r="GC39" s="163">
        <f t="shared" ca="1" si="96"/>
        <v>1986.9212399999999</v>
      </c>
      <c r="GE39" s="221">
        <f t="shared" ca="1" si="142"/>
        <v>29.33</v>
      </c>
      <c r="GF39" s="221">
        <f t="shared" ca="1" si="142"/>
        <v>79.835999999999999</v>
      </c>
      <c r="GG39" s="163">
        <f t="shared" ca="1" si="97"/>
        <v>2341.58988</v>
      </c>
      <c r="GI39" s="221">
        <f t="shared" ca="1" si="143"/>
        <v>27.03</v>
      </c>
      <c r="GJ39" s="221">
        <f t="shared" ca="1" si="143"/>
        <v>79.844999999999999</v>
      </c>
      <c r="GK39" s="163">
        <f t="shared" ca="1" si="98"/>
        <v>2158.2103499999998</v>
      </c>
      <c r="GM39" s="221">
        <f t="shared" ca="1" si="144"/>
        <v>24.12</v>
      </c>
      <c r="GN39" s="221">
        <f t="shared" ca="1" si="144"/>
        <v>79.831000000000003</v>
      </c>
      <c r="GO39" s="163">
        <f t="shared" ca="1" si="99"/>
        <v>1925.5237200000001</v>
      </c>
      <c r="GQ39" s="221">
        <f t="shared" ca="1" si="145"/>
        <v>22.63</v>
      </c>
      <c r="GR39" s="221">
        <f t="shared" ca="1" si="145"/>
        <v>79.847999999999999</v>
      </c>
      <c r="GS39" s="163">
        <f t="shared" ca="1" si="100"/>
        <v>1806.9602399999999</v>
      </c>
      <c r="GU39" s="221">
        <f t="shared" ca="1" si="110"/>
        <v>22.19</v>
      </c>
      <c r="GV39" s="221">
        <f t="shared" ca="1" si="110"/>
        <v>79.864999999999995</v>
      </c>
      <c r="GW39" s="163">
        <f t="shared" ca="1" si="101"/>
        <v>1772.20435</v>
      </c>
      <c r="GY39" s="221">
        <f t="shared" ca="1" si="111"/>
        <v>23.29</v>
      </c>
      <c r="GZ39" s="221">
        <f t="shared" ca="1" si="111"/>
        <v>79.799000000000007</v>
      </c>
      <c r="HA39" s="163">
        <f t="shared" ca="1" si="102"/>
        <v>1858.5187100000001</v>
      </c>
      <c r="HC39" s="221">
        <f t="shared" ca="1" si="112"/>
        <v>20.51</v>
      </c>
      <c r="HD39" s="221">
        <f t="shared" ca="1" si="112"/>
        <v>79.768000000000001</v>
      </c>
      <c r="HE39" s="163">
        <f t="shared" ca="1" si="103"/>
        <v>1636.04168</v>
      </c>
      <c r="HG39" s="221">
        <f t="shared" ca="1" si="113"/>
        <v>21.03</v>
      </c>
      <c r="HH39" s="221">
        <f t="shared" ca="1" si="113"/>
        <v>79.808000000000007</v>
      </c>
      <c r="HI39" s="163">
        <f t="shared" ca="1" si="104"/>
        <v>1678.3622400000002</v>
      </c>
      <c r="HK39" s="221">
        <f t="shared" ca="1" si="114"/>
        <v>19.54</v>
      </c>
      <c r="HL39" s="221">
        <f t="shared" ca="1" si="114"/>
        <v>79.853999999999999</v>
      </c>
      <c r="HM39" s="163">
        <f t="shared" ca="1" si="105"/>
        <v>1560.3471599999998</v>
      </c>
      <c r="HO39" s="148">
        <f t="shared" ca="1" si="115"/>
        <v>18.3</v>
      </c>
      <c r="HP39" s="148">
        <f t="shared" ca="1" si="115"/>
        <v>89.200999999999993</v>
      </c>
      <c r="HQ39" s="163">
        <f t="shared" ca="1" si="106"/>
        <v>1632.3782999999999</v>
      </c>
      <c r="HS39" s="148">
        <f t="shared" ca="1" si="116"/>
        <v>18.239999999999998</v>
      </c>
      <c r="HT39" s="148">
        <f t="shared" ca="1" si="116"/>
        <v>91.2</v>
      </c>
      <c r="HU39" s="163">
        <f t="shared" ca="1" si="107"/>
        <v>1663.4879999999998</v>
      </c>
      <c r="HX39" s="149">
        <f t="shared" ca="1" si="163"/>
        <v>99</v>
      </c>
    </row>
    <row r="40" spans="2:232" s="137" customFormat="1">
      <c r="B40" s="155">
        <f t="shared" ca="1" si="108"/>
        <v>31</v>
      </c>
      <c r="C40" s="146" t="str">
        <f t="shared" ca="1" si="109"/>
        <v>Portland General Electric Company</v>
      </c>
      <c r="D40" s="138" t="str">
        <f t="shared" ca="1" si="109"/>
        <v>POR</v>
      </c>
      <c r="E40" s="138">
        <f t="shared" ca="1" si="109"/>
        <v>4057019</v>
      </c>
      <c r="F40" s="147"/>
      <c r="G40" s="363">
        <f t="shared" ca="1" si="146"/>
        <v>43.62</v>
      </c>
      <c r="H40" s="363">
        <f t="shared" ca="1" si="146"/>
        <v>103.845</v>
      </c>
      <c r="I40" s="364">
        <f t="shared" ca="1" si="55"/>
        <v>4529.7188999999998</v>
      </c>
      <c r="J40" s="147"/>
      <c r="K40" s="147"/>
      <c r="L40" s="363">
        <f t="shared" ca="1" si="147"/>
        <v>47.9</v>
      </c>
      <c r="M40" s="363">
        <f t="shared" ca="1" si="147"/>
        <v>103.03400000000001</v>
      </c>
      <c r="N40" s="364">
        <f t="shared" ca="1" si="56"/>
        <v>4935.3285999999998</v>
      </c>
      <c r="O40" s="147"/>
      <c r="P40" s="147"/>
      <c r="Q40" s="363">
        <f t="shared" ca="1" si="148"/>
        <v>43.24</v>
      </c>
      <c r="R40" s="363">
        <f t="shared" ca="1" si="148"/>
        <v>101.29900000000001</v>
      </c>
      <c r="S40" s="364">
        <f t="shared" ca="1" si="57"/>
        <v>4380.1687600000005</v>
      </c>
      <c r="T40" s="147"/>
      <c r="U40" s="147"/>
      <c r="V40" s="363">
        <f t="shared" ca="1" si="149"/>
        <v>42</v>
      </c>
      <c r="W40" s="363">
        <f t="shared" ca="1" si="149"/>
        <v>101.16500000000001</v>
      </c>
      <c r="X40" s="364">
        <f t="shared" ca="1" si="58"/>
        <v>4248.93</v>
      </c>
      <c r="Y40" s="147"/>
      <c r="Z40" s="147"/>
      <c r="AA40" s="363">
        <f t="shared" ca="1" si="150"/>
        <v>43.34</v>
      </c>
      <c r="AB40" s="363">
        <f t="shared" ca="1" si="150"/>
        <v>100.849</v>
      </c>
      <c r="AC40" s="364">
        <f t="shared" ca="1" si="59"/>
        <v>4370.7956600000007</v>
      </c>
      <c r="AD40" s="147"/>
      <c r="AE40" s="147"/>
      <c r="AF40" s="363">
        <f t="shared" ca="1" si="151"/>
        <v>40.479999999999997</v>
      </c>
      <c r="AG40" s="363">
        <f t="shared" ca="1" si="151"/>
        <v>97.087000000000003</v>
      </c>
      <c r="AH40" s="364">
        <f t="shared" ca="1" si="60"/>
        <v>3930.08176</v>
      </c>
      <c r="AI40" s="147"/>
      <c r="AJ40" s="147"/>
      <c r="AK40" s="363">
        <f t="shared" ca="1" si="152"/>
        <v>46.83</v>
      </c>
      <c r="AL40" s="363">
        <f t="shared" ca="1" si="152"/>
        <v>91.84</v>
      </c>
      <c r="AM40" s="364">
        <f t="shared" ca="1" si="61"/>
        <v>4300.8671999999997</v>
      </c>
      <c r="AN40" s="147"/>
      <c r="AO40" s="147"/>
      <c r="AP40" s="363">
        <f t="shared" ca="1" si="153"/>
        <v>48.89</v>
      </c>
      <c r="AQ40" s="363">
        <f t="shared" ca="1" si="153"/>
        <v>89.29</v>
      </c>
      <c r="AR40" s="364">
        <f t="shared" ca="1" si="62"/>
        <v>4365.3881000000001</v>
      </c>
      <c r="AS40" s="147"/>
      <c r="AT40" s="147"/>
      <c r="AU40" s="363">
        <f t="shared" ca="1" si="154"/>
        <v>49</v>
      </c>
      <c r="AV40" s="363">
        <f t="shared" ca="1" si="154"/>
        <v>89.263000000000005</v>
      </c>
      <c r="AW40" s="364">
        <f t="shared" ca="1" si="63"/>
        <v>4373.8870000000006</v>
      </c>
      <c r="AX40" s="147"/>
      <c r="AY40" s="147"/>
      <c r="AZ40" s="363">
        <f t="shared" ca="1" si="155"/>
        <v>43.46</v>
      </c>
      <c r="BA40" s="363">
        <f t="shared" ca="1" si="155"/>
        <v>89.224999999999994</v>
      </c>
      <c r="BB40" s="364">
        <f t="shared" ca="1" si="64"/>
        <v>3877.7184999999999</v>
      </c>
      <c r="BC40" s="147"/>
      <c r="BD40" s="147"/>
      <c r="BE40" s="363">
        <f t="shared" ca="1" si="156"/>
        <v>48.33</v>
      </c>
      <c r="BF40" s="363">
        <f t="shared" ca="1" si="156"/>
        <v>89.396000000000001</v>
      </c>
      <c r="BG40" s="364">
        <f t="shared" ca="1" si="65"/>
        <v>4320.5086799999999</v>
      </c>
      <c r="BH40" s="147"/>
      <c r="BI40" s="147"/>
      <c r="BJ40" s="363">
        <f t="shared" ca="1" si="157"/>
        <v>55.15</v>
      </c>
      <c r="BK40" s="363">
        <f t="shared" ca="1" si="157"/>
        <v>89.480999999999995</v>
      </c>
      <c r="BL40" s="364">
        <f t="shared" ca="1" si="66"/>
        <v>4934.8771499999993</v>
      </c>
      <c r="BM40" s="147"/>
      <c r="BN40" s="147"/>
      <c r="BO40" s="363">
        <f t="shared" ca="1" si="158"/>
        <v>52.92</v>
      </c>
      <c r="BP40" s="363">
        <f t="shared" ca="1" si="158"/>
        <v>89.406999999999996</v>
      </c>
      <c r="BQ40" s="364">
        <f t="shared" ca="1" si="67"/>
        <v>4731.4184400000004</v>
      </c>
      <c r="BR40" s="162"/>
      <c r="BS40" s="363">
        <f t="shared" ca="1" si="159"/>
        <v>46.99</v>
      </c>
      <c r="BT40" s="363">
        <f t="shared" ca="1" si="159"/>
        <v>89.554000000000002</v>
      </c>
      <c r="BU40" s="364">
        <f t="shared" ca="1" si="68"/>
        <v>4208.14246</v>
      </c>
      <c r="BV40" s="162"/>
      <c r="BW40" s="363">
        <f t="shared" ca="1" si="160"/>
        <v>46.08</v>
      </c>
      <c r="BX40" s="363">
        <f t="shared" ca="1" si="160"/>
        <v>89.555999999999997</v>
      </c>
      <c r="BY40" s="364">
        <f t="shared" ca="1" si="69"/>
        <v>4126.7404799999995</v>
      </c>
      <c r="BZ40" s="162"/>
      <c r="CA40" s="363">
        <f t="shared" ca="1" si="161"/>
        <v>47.47</v>
      </c>
      <c r="CB40" s="363">
        <f t="shared" ca="1" si="161"/>
        <v>89.484999999999999</v>
      </c>
      <c r="CC40" s="364">
        <f t="shared" ca="1" si="70"/>
        <v>4247.8529499999995</v>
      </c>
      <c r="CD40" s="162"/>
      <c r="CE40" s="363">
        <f t="shared" ca="1" si="162"/>
        <v>42.77</v>
      </c>
      <c r="CF40" s="363">
        <f t="shared" ca="1" si="162"/>
        <v>89.509</v>
      </c>
      <c r="CG40" s="364">
        <f t="shared" ca="1" si="71"/>
        <v>3828.2999300000001</v>
      </c>
      <c r="CH40" s="162"/>
      <c r="CI40" s="363">
        <f t="shared" ca="1" si="117"/>
        <v>35.5</v>
      </c>
      <c r="CJ40" s="363">
        <f t="shared" ca="1" si="117"/>
        <v>89.489000000000004</v>
      </c>
      <c r="CK40" s="364">
        <f t="shared" ca="1" si="72"/>
        <v>3176.8595</v>
      </c>
      <c r="CL40" s="162"/>
      <c r="CM40" s="363">
        <f t="shared" ca="1" si="118"/>
        <v>41.81</v>
      </c>
      <c r="CN40" s="363">
        <f t="shared" ca="1" si="118"/>
        <v>89.429000000000002</v>
      </c>
      <c r="CO40" s="364">
        <f t="shared" ca="1" si="73"/>
        <v>3739.0264900000002</v>
      </c>
      <c r="CP40" s="162"/>
      <c r="CQ40" s="221">
        <f t="shared" ca="1" si="119"/>
        <v>47.94</v>
      </c>
      <c r="CR40" s="221">
        <f t="shared" ca="1" si="119"/>
        <v>89.352999999999994</v>
      </c>
      <c r="CS40" s="163">
        <f t="shared" ca="1" si="74"/>
        <v>4283.5828199999996</v>
      </c>
      <c r="CT40" s="162"/>
      <c r="CU40" s="221">
        <f t="shared" ca="1" si="120"/>
        <v>55.79</v>
      </c>
      <c r="CV40" s="221">
        <f t="shared" ca="1" si="120"/>
        <v>89.372</v>
      </c>
      <c r="CW40" s="163">
        <f t="shared" ca="1" si="75"/>
        <v>4986.0638799999997</v>
      </c>
      <c r="CX40" s="162"/>
      <c r="CY40" s="221">
        <f t="shared" ca="1" si="121"/>
        <v>56.37</v>
      </c>
      <c r="CZ40" s="221">
        <f t="shared" ca="1" si="121"/>
        <v>89.356999999999999</v>
      </c>
      <c r="DA40" s="163">
        <f t="shared" ca="1" si="76"/>
        <v>5037.0540899999996</v>
      </c>
      <c r="DB40" s="162"/>
      <c r="DC40" s="221">
        <f t="shared" ca="1" si="122"/>
        <v>54.17</v>
      </c>
      <c r="DD40" s="221">
        <f t="shared" ca="1" si="122"/>
        <v>89.308999999999997</v>
      </c>
      <c r="DE40" s="163">
        <f t="shared" ca="1" si="77"/>
        <v>4837.8685299999997</v>
      </c>
      <c r="DF40" s="162"/>
      <c r="DG40" s="221">
        <f t="shared" ca="1" si="123"/>
        <v>51.84</v>
      </c>
      <c r="DH40" s="221">
        <f t="shared" ca="1" si="123"/>
        <v>89.215000000000003</v>
      </c>
      <c r="DI40" s="163">
        <f t="shared" ca="1" si="78"/>
        <v>4624.9056</v>
      </c>
      <c r="DJ40" s="162"/>
      <c r="DK40" s="221">
        <f t="shared" ca="1" si="124"/>
        <v>45.85</v>
      </c>
      <c r="DL40" s="221">
        <f t="shared" ca="1" si="124"/>
        <v>89.239000000000004</v>
      </c>
      <c r="DM40" s="163">
        <f t="shared" ca="1" si="79"/>
        <v>4091.6081500000005</v>
      </c>
      <c r="DN40" s="162"/>
      <c r="DO40" s="221">
        <f t="shared" ca="1" si="125"/>
        <v>45.61</v>
      </c>
      <c r="DP40" s="221">
        <f t="shared" ca="1" si="125"/>
        <v>89.215000000000003</v>
      </c>
      <c r="DQ40" s="163">
        <f t="shared" ca="1" si="80"/>
        <v>4069.0961500000003</v>
      </c>
      <c r="DR40" s="162"/>
      <c r="DS40" s="221">
        <f t="shared" ca="1" si="126"/>
        <v>42.76</v>
      </c>
      <c r="DT40" s="221">
        <f t="shared" ca="1" si="126"/>
        <v>89.16</v>
      </c>
      <c r="DU40" s="163">
        <f t="shared" ca="1" si="81"/>
        <v>3812.4815999999996</v>
      </c>
      <c r="DV40" s="162"/>
      <c r="DW40" s="221">
        <f t="shared" ca="1" si="127"/>
        <v>40.51</v>
      </c>
      <c r="DX40" s="221">
        <f t="shared" ca="1" si="127"/>
        <v>89.055999999999997</v>
      </c>
      <c r="DY40" s="163">
        <f t="shared" ca="1" si="82"/>
        <v>3607.6585599999999</v>
      </c>
      <c r="DZ40" s="162"/>
      <c r="EA40" s="221">
        <f t="shared" ca="1" si="128"/>
        <v>45.58</v>
      </c>
      <c r="EB40" s="221">
        <f t="shared" ca="1" si="128"/>
        <v>89.064999999999998</v>
      </c>
      <c r="EC40" s="163">
        <f t="shared" ca="1" si="83"/>
        <v>4059.5826999999999</v>
      </c>
      <c r="ED40" s="162"/>
      <c r="EE40" s="221">
        <f t="shared" ca="1" si="129"/>
        <v>45.64</v>
      </c>
      <c r="EF40" s="221">
        <f t="shared" ca="1" si="129"/>
        <v>89.063000000000002</v>
      </c>
      <c r="EG40" s="163">
        <f t="shared" ca="1" si="84"/>
        <v>4064.8353200000001</v>
      </c>
      <c r="EH40" s="162"/>
      <c r="EI40" s="221">
        <f t="shared" ca="1" si="130"/>
        <v>45.69</v>
      </c>
      <c r="EJ40" s="221">
        <f t="shared" ca="1" si="130"/>
        <v>89.003</v>
      </c>
      <c r="EK40" s="163">
        <f t="shared" ca="1" si="85"/>
        <v>4066.5470699999996</v>
      </c>
      <c r="EL40" s="162"/>
      <c r="EM40" s="221">
        <f t="shared" ca="1" si="131"/>
        <v>44.42</v>
      </c>
      <c r="EN40" s="221">
        <f t="shared" ca="1" si="131"/>
        <v>88.896000000000001</v>
      </c>
      <c r="EO40" s="163">
        <f t="shared" ca="1" si="86"/>
        <v>3948.7603200000003</v>
      </c>
      <c r="EP40" s="162"/>
      <c r="EQ40" s="221">
        <f t="shared" ca="1" si="132"/>
        <v>43.33</v>
      </c>
      <c r="ER40" s="221">
        <f t="shared" ca="1" si="132"/>
        <v>88.921000000000006</v>
      </c>
      <c r="ES40" s="163">
        <f t="shared" ca="1" si="87"/>
        <v>3852.9469300000001</v>
      </c>
      <c r="ET40" s="162"/>
      <c r="EU40" s="221">
        <f t="shared" ca="1" si="133"/>
        <v>42.59</v>
      </c>
      <c r="EV40" s="221">
        <f t="shared" ca="1" si="133"/>
        <v>88.902000000000001</v>
      </c>
      <c r="EW40" s="163">
        <f t="shared" ca="1" si="88"/>
        <v>3786.3361800000002</v>
      </c>
      <c r="EX40" s="162"/>
      <c r="EY40" s="221">
        <f t="shared" ca="1" si="134"/>
        <v>44.12</v>
      </c>
      <c r="EZ40" s="221">
        <f t="shared" ca="1" si="134"/>
        <v>88.832999999999998</v>
      </c>
      <c r="FA40" s="163">
        <f t="shared" ca="1" si="89"/>
        <v>3919.3119599999995</v>
      </c>
      <c r="FB40" s="162"/>
      <c r="FC40" s="221">
        <f t="shared" ca="1" si="135"/>
        <v>39.49</v>
      </c>
      <c r="FD40" s="221">
        <f t="shared" ca="1" si="135"/>
        <v>84.18</v>
      </c>
      <c r="FE40" s="163">
        <f t="shared" ca="1" si="90"/>
        <v>3324.2682000000004</v>
      </c>
      <c r="FF40" s="162"/>
      <c r="FG40" s="221">
        <f t="shared" ca="1" si="136"/>
        <v>36.369999999999997</v>
      </c>
      <c r="FH40" s="221">
        <f t="shared" ca="1" si="136"/>
        <v>88.766000000000005</v>
      </c>
      <c r="FI40" s="163">
        <f t="shared" ca="1" si="91"/>
        <v>3228.4194200000002</v>
      </c>
      <c r="FJ40" s="162"/>
      <c r="FK40" s="221">
        <f t="shared" ca="1" si="137"/>
        <v>36.97</v>
      </c>
      <c r="FL40" s="221">
        <f t="shared" ca="1" si="137"/>
        <v>80.745000000000005</v>
      </c>
      <c r="FM40" s="163">
        <f t="shared" ca="1" si="92"/>
        <v>2985.1426500000002</v>
      </c>
      <c r="FN40" s="162"/>
      <c r="FO40" s="221">
        <f t="shared" ca="1" si="138"/>
        <v>33.159999999999997</v>
      </c>
      <c r="FP40" s="221">
        <f t="shared" ca="1" si="138"/>
        <v>78.271000000000001</v>
      </c>
      <c r="FQ40" s="163">
        <f t="shared" ca="1" si="93"/>
        <v>2595.4663599999999</v>
      </c>
      <c r="FR40" s="162"/>
      <c r="FS40" s="221">
        <f t="shared" ca="1" si="139"/>
        <v>37.090000000000003</v>
      </c>
      <c r="FT40" s="221">
        <f t="shared" ca="1" si="139"/>
        <v>78.209999999999994</v>
      </c>
      <c r="FU40" s="163">
        <f t="shared" ca="1" si="94"/>
        <v>2900.8089</v>
      </c>
      <c r="FW40" s="221">
        <f t="shared" ca="1" si="140"/>
        <v>37.83</v>
      </c>
      <c r="FX40" s="221">
        <f t="shared" ca="1" si="140"/>
        <v>78.203000000000003</v>
      </c>
      <c r="FY40" s="163">
        <f t="shared" ca="1" si="95"/>
        <v>2958.4194899999998</v>
      </c>
      <c r="GA40" s="221">
        <f t="shared" ca="1" si="141"/>
        <v>32.119999999999997</v>
      </c>
      <c r="GB40" s="221">
        <f t="shared" ca="1" si="141"/>
        <v>78.183000000000007</v>
      </c>
      <c r="GC40" s="163">
        <f t="shared" ca="1" si="96"/>
        <v>2511.2379599999999</v>
      </c>
      <c r="GE40" s="221">
        <f t="shared" ca="1" si="142"/>
        <v>34.67</v>
      </c>
      <c r="GF40" s="221">
        <f t="shared" ca="1" si="142"/>
        <v>78.992000000000004</v>
      </c>
      <c r="GG40" s="163">
        <f t="shared" ca="1" si="97"/>
        <v>2738.6526400000002</v>
      </c>
      <c r="GI40" s="221">
        <f t="shared" ca="1" si="143"/>
        <v>32.340000000000003</v>
      </c>
      <c r="GJ40" s="221">
        <f t="shared" ca="1" si="143"/>
        <v>76.820999999999998</v>
      </c>
      <c r="GK40" s="163">
        <f t="shared" ca="1" si="98"/>
        <v>2484.3911400000002</v>
      </c>
      <c r="GM40" s="221">
        <f t="shared" ca="1" si="144"/>
        <v>30.2</v>
      </c>
      <c r="GN40" s="221">
        <f t="shared" ca="1" si="144"/>
        <v>77.637</v>
      </c>
      <c r="GO40" s="163">
        <f t="shared" ca="1" si="99"/>
        <v>2344.6374000000001</v>
      </c>
      <c r="GQ40" s="221">
        <f t="shared" ca="1" si="145"/>
        <v>28.23</v>
      </c>
      <c r="GR40" s="221">
        <f t="shared" ca="1" si="145"/>
        <v>75.935000000000002</v>
      </c>
      <c r="GS40" s="163">
        <f t="shared" ca="1" si="100"/>
        <v>2143.6450500000001</v>
      </c>
      <c r="GU40" s="221">
        <f t="shared" ca="1" si="110"/>
        <v>30.59</v>
      </c>
      <c r="GV40" s="221">
        <f t="shared" ca="1" si="110"/>
        <v>75.608000000000004</v>
      </c>
      <c r="GW40" s="163">
        <f t="shared" ca="1" si="101"/>
        <v>2312.84872</v>
      </c>
      <c r="GY40" s="221">
        <f t="shared" ca="1" si="111"/>
        <v>30.33</v>
      </c>
      <c r="GZ40" s="221">
        <f t="shared" ca="1" si="111"/>
        <v>75.498000000000005</v>
      </c>
      <c r="HA40" s="163">
        <f t="shared" ca="1" si="102"/>
        <v>2289.8543399999999</v>
      </c>
      <c r="HC40" s="221">
        <f t="shared" ca="1" si="112"/>
        <v>27.36</v>
      </c>
      <c r="HD40" s="221">
        <f t="shared" ca="1" si="112"/>
        <v>75.528000000000006</v>
      </c>
      <c r="HE40" s="163">
        <f t="shared" ca="1" si="103"/>
        <v>2066.4460800000002</v>
      </c>
      <c r="HG40" s="221">
        <f t="shared" ca="1" si="113"/>
        <v>27.04</v>
      </c>
      <c r="HH40" s="221">
        <f t="shared" ca="1" si="113"/>
        <v>75.507000000000005</v>
      </c>
      <c r="HI40" s="163">
        <f t="shared" ca="1" si="104"/>
        <v>2041.70928</v>
      </c>
      <c r="HK40" s="221">
        <f t="shared" ca="1" si="114"/>
        <v>26.66</v>
      </c>
      <c r="HL40" s="221">
        <f t="shared" ca="1" si="114"/>
        <v>75.423000000000002</v>
      </c>
      <c r="HM40" s="163">
        <f t="shared" ca="1" si="105"/>
        <v>2010.77718</v>
      </c>
      <c r="HO40" s="148">
        <f t="shared" ca="1" si="115"/>
        <v>24.98</v>
      </c>
      <c r="HP40" s="148">
        <f t="shared" ca="1" si="115"/>
        <v>75.332999999999998</v>
      </c>
      <c r="HQ40" s="163">
        <f t="shared" ca="1" si="106"/>
        <v>1881.81834</v>
      </c>
      <c r="HS40" s="148">
        <f t="shared" ca="1" si="116"/>
        <v>25.3</v>
      </c>
      <c r="HT40" s="148">
        <f t="shared" ca="1" si="116"/>
        <v>75.341999999999999</v>
      </c>
      <c r="HU40" s="163">
        <f t="shared" ca="1" si="107"/>
        <v>1906.1526000000001</v>
      </c>
      <c r="HX40" s="149">
        <f t="shared" ca="1" si="163"/>
        <v>113</v>
      </c>
    </row>
    <row r="41" spans="2:232" s="137" customFormat="1">
      <c r="B41" s="155">
        <f t="shared" ca="1" si="108"/>
        <v>32</v>
      </c>
      <c r="C41" s="146" t="str">
        <f t="shared" ca="1" si="109"/>
        <v>PPL Corporation</v>
      </c>
      <c r="D41" s="138" t="str">
        <f t="shared" ca="1" si="109"/>
        <v>PPL</v>
      </c>
      <c r="E41" s="138">
        <f t="shared" ca="1" si="109"/>
        <v>4057058</v>
      </c>
      <c r="F41" s="147"/>
      <c r="G41" s="363">
        <f t="shared" ca="1" si="146"/>
        <v>32.479999999999997</v>
      </c>
      <c r="H41" s="363">
        <f t="shared" ca="1" si="146"/>
        <v>737.77300000000002</v>
      </c>
      <c r="I41" s="364">
        <f t="shared" ca="1" si="55"/>
        <v>23962.867039999997</v>
      </c>
      <c r="J41" s="147"/>
      <c r="K41" s="147"/>
      <c r="L41" s="363">
        <f t="shared" ca="1" si="147"/>
        <v>33.08</v>
      </c>
      <c r="M41" s="363">
        <f t="shared" ca="1" si="147"/>
        <v>737.74800000000005</v>
      </c>
      <c r="N41" s="364">
        <f t="shared" ca="1" si="56"/>
        <v>24404.703840000002</v>
      </c>
      <c r="O41" s="147"/>
      <c r="P41" s="147"/>
      <c r="Q41" s="363">
        <f t="shared" ca="1" si="148"/>
        <v>27.65</v>
      </c>
      <c r="R41" s="363">
        <f t="shared" ca="1" si="148"/>
        <v>737.51199999999994</v>
      </c>
      <c r="S41" s="364">
        <f t="shared" ca="1" si="57"/>
        <v>20392.206799999996</v>
      </c>
      <c r="T41" s="147"/>
      <c r="U41" s="147"/>
      <c r="V41" s="363">
        <f t="shared" ca="1" si="149"/>
        <v>27.53</v>
      </c>
      <c r="W41" s="363">
        <f t="shared" ca="1" si="149"/>
        <v>737.12800000000004</v>
      </c>
      <c r="X41" s="364">
        <f t="shared" ca="1" si="58"/>
        <v>20293.133840000002</v>
      </c>
      <c r="Y41" s="147"/>
      <c r="Z41" s="147"/>
      <c r="AA41" s="363">
        <f t="shared" ca="1" si="150"/>
        <v>27.1</v>
      </c>
      <c r="AB41" s="363">
        <f t="shared" ca="1" si="150"/>
        <v>737.10699999999997</v>
      </c>
      <c r="AC41" s="364">
        <f t="shared" ca="1" si="59"/>
        <v>19975.599699999999</v>
      </c>
      <c r="AD41" s="147"/>
      <c r="AE41" s="147"/>
      <c r="AF41" s="363">
        <f t="shared" ca="1" si="151"/>
        <v>23.56</v>
      </c>
      <c r="AG41" s="363">
        <f t="shared" ca="1" si="151"/>
        <v>737.07500000000005</v>
      </c>
      <c r="AH41" s="364">
        <f t="shared" ca="1" si="60"/>
        <v>17365.487000000001</v>
      </c>
      <c r="AI41" s="147"/>
      <c r="AJ41" s="147"/>
      <c r="AK41" s="363">
        <f t="shared" ca="1" si="152"/>
        <v>26.46</v>
      </c>
      <c r="AL41" s="363">
        <f t="shared" ca="1" si="152"/>
        <v>736.82899999999995</v>
      </c>
      <c r="AM41" s="364">
        <f t="shared" ca="1" si="61"/>
        <v>19496.495339999998</v>
      </c>
      <c r="AN41" s="147"/>
      <c r="AO41" s="147"/>
      <c r="AP41" s="363">
        <f t="shared" ca="1" si="153"/>
        <v>27.79</v>
      </c>
      <c r="AQ41" s="363">
        <f t="shared" ca="1" si="153"/>
        <v>736.02700000000004</v>
      </c>
      <c r="AR41" s="364">
        <f t="shared" ca="1" si="62"/>
        <v>20454.190330000001</v>
      </c>
      <c r="AS41" s="147"/>
      <c r="AT41" s="147"/>
      <c r="AU41" s="363">
        <f t="shared" ca="1" si="154"/>
        <v>29.22</v>
      </c>
      <c r="AV41" s="363">
        <f t="shared" ca="1" si="154"/>
        <v>736.24699999999996</v>
      </c>
      <c r="AW41" s="364">
        <f t="shared" ca="1" si="63"/>
        <v>21513.137339999997</v>
      </c>
      <c r="AX41" s="147"/>
      <c r="AY41" s="147"/>
      <c r="AZ41" s="363">
        <f t="shared" ca="1" si="155"/>
        <v>25.35</v>
      </c>
      <c r="BA41" s="363">
        <f t="shared" ca="1" si="155"/>
        <v>735.97699999999998</v>
      </c>
      <c r="BB41" s="364">
        <f t="shared" ca="1" si="64"/>
        <v>18657.016950000001</v>
      </c>
      <c r="BC41" s="147"/>
      <c r="BD41" s="147"/>
      <c r="BE41" s="363">
        <f t="shared" ca="1" si="156"/>
        <v>27.13</v>
      </c>
      <c r="BF41" s="363">
        <f t="shared" ca="1" si="156"/>
        <v>735.50300000000004</v>
      </c>
      <c r="BG41" s="364">
        <f t="shared" ca="1" si="65"/>
        <v>19954.196390000001</v>
      </c>
      <c r="BH41" s="147"/>
      <c r="BI41" s="147"/>
      <c r="BJ41" s="363">
        <f t="shared" ca="1" si="157"/>
        <v>28.56</v>
      </c>
      <c r="BK41" s="363">
        <f t="shared" ca="1" si="157"/>
        <v>762.90200000000004</v>
      </c>
      <c r="BL41" s="364">
        <f t="shared" ca="1" si="66"/>
        <v>21788.48112</v>
      </c>
      <c r="BM41" s="147"/>
      <c r="BN41" s="147"/>
      <c r="BO41" s="363">
        <f t="shared" ca="1" si="158"/>
        <v>30.06</v>
      </c>
      <c r="BP41" s="363">
        <f t="shared" ca="1" si="158"/>
        <v>767.73299999999995</v>
      </c>
      <c r="BQ41" s="364">
        <f t="shared" ca="1" si="67"/>
        <v>23078.053979999997</v>
      </c>
      <c r="BR41" s="162"/>
      <c r="BS41" s="363">
        <f t="shared" ca="1" si="159"/>
        <v>27.88</v>
      </c>
      <c r="BT41" s="363">
        <f t="shared" ca="1" si="159"/>
        <v>769.46600000000001</v>
      </c>
      <c r="BU41" s="364">
        <f t="shared" ca="1" si="68"/>
        <v>21452.712080000001</v>
      </c>
      <c r="BV41" s="162"/>
      <c r="BW41" s="363">
        <f t="shared" ca="1" si="160"/>
        <v>27.97</v>
      </c>
      <c r="BX41" s="363">
        <f t="shared" ca="1" si="160"/>
        <v>769.15899999999999</v>
      </c>
      <c r="BY41" s="364">
        <f t="shared" ca="1" si="69"/>
        <v>21513.377229999998</v>
      </c>
      <c r="BZ41" s="162"/>
      <c r="CA41" s="363">
        <f t="shared" ca="1" si="161"/>
        <v>28.84</v>
      </c>
      <c r="CB41" s="363">
        <f t="shared" ca="1" si="161"/>
        <v>768.59</v>
      </c>
      <c r="CC41" s="364">
        <f t="shared" ca="1" si="70"/>
        <v>22166.135600000001</v>
      </c>
      <c r="CD41" s="162"/>
      <c r="CE41" s="363">
        <f t="shared" ca="1" si="162"/>
        <v>28.2</v>
      </c>
      <c r="CF41" s="363">
        <f t="shared" ca="1" si="162"/>
        <v>768.78599999999994</v>
      </c>
      <c r="CG41" s="364">
        <f t="shared" ca="1" si="71"/>
        <v>21679.765199999998</v>
      </c>
      <c r="CH41" s="162"/>
      <c r="CI41" s="363">
        <f t="shared" ca="1" si="117"/>
        <v>27.21</v>
      </c>
      <c r="CJ41" s="363">
        <f t="shared" ca="1" si="117"/>
        <v>768.76800000000003</v>
      </c>
      <c r="CK41" s="364">
        <f t="shared" ca="1" si="72"/>
        <v>20918.17728</v>
      </c>
      <c r="CL41" s="162"/>
      <c r="CM41" s="363">
        <f t="shared" ca="1" si="118"/>
        <v>25.84</v>
      </c>
      <c r="CN41" s="363">
        <f t="shared" ca="1" si="118"/>
        <v>767.94799999999998</v>
      </c>
      <c r="CO41" s="364">
        <f t="shared" ca="1" si="73"/>
        <v>19843.776320000001</v>
      </c>
      <c r="CP41" s="162"/>
      <c r="CQ41" s="221">
        <f t="shared" ca="1" si="119"/>
        <v>24.68</v>
      </c>
      <c r="CR41" s="221">
        <f t="shared" ca="1" si="119"/>
        <v>728.51199999999994</v>
      </c>
      <c r="CS41" s="163">
        <f t="shared" ca="1" si="74"/>
        <v>17979.676159999999</v>
      </c>
      <c r="CT41" s="162"/>
      <c r="CU41" s="221">
        <f t="shared" ca="1" si="120"/>
        <v>35.880000000000003</v>
      </c>
      <c r="CV41" s="221">
        <f t="shared" ca="1" si="120"/>
        <v>722.25900000000001</v>
      </c>
      <c r="CW41" s="163">
        <f t="shared" ca="1" si="75"/>
        <v>25914.652920000004</v>
      </c>
      <c r="CX41" s="162"/>
      <c r="CY41" s="221">
        <f t="shared" ca="1" si="121"/>
        <v>31.49</v>
      </c>
      <c r="CZ41" s="221">
        <f t="shared" ca="1" si="121"/>
        <v>721.78499999999997</v>
      </c>
      <c r="DA41" s="163">
        <f t="shared" ca="1" si="76"/>
        <v>22729.009649999996</v>
      </c>
      <c r="DB41" s="162"/>
      <c r="DC41" s="221">
        <f t="shared" ca="1" si="122"/>
        <v>31.01</v>
      </c>
      <c r="DD41" s="221">
        <f t="shared" ca="1" si="122"/>
        <v>721.02300000000002</v>
      </c>
      <c r="DE41" s="163">
        <f t="shared" ca="1" si="77"/>
        <v>22358.92323</v>
      </c>
      <c r="DF41" s="162"/>
      <c r="DG41" s="221">
        <f t="shared" ca="1" si="123"/>
        <v>31.74</v>
      </c>
      <c r="DH41" s="221">
        <f t="shared" ca="1" si="123"/>
        <v>704.43899999999996</v>
      </c>
      <c r="DI41" s="163">
        <f t="shared" ca="1" si="78"/>
        <v>22358.893859999996</v>
      </c>
      <c r="DJ41" s="162"/>
      <c r="DK41" s="221">
        <f t="shared" ca="1" si="124"/>
        <v>28.33</v>
      </c>
      <c r="DL41" s="221">
        <f t="shared" ca="1" si="124"/>
        <v>703.73</v>
      </c>
      <c r="DM41" s="163">
        <f t="shared" ca="1" si="79"/>
        <v>19936.670900000001</v>
      </c>
      <c r="DN41" s="162"/>
      <c r="DO41" s="221">
        <f t="shared" ca="1" si="125"/>
        <v>29.26</v>
      </c>
      <c r="DP41" s="221">
        <f t="shared" ca="1" si="125"/>
        <v>699.00599999999997</v>
      </c>
      <c r="DQ41" s="163">
        <f t="shared" ca="1" si="80"/>
        <v>20452.915560000001</v>
      </c>
      <c r="DR41" s="162"/>
      <c r="DS41" s="221">
        <f t="shared" ca="1" si="126"/>
        <v>28.55</v>
      </c>
      <c r="DT41" s="221">
        <f t="shared" ca="1" si="126"/>
        <v>694.51400000000001</v>
      </c>
      <c r="DU41" s="163">
        <f t="shared" ca="1" si="81"/>
        <v>19828.3747</v>
      </c>
      <c r="DV41" s="162"/>
      <c r="DW41" s="221">
        <f t="shared" ca="1" si="127"/>
        <v>28.29</v>
      </c>
      <c r="DX41" s="221">
        <f t="shared" ca="1" si="127"/>
        <v>689.56299999999999</v>
      </c>
      <c r="DY41" s="163">
        <f t="shared" ca="1" si="82"/>
        <v>19507.737269999998</v>
      </c>
      <c r="DZ41" s="162"/>
      <c r="EA41" s="221">
        <f t="shared" ca="1" si="128"/>
        <v>30.95</v>
      </c>
      <c r="EB41" s="221">
        <f t="shared" ca="1" si="128"/>
        <v>686.56299999999999</v>
      </c>
      <c r="EC41" s="163">
        <f t="shared" ca="1" si="83"/>
        <v>21249.12485</v>
      </c>
      <c r="ED41" s="162"/>
      <c r="EE41" s="221">
        <f t="shared" ca="1" si="129"/>
        <v>37.950000000000003</v>
      </c>
      <c r="EF41" s="221">
        <f t="shared" ca="1" si="129"/>
        <v>683.84100000000001</v>
      </c>
      <c r="EG41" s="163">
        <f t="shared" ca="1" si="84"/>
        <v>25951.765950000001</v>
      </c>
      <c r="EH41" s="162"/>
      <c r="EI41" s="221">
        <f t="shared" ca="1" si="130"/>
        <v>38.659999999999997</v>
      </c>
      <c r="EJ41" s="221">
        <f t="shared" ca="1" si="130"/>
        <v>680.88199999999995</v>
      </c>
      <c r="EK41" s="163">
        <f t="shared" ca="1" si="85"/>
        <v>26322.898119999994</v>
      </c>
      <c r="EL41" s="162"/>
      <c r="EM41" s="221">
        <f t="shared" ca="1" si="131"/>
        <v>37.39</v>
      </c>
      <c r="EN41" s="221">
        <f t="shared" ca="1" si="131"/>
        <v>677.59199999999998</v>
      </c>
      <c r="EO41" s="163">
        <f t="shared" ca="1" si="86"/>
        <v>25335.16488</v>
      </c>
      <c r="EP41" s="162"/>
      <c r="EQ41" s="221">
        <f t="shared" ca="1" si="132"/>
        <v>34.049999999999997</v>
      </c>
      <c r="ER41" s="221">
        <f t="shared" ca="1" si="132"/>
        <v>678.11400000000003</v>
      </c>
      <c r="ES41" s="163">
        <f t="shared" ca="1" si="87"/>
        <v>23089.7817</v>
      </c>
      <c r="ET41" s="162"/>
      <c r="EU41" s="221">
        <f t="shared" ca="1" si="133"/>
        <v>34.57</v>
      </c>
      <c r="EV41" s="221">
        <f t="shared" ca="1" si="133"/>
        <v>677.14499999999998</v>
      </c>
      <c r="EW41" s="163">
        <f t="shared" ca="1" si="88"/>
        <v>23408.90265</v>
      </c>
      <c r="EX41" s="162"/>
      <c r="EY41" s="221">
        <f t="shared" ca="1" si="134"/>
        <v>37.75</v>
      </c>
      <c r="EZ41" s="221">
        <f t="shared" ca="1" si="134"/>
        <v>675.44100000000003</v>
      </c>
      <c r="FA41" s="163">
        <f t="shared" ca="1" si="89"/>
        <v>25497.89775</v>
      </c>
      <c r="FB41" s="162"/>
      <c r="FC41" s="221">
        <f t="shared" ca="1" si="135"/>
        <v>38.07</v>
      </c>
      <c r="FD41" s="221">
        <f t="shared" ca="1" si="135"/>
        <v>669.81399999999996</v>
      </c>
      <c r="FE41" s="163">
        <f t="shared" ca="1" si="90"/>
        <v>25499.81898</v>
      </c>
      <c r="FF41" s="162"/>
      <c r="FG41" s="221">
        <f t="shared" ca="1" si="136"/>
        <v>34.130000000000003</v>
      </c>
      <c r="FH41" s="221">
        <f t="shared" ca="1" si="136"/>
        <v>670.76300000000003</v>
      </c>
      <c r="FI41" s="163">
        <f t="shared" ca="1" si="91"/>
        <v>22893.141190000002</v>
      </c>
      <c r="FJ41" s="162"/>
      <c r="FK41" s="221">
        <f t="shared" ca="1" si="137"/>
        <v>32.89</v>
      </c>
      <c r="FL41" s="221">
        <f t="shared" ca="1" si="137"/>
        <v>668.41499999999996</v>
      </c>
      <c r="FM41" s="163">
        <f t="shared" ca="1" si="92"/>
        <v>21984.16935</v>
      </c>
      <c r="FN41" s="162"/>
      <c r="FO41" s="221">
        <f t="shared" ca="1" si="138"/>
        <v>29.47</v>
      </c>
      <c r="FP41" s="221">
        <f t="shared" ca="1" si="138"/>
        <v>666.97400000000005</v>
      </c>
      <c r="FQ41" s="163">
        <f t="shared" ca="1" si="93"/>
        <v>19655.72378</v>
      </c>
      <c r="FR41" s="162"/>
      <c r="FS41" s="221">
        <f t="shared" ca="1" si="139"/>
        <v>33.659999999999997</v>
      </c>
      <c r="FT41" s="221">
        <f t="shared" ca="1" si="139"/>
        <v>665.20500000000004</v>
      </c>
      <c r="FU41" s="163">
        <f t="shared" ca="1" si="94"/>
        <v>22390.800299999999</v>
      </c>
      <c r="FW41" s="221">
        <f t="shared" ca="1" si="140"/>
        <v>36.33</v>
      </c>
      <c r="FX41" s="221">
        <f t="shared" ca="1" si="140"/>
        <v>664.43200000000002</v>
      </c>
      <c r="FY41" s="163">
        <f t="shared" ca="1" si="95"/>
        <v>24138.814559999999</v>
      </c>
      <c r="GA41" s="221">
        <f t="shared" ca="1" si="141"/>
        <v>32.840000000000003</v>
      </c>
      <c r="GB41" s="221">
        <f t="shared" ca="1" si="141"/>
        <v>653.13199999999995</v>
      </c>
      <c r="GC41" s="163">
        <f t="shared" ca="1" si="96"/>
        <v>21448.854879999999</v>
      </c>
      <c r="GE41" s="221">
        <f t="shared" ca="1" si="142"/>
        <v>35.53</v>
      </c>
      <c r="GF41" s="221">
        <f t="shared" ca="1" si="142"/>
        <v>630.74900000000002</v>
      </c>
      <c r="GG41" s="163">
        <f t="shared" ca="1" si="97"/>
        <v>22410.511970000003</v>
      </c>
      <c r="GI41" s="221">
        <f t="shared" ca="1" si="143"/>
        <v>33.14</v>
      </c>
      <c r="GJ41" s="221">
        <f t="shared" ca="1" si="143"/>
        <v>608.98299999999995</v>
      </c>
      <c r="GK41" s="163">
        <f t="shared" ca="1" si="98"/>
        <v>20181.696619999999</v>
      </c>
      <c r="GM41" s="221">
        <f t="shared" ca="1" si="144"/>
        <v>30.09</v>
      </c>
      <c r="GN41" s="221">
        <f t="shared" ca="1" si="144"/>
        <v>631.04600000000005</v>
      </c>
      <c r="GO41" s="163">
        <f t="shared" ca="1" si="99"/>
        <v>18988.174140000003</v>
      </c>
      <c r="GQ41" s="221">
        <f t="shared" ca="1" si="145"/>
        <v>30.38</v>
      </c>
      <c r="GR41" s="221">
        <f t="shared" ca="1" si="145"/>
        <v>589.83399999999995</v>
      </c>
      <c r="GS41" s="163">
        <f t="shared" ca="1" si="100"/>
        <v>17919.156919999998</v>
      </c>
      <c r="GU41" s="221">
        <f t="shared" ca="1" si="110"/>
        <v>30.26</v>
      </c>
      <c r="GV41" s="221">
        <f t="shared" ca="1" si="110"/>
        <v>582.65</v>
      </c>
      <c r="GW41" s="163">
        <f t="shared" ca="1" si="101"/>
        <v>17630.989000000001</v>
      </c>
      <c r="GY41" s="221">
        <f t="shared" ca="1" si="111"/>
        <v>31.31</v>
      </c>
      <c r="GZ41" s="221">
        <f t="shared" ca="1" si="111"/>
        <v>580.27599999999995</v>
      </c>
      <c r="HA41" s="163">
        <f t="shared" ca="1" si="102"/>
        <v>18168.441559999999</v>
      </c>
      <c r="HC41" s="221">
        <f t="shared" ca="1" si="112"/>
        <v>28.63</v>
      </c>
      <c r="HD41" s="221">
        <f t="shared" ca="1" si="112"/>
        <v>580.58500000000004</v>
      </c>
      <c r="HE41" s="163">
        <f t="shared" ca="1" si="103"/>
        <v>16622.148550000002</v>
      </c>
      <c r="HG41" s="221">
        <f t="shared" ca="1" si="113"/>
        <v>29.05</v>
      </c>
      <c r="HH41" s="221">
        <f t="shared" ca="1" si="113"/>
        <v>579.88099999999997</v>
      </c>
      <c r="HI41" s="163">
        <f t="shared" ca="1" si="104"/>
        <v>16845.54305</v>
      </c>
      <c r="HK41" s="221">
        <f t="shared" ca="1" si="114"/>
        <v>27.79</v>
      </c>
      <c r="HL41" s="221">
        <f t="shared" ca="1" si="114"/>
        <v>579.04100000000005</v>
      </c>
      <c r="HM41" s="163">
        <f t="shared" ca="1" si="105"/>
        <v>16091.54939</v>
      </c>
      <c r="HO41" s="148">
        <f t="shared" ca="1" si="115"/>
        <v>28.26</v>
      </c>
      <c r="HP41" s="148">
        <f t="shared" ca="1" si="115"/>
        <v>550.39499999999998</v>
      </c>
      <c r="HQ41" s="163">
        <f t="shared" ca="1" si="106"/>
        <v>15554.162700000001</v>
      </c>
      <c r="HS41" s="148">
        <f t="shared" ca="1" si="116"/>
        <v>29.42</v>
      </c>
      <c r="HT41" s="148">
        <f t="shared" ca="1" si="116"/>
        <v>577.59500000000003</v>
      </c>
      <c r="HU41" s="163">
        <f t="shared" ca="1" si="107"/>
        <v>16992.8449</v>
      </c>
      <c r="HX41" s="149">
        <f t="shared" ca="1" si="163"/>
        <v>53</v>
      </c>
    </row>
    <row r="42" spans="2:232" s="137" customFormat="1">
      <c r="B42" s="155">
        <f t="shared" ca="1" si="108"/>
        <v>33</v>
      </c>
      <c r="C42" s="146" t="str">
        <f t="shared" ca="1" si="109"/>
        <v>Public Service Enterprise Group Incorporated</v>
      </c>
      <c r="D42" s="138" t="str">
        <f t="shared" ca="1" si="109"/>
        <v>PEG</v>
      </c>
      <c r="E42" s="138">
        <f t="shared" ca="1" si="109"/>
        <v>4050911</v>
      </c>
      <c r="F42" s="147"/>
      <c r="G42" s="363">
        <f t="shared" ca="1" si="146"/>
        <v>84.49</v>
      </c>
      <c r="H42" s="363">
        <f t="shared" ca="1" si="146"/>
        <v>498</v>
      </c>
      <c r="I42" s="364">
        <f t="shared" ca="1" si="55"/>
        <v>42076.02</v>
      </c>
      <c r="J42" s="147"/>
      <c r="K42" s="147"/>
      <c r="L42" s="363">
        <f t="shared" ca="1" si="147"/>
        <v>89.21</v>
      </c>
      <c r="M42" s="363">
        <f t="shared" ca="1" si="147"/>
        <v>498</v>
      </c>
      <c r="N42" s="364">
        <f t="shared" ca="1" si="56"/>
        <v>44426.579999999994</v>
      </c>
      <c r="O42" s="147"/>
      <c r="P42" s="147"/>
      <c r="Q42" s="363">
        <f t="shared" ca="1" si="148"/>
        <v>73.7</v>
      </c>
      <c r="R42" s="363">
        <f t="shared" ca="1" si="148"/>
        <v>499</v>
      </c>
      <c r="S42" s="364">
        <f t="shared" ca="1" si="57"/>
        <v>36776.300000000003</v>
      </c>
      <c r="T42" s="147"/>
      <c r="U42" s="147"/>
      <c r="V42" s="363">
        <f t="shared" ca="1" si="149"/>
        <v>66.78</v>
      </c>
      <c r="W42" s="363">
        <f t="shared" ca="1" si="149"/>
        <v>498</v>
      </c>
      <c r="X42" s="364">
        <f t="shared" ca="1" si="58"/>
        <v>33256.44</v>
      </c>
      <c r="Y42" s="147"/>
      <c r="Z42" s="147"/>
      <c r="AA42" s="363">
        <f t="shared" ca="1" si="150"/>
        <v>61.15</v>
      </c>
      <c r="AB42" s="363">
        <f t="shared" ca="1" si="150"/>
        <v>498</v>
      </c>
      <c r="AC42" s="364">
        <f t="shared" ca="1" si="59"/>
        <v>30452.7</v>
      </c>
      <c r="AD42" s="147"/>
      <c r="AE42" s="147"/>
      <c r="AF42" s="363">
        <f t="shared" ca="1" si="151"/>
        <v>56.91</v>
      </c>
      <c r="AG42" s="363">
        <f t="shared" ca="1" si="151"/>
        <v>497</v>
      </c>
      <c r="AH42" s="364">
        <f t="shared" ca="1" si="60"/>
        <v>28284.269999999997</v>
      </c>
      <c r="AI42" s="147"/>
      <c r="AJ42" s="147"/>
      <c r="AK42" s="363">
        <f t="shared" ca="1" si="152"/>
        <v>62.61</v>
      </c>
      <c r="AL42" s="363">
        <f t="shared" ca="1" si="152"/>
        <v>497</v>
      </c>
      <c r="AM42" s="364">
        <f t="shared" ca="1" si="61"/>
        <v>31117.17</v>
      </c>
      <c r="AN42" s="147"/>
      <c r="AO42" s="147"/>
      <c r="AP42" s="363">
        <f t="shared" ca="1" si="153"/>
        <v>62.45</v>
      </c>
      <c r="AQ42" s="363">
        <f t="shared" ca="1" si="153"/>
        <v>498</v>
      </c>
      <c r="AR42" s="364">
        <f t="shared" ca="1" si="62"/>
        <v>31100.100000000002</v>
      </c>
      <c r="AS42" s="147"/>
      <c r="AT42" s="147"/>
      <c r="AU42" s="363">
        <f t="shared" ca="1" si="154"/>
        <v>61.27</v>
      </c>
      <c r="AV42" s="363">
        <f t="shared" ca="1" si="154"/>
        <v>497</v>
      </c>
      <c r="AW42" s="364">
        <f t="shared" ca="1" si="63"/>
        <v>30451.190000000002</v>
      </c>
      <c r="AX42" s="147"/>
      <c r="AY42" s="147"/>
      <c r="AZ42" s="363">
        <f t="shared" ca="1" si="155"/>
        <v>56.23</v>
      </c>
      <c r="BA42" s="363">
        <f t="shared" ca="1" si="155"/>
        <v>497</v>
      </c>
      <c r="BB42" s="364">
        <f t="shared" ca="1" si="64"/>
        <v>27946.309999999998</v>
      </c>
      <c r="BC42" s="147"/>
      <c r="BD42" s="147"/>
      <c r="BE42" s="363">
        <f t="shared" ca="1" si="156"/>
        <v>63.28</v>
      </c>
      <c r="BF42" s="363">
        <f t="shared" ca="1" si="156"/>
        <v>501</v>
      </c>
      <c r="BG42" s="364">
        <f t="shared" ca="1" si="65"/>
        <v>31703.279999999999</v>
      </c>
      <c r="BH42" s="147"/>
      <c r="BI42" s="147"/>
      <c r="BJ42" s="363">
        <f t="shared" ca="1" si="157"/>
        <v>70</v>
      </c>
      <c r="BK42" s="363">
        <f t="shared" ca="1" si="157"/>
        <v>504</v>
      </c>
      <c r="BL42" s="364">
        <f t="shared" ca="1" si="66"/>
        <v>35280</v>
      </c>
      <c r="BM42" s="147"/>
      <c r="BN42" s="147"/>
      <c r="BO42" s="363">
        <f t="shared" ca="1" si="158"/>
        <v>66.73</v>
      </c>
      <c r="BP42" s="363">
        <f t="shared" ca="1" si="158"/>
        <v>504</v>
      </c>
      <c r="BQ42" s="364">
        <f t="shared" ca="1" si="67"/>
        <v>33631.920000000006</v>
      </c>
      <c r="BR42" s="162"/>
      <c r="BS42" s="363">
        <f t="shared" ca="1" si="159"/>
        <v>60.9</v>
      </c>
      <c r="BT42" s="363">
        <f t="shared" ca="1" si="159"/>
        <v>504</v>
      </c>
      <c r="BU42" s="364">
        <f t="shared" ca="1" si="68"/>
        <v>30693.599999999999</v>
      </c>
      <c r="BV42" s="162"/>
      <c r="BW42" s="363">
        <f t="shared" ca="1" si="160"/>
        <v>59.74</v>
      </c>
      <c r="BX42" s="363">
        <f t="shared" ca="1" si="160"/>
        <v>504</v>
      </c>
      <c r="BY42" s="364">
        <f t="shared" ca="1" si="69"/>
        <v>30108.960000000003</v>
      </c>
      <c r="BZ42" s="162"/>
      <c r="CA42" s="363">
        <f t="shared" ca="1" si="161"/>
        <v>60.21</v>
      </c>
      <c r="CB42" s="363">
        <f t="shared" ca="1" si="161"/>
        <v>504</v>
      </c>
      <c r="CC42" s="364">
        <f t="shared" ca="1" si="70"/>
        <v>30345.84</v>
      </c>
      <c r="CD42" s="162"/>
      <c r="CE42" s="363">
        <f t="shared" ca="1" si="162"/>
        <v>58.3</v>
      </c>
      <c r="CF42" s="363">
        <f t="shared" ca="1" si="162"/>
        <v>504</v>
      </c>
      <c r="CG42" s="364">
        <f t="shared" ca="1" si="71"/>
        <v>29383.199999999997</v>
      </c>
      <c r="CH42" s="162"/>
      <c r="CI42" s="363">
        <f t="shared" ca="1" si="117"/>
        <v>54.91</v>
      </c>
      <c r="CJ42" s="363">
        <f t="shared" ca="1" si="117"/>
        <v>504</v>
      </c>
      <c r="CK42" s="364">
        <f t="shared" ca="1" si="72"/>
        <v>27674.639999999999</v>
      </c>
      <c r="CL42" s="162"/>
      <c r="CM42" s="363">
        <f t="shared" ca="1" si="118"/>
        <v>49.16</v>
      </c>
      <c r="CN42" s="363">
        <f t="shared" ca="1" si="118"/>
        <v>504</v>
      </c>
      <c r="CO42" s="364">
        <f t="shared" ca="1" si="73"/>
        <v>24776.639999999999</v>
      </c>
      <c r="CP42" s="162"/>
      <c r="CQ42" s="221">
        <f t="shared" ca="1" si="119"/>
        <v>44.91</v>
      </c>
      <c r="CR42" s="221">
        <f t="shared" ca="1" si="119"/>
        <v>504</v>
      </c>
      <c r="CS42" s="163">
        <f t="shared" ca="1" si="74"/>
        <v>22634.639999999999</v>
      </c>
      <c r="CT42" s="162"/>
      <c r="CU42" s="221">
        <f t="shared" ca="1" si="120"/>
        <v>59.05</v>
      </c>
      <c r="CV42" s="221">
        <f t="shared" ca="1" si="120"/>
        <v>504</v>
      </c>
      <c r="CW42" s="163">
        <f t="shared" ca="1" si="75"/>
        <v>29761.199999999997</v>
      </c>
      <c r="CX42" s="162"/>
      <c r="CY42" s="221">
        <f t="shared" ca="1" si="121"/>
        <v>62.08</v>
      </c>
      <c r="CZ42" s="221">
        <f t="shared" ca="1" si="121"/>
        <v>504</v>
      </c>
      <c r="DA42" s="163">
        <f t="shared" ca="1" si="76"/>
        <v>31288.32</v>
      </c>
      <c r="DB42" s="162"/>
      <c r="DC42" s="221">
        <f t="shared" ca="1" si="122"/>
        <v>58.82</v>
      </c>
      <c r="DD42" s="221">
        <f t="shared" ca="1" si="122"/>
        <v>504</v>
      </c>
      <c r="DE42" s="163">
        <f t="shared" ca="1" si="77"/>
        <v>29645.279999999999</v>
      </c>
      <c r="DF42" s="162"/>
      <c r="DG42" s="221">
        <f t="shared" ca="1" si="123"/>
        <v>59.41</v>
      </c>
      <c r="DH42" s="221">
        <f t="shared" ca="1" si="123"/>
        <v>504</v>
      </c>
      <c r="DI42" s="163">
        <f t="shared" ca="1" si="78"/>
        <v>29942.639999999999</v>
      </c>
      <c r="DJ42" s="162"/>
      <c r="DK42" s="221">
        <f t="shared" ca="1" si="124"/>
        <v>52.05</v>
      </c>
      <c r="DL42" s="221">
        <f t="shared" ca="1" si="124"/>
        <v>504</v>
      </c>
      <c r="DM42" s="163">
        <f t="shared" ca="1" si="79"/>
        <v>26233.199999999997</v>
      </c>
      <c r="DN42" s="162"/>
      <c r="DO42" s="221">
        <f t="shared" ca="1" si="125"/>
        <v>52.79</v>
      </c>
      <c r="DP42" s="221">
        <f t="shared" ca="1" si="125"/>
        <v>504</v>
      </c>
      <c r="DQ42" s="163">
        <f t="shared" ca="1" si="80"/>
        <v>26606.16</v>
      </c>
      <c r="DR42" s="162"/>
      <c r="DS42" s="221">
        <f t="shared" ca="1" si="126"/>
        <v>54.14</v>
      </c>
      <c r="DT42" s="221">
        <f t="shared" ca="1" si="126"/>
        <v>504</v>
      </c>
      <c r="DU42" s="163">
        <f t="shared" ca="1" si="81"/>
        <v>27286.560000000001</v>
      </c>
      <c r="DV42" s="162"/>
      <c r="DW42" s="221">
        <f t="shared" ca="1" si="127"/>
        <v>50.24</v>
      </c>
      <c r="DX42" s="221">
        <f t="shared" ca="1" si="127"/>
        <v>505</v>
      </c>
      <c r="DY42" s="163">
        <f t="shared" ca="1" si="82"/>
        <v>25371.200000000001</v>
      </c>
      <c r="DZ42" s="162"/>
      <c r="EA42" s="221">
        <f t="shared" ca="1" si="128"/>
        <v>51.5</v>
      </c>
      <c r="EB42" s="221">
        <f t="shared" ca="1" si="128"/>
        <v>505</v>
      </c>
      <c r="EC42" s="163">
        <f t="shared" ca="1" si="83"/>
        <v>26007.5</v>
      </c>
      <c r="ED42" s="162"/>
      <c r="EE42" s="221">
        <f t="shared" ca="1" si="129"/>
        <v>46.25</v>
      </c>
      <c r="EF42" s="221">
        <f t="shared" ca="1" si="129"/>
        <v>505</v>
      </c>
      <c r="EG42" s="163">
        <f t="shared" ca="1" si="84"/>
        <v>23356.25</v>
      </c>
      <c r="EH42" s="162"/>
      <c r="EI42" s="221">
        <f t="shared" ca="1" si="130"/>
        <v>43.01</v>
      </c>
      <c r="EJ42" s="221">
        <f t="shared" ca="1" si="130"/>
        <v>505</v>
      </c>
      <c r="EK42" s="163">
        <f t="shared" ca="1" si="85"/>
        <v>21720.05</v>
      </c>
      <c r="EL42" s="162"/>
      <c r="EM42" s="221">
        <f t="shared" ca="1" si="131"/>
        <v>44.35</v>
      </c>
      <c r="EN42" s="221">
        <f t="shared" ca="1" si="131"/>
        <v>505</v>
      </c>
      <c r="EO42" s="163">
        <f t="shared" ca="1" si="86"/>
        <v>22396.75</v>
      </c>
      <c r="EP42" s="162"/>
      <c r="EQ42" s="221">
        <f t="shared" ca="1" si="132"/>
        <v>43.88</v>
      </c>
      <c r="ER42" s="221">
        <f t="shared" ca="1" si="132"/>
        <v>505</v>
      </c>
      <c r="ES42" s="163">
        <f t="shared" ca="1" si="87"/>
        <v>22159.4</v>
      </c>
      <c r="ET42" s="162"/>
      <c r="EU42" s="221">
        <f t="shared" ca="1" si="133"/>
        <v>41.87</v>
      </c>
      <c r="EV42" s="221">
        <f t="shared" ca="1" si="133"/>
        <v>505</v>
      </c>
      <c r="EW42" s="163">
        <f t="shared" ca="1" si="88"/>
        <v>21144.35</v>
      </c>
      <c r="EX42" s="162"/>
      <c r="EY42" s="221">
        <f t="shared" ca="1" si="134"/>
        <v>46.61</v>
      </c>
      <c r="EZ42" s="221">
        <f t="shared" ca="1" si="134"/>
        <v>505</v>
      </c>
      <c r="FA42" s="163">
        <f t="shared" ca="1" si="89"/>
        <v>23538.05</v>
      </c>
      <c r="FB42" s="162"/>
      <c r="FC42" s="221">
        <f t="shared" ca="1" si="135"/>
        <v>47.14</v>
      </c>
      <c r="FD42" s="221">
        <f t="shared" ca="1" si="135"/>
        <v>505</v>
      </c>
      <c r="FE42" s="163">
        <f t="shared" ca="1" si="90"/>
        <v>23805.7</v>
      </c>
      <c r="FF42" s="162"/>
      <c r="FG42" s="221">
        <f t="shared" ca="1" si="136"/>
        <v>38.69</v>
      </c>
      <c r="FH42" s="221">
        <f t="shared" ca="1" si="136"/>
        <v>505</v>
      </c>
      <c r="FI42" s="163">
        <f t="shared" ca="1" si="91"/>
        <v>19538.449999999997</v>
      </c>
      <c r="FJ42" s="162"/>
      <c r="FK42" s="221">
        <f t="shared" ca="1" si="137"/>
        <v>42.16</v>
      </c>
      <c r="FL42" s="221">
        <f t="shared" ca="1" si="137"/>
        <v>506</v>
      </c>
      <c r="FM42" s="163">
        <f t="shared" ca="1" si="92"/>
        <v>21332.959999999999</v>
      </c>
      <c r="FN42" s="162"/>
      <c r="FO42" s="221">
        <f t="shared" ca="1" si="138"/>
        <v>39.28</v>
      </c>
      <c r="FP42" s="221">
        <f t="shared" ca="1" si="138"/>
        <v>506</v>
      </c>
      <c r="FQ42" s="163">
        <f t="shared" ca="1" si="93"/>
        <v>19875.68</v>
      </c>
      <c r="FR42" s="162"/>
      <c r="FS42" s="221">
        <f t="shared" ca="1" si="139"/>
        <v>41.92</v>
      </c>
      <c r="FT42" s="221">
        <f t="shared" ca="1" si="139"/>
        <v>506</v>
      </c>
      <c r="FU42" s="163">
        <f t="shared" ca="1" si="94"/>
        <v>21211.52</v>
      </c>
      <c r="FW42" s="221">
        <f t="shared" ca="1" si="140"/>
        <v>41.41</v>
      </c>
      <c r="FX42" s="221">
        <f t="shared" ca="1" si="140"/>
        <v>505.86200000000002</v>
      </c>
      <c r="FY42" s="163">
        <f t="shared" ca="1" si="95"/>
        <v>20947.745419999999</v>
      </c>
      <c r="GA42" s="221">
        <f t="shared" ca="1" si="141"/>
        <v>37.24</v>
      </c>
      <c r="GB42" s="221">
        <f t="shared" ca="1" si="141"/>
        <v>505.875</v>
      </c>
      <c r="GC42" s="163">
        <f t="shared" ca="1" si="96"/>
        <v>18838.785</v>
      </c>
      <c r="GE42" s="221">
        <f t="shared" ca="1" si="142"/>
        <v>40.79</v>
      </c>
      <c r="GF42" s="221">
        <f t="shared" ca="1" si="142"/>
        <v>506.077</v>
      </c>
      <c r="GG42" s="163">
        <f t="shared" ca="1" si="97"/>
        <v>20642.880829999998</v>
      </c>
      <c r="GI42" s="221">
        <f t="shared" ca="1" si="143"/>
        <v>38.14</v>
      </c>
      <c r="GJ42" s="221">
        <f t="shared" ca="1" si="143"/>
        <v>505.88900000000001</v>
      </c>
      <c r="GK42" s="163">
        <f t="shared" ca="1" si="98"/>
        <v>19294.606459999999</v>
      </c>
      <c r="GM42" s="221">
        <f t="shared" ca="1" si="144"/>
        <v>32.04</v>
      </c>
      <c r="GN42" s="221">
        <f t="shared" ca="1" si="144"/>
        <v>505.858</v>
      </c>
      <c r="GO42" s="163">
        <f t="shared" ca="1" si="99"/>
        <v>16207.69032</v>
      </c>
      <c r="GQ42" s="221">
        <f t="shared" ca="1" si="145"/>
        <v>32.93</v>
      </c>
      <c r="GR42" s="221">
        <f t="shared" ca="1" si="145"/>
        <v>505.9</v>
      </c>
      <c r="GS42" s="163">
        <f t="shared" ca="1" si="100"/>
        <v>16659.287</v>
      </c>
      <c r="GU42" s="221">
        <f t="shared" ca="1" si="110"/>
        <v>32.659999999999997</v>
      </c>
      <c r="GV42" s="221">
        <f t="shared" ca="1" si="110"/>
        <v>505.94200000000001</v>
      </c>
      <c r="GW42" s="163">
        <f t="shared" ca="1" si="101"/>
        <v>16524.065719999999</v>
      </c>
      <c r="GY42" s="221">
        <f t="shared" ca="1" si="111"/>
        <v>34.340000000000003</v>
      </c>
      <c r="GZ42" s="221">
        <f t="shared" ca="1" si="111"/>
        <v>505.93299999999999</v>
      </c>
      <c r="HA42" s="163">
        <f t="shared" ca="1" si="102"/>
        <v>17373.739220000003</v>
      </c>
      <c r="HC42" s="221">
        <f t="shared" ca="1" si="112"/>
        <v>30.6</v>
      </c>
      <c r="HD42" s="221">
        <f t="shared" ca="1" si="112"/>
        <v>505.91399999999999</v>
      </c>
      <c r="HE42" s="163">
        <f t="shared" ca="1" si="103"/>
        <v>15480.9684</v>
      </c>
      <c r="HG42" s="221">
        <f t="shared" ca="1" si="113"/>
        <v>32.18</v>
      </c>
      <c r="HH42" s="221">
        <f t="shared" ca="1" si="113"/>
        <v>505.90300000000002</v>
      </c>
      <c r="HI42" s="163">
        <f t="shared" ca="1" si="104"/>
        <v>16279.95854</v>
      </c>
      <c r="HK42" s="221">
        <f t="shared" ca="1" si="114"/>
        <v>32.5</v>
      </c>
      <c r="HL42" s="221">
        <f t="shared" ca="1" si="114"/>
        <v>506.01</v>
      </c>
      <c r="HM42" s="163">
        <f t="shared" ca="1" si="105"/>
        <v>16445.325000000001</v>
      </c>
      <c r="HO42" s="148">
        <f t="shared" ca="1" si="115"/>
        <v>30.61</v>
      </c>
      <c r="HP42" s="148">
        <f t="shared" ca="1" si="115"/>
        <v>505.94900000000001</v>
      </c>
      <c r="HQ42" s="163">
        <f t="shared" ca="1" si="106"/>
        <v>15487.098889999999</v>
      </c>
      <c r="HS42" s="148">
        <f t="shared" ca="1" si="116"/>
        <v>33.01</v>
      </c>
      <c r="HT42" s="148">
        <f t="shared" ca="1" si="116"/>
        <v>505.90899999999999</v>
      </c>
      <c r="HU42" s="163">
        <f t="shared" ca="1" si="107"/>
        <v>16700.056089999998</v>
      </c>
      <c r="HX42" s="149">
        <f t="shared" ca="1" si="163"/>
        <v>100</v>
      </c>
    </row>
    <row r="43" spans="2:232" s="137" customFormat="1">
      <c r="B43" s="155">
        <f t="shared" ca="1" si="108"/>
        <v>34</v>
      </c>
      <c r="C43" s="146" t="str">
        <f t="shared" ca="1" si="109"/>
        <v xml:space="preserve">Sempra </v>
      </c>
      <c r="D43" s="138" t="str">
        <f t="shared" ca="1" si="109"/>
        <v>SRE</v>
      </c>
      <c r="E43" s="138">
        <f t="shared" ca="1" si="109"/>
        <v>4057062</v>
      </c>
      <c r="F43" s="147"/>
      <c r="G43" s="363">
        <f t="shared" ca="1" si="146"/>
        <v>87.72</v>
      </c>
      <c r="H43" s="363">
        <f t="shared" ca="1" si="146"/>
        <v>633.75199999999995</v>
      </c>
      <c r="I43" s="364">
        <f t="shared" ca="1" si="55"/>
        <v>55592.725439999995</v>
      </c>
      <c r="J43" s="147"/>
      <c r="K43" s="147"/>
      <c r="L43" s="363">
        <f t="shared" ca="1" si="147"/>
        <v>83.63</v>
      </c>
      <c r="M43" s="363">
        <f t="shared" ca="1" si="147"/>
        <v>633.45000000000005</v>
      </c>
      <c r="N43" s="364">
        <f t="shared" ca="1" si="56"/>
        <v>52975.423500000004</v>
      </c>
      <c r="O43" s="147"/>
      <c r="P43" s="147"/>
      <c r="Q43" s="363">
        <f t="shared" ca="1" si="148"/>
        <v>76.06</v>
      </c>
      <c r="R43" s="363">
        <f t="shared" ca="1" si="148"/>
        <v>632.82100000000003</v>
      </c>
      <c r="S43" s="364">
        <f t="shared" ca="1" si="57"/>
        <v>48132.365260000006</v>
      </c>
      <c r="T43" s="147"/>
      <c r="U43" s="147"/>
      <c r="V43" s="363">
        <f t="shared" ca="1" si="149"/>
        <v>71.83</v>
      </c>
      <c r="W43" s="363">
        <f t="shared" ca="1" si="149"/>
        <v>631.28399999999999</v>
      </c>
      <c r="X43" s="364">
        <f t="shared" ca="1" si="58"/>
        <v>45345.129719999997</v>
      </c>
      <c r="Y43" s="147"/>
      <c r="Z43" s="147"/>
      <c r="AA43" s="363">
        <f t="shared" ca="1" si="150"/>
        <v>74.73</v>
      </c>
      <c r="AB43" s="363">
        <f t="shared" ca="1" si="150"/>
        <v>630.03599999999994</v>
      </c>
      <c r="AC43" s="364">
        <f t="shared" ca="1" si="59"/>
        <v>47082.590279999997</v>
      </c>
      <c r="AD43" s="147"/>
      <c r="AE43" s="147"/>
      <c r="AF43" s="363">
        <f t="shared" ca="1" si="151"/>
        <v>68.03</v>
      </c>
      <c r="AG43" s="363">
        <f t="shared" ca="1" si="151"/>
        <v>630.01400000000001</v>
      </c>
      <c r="AH43" s="364">
        <f t="shared" ca="1" si="60"/>
        <v>42859.852420000003</v>
      </c>
      <c r="AI43" s="147"/>
      <c r="AJ43" s="147"/>
      <c r="AK43" s="363">
        <f t="shared" ca="1" si="152"/>
        <v>145.59</v>
      </c>
      <c r="AL43" s="363">
        <f t="shared" ca="1" si="152"/>
        <v>314.91899999999998</v>
      </c>
      <c r="AM43" s="364">
        <f t="shared" ca="1" si="61"/>
        <v>45849.057209999999</v>
      </c>
      <c r="AN43" s="147"/>
      <c r="AO43" s="147"/>
      <c r="AP43" s="363">
        <f t="shared" ca="1" si="153"/>
        <v>151.16</v>
      </c>
      <c r="AQ43" s="363">
        <f t="shared" ca="1" si="153"/>
        <v>315.15899999999999</v>
      </c>
      <c r="AR43" s="364">
        <f t="shared" ca="1" si="62"/>
        <v>47639.434439999997</v>
      </c>
      <c r="AS43" s="147"/>
      <c r="AT43" s="147"/>
      <c r="AU43" s="363">
        <f t="shared" ca="1" si="154"/>
        <v>154.54</v>
      </c>
      <c r="AV43" s="363">
        <f t="shared" ca="1" si="154"/>
        <v>314.72399999999999</v>
      </c>
      <c r="AW43" s="364">
        <f t="shared" ca="1" si="63"/>
        <v>48637.446959999994</v>
      </c>
      <c r="AX43" s="147"/>
      <c r="AY43" s="147"/>
      <c r="AZ43" s="363">
        <f t="shared" ca="1" si="155"/>
        <v>149.94</v>
      </c>
      <c r="BA43" s="363">
        <f t="shared" ca="1" si="155"/>
        <v>314.84500000000003</v>
      </c>
      <c r="BB43" s="364">
        <f t="shared" ca="1" si="64"/>
        <v>47207.859300000004</v>
      </c>
      <c r="BC43" s="147"/>
      <c r="BD43" s="147"/>
      <c r="BE43" s="363">
        <f t="shared" ca="1" si="156"/>
        <v>150.27000000000001</v>
      </c>
      <c r="BF43" s="363">
        <f t="shared" ca="1" si="156"/>
        <v>316.35300000000001</v>
      </c>
      <c r="BG43" s="364">
        <f t="shared" ca="1" si="65"/>
        <v>47538.365310000001</v>
      </c>
      <c r="BH43" s="147"/>
      <c r="BI43" s="147"/>
      <c r="BJ43" s="363">
        <f t="shared" ca="1" si="157"/>
        <v>168.12</v>
      </c>
      <c r="BK43" s="363">
        <f t="shared" ca="1" si="157"/>
        <v>311.755</v>
      </c>
      <c r="BL43" s="364">
        <f t="shared" ca="1" si="66"/>
        <v>52412.250599999999</v>
      </c>
      <c r="BM43" s="147"/>
      <c r="BN43" s="147"/>
      <c r="BO43" s="363">
        <f t="shared" ca="1" si="158"/>
        <v>132.28</v>
      </c>
      <c r="BP43" s="363">
        <f t="shared" ca="1" si="158"/>
        <v>319.14400000000001</v>
      </c>
      <c r="BQ43" s="364">
        <f t="shared" ca="1" si="67"/>
        <v>42216.368320000001</v>
      </c>
      <c r="BR43" s="162"/>
      <c r="BS43" s="363">
        <f t="shared" ca="1" si="159"/>
        <v>126.5</v>
      </c>
      <c r="BT43" s="363">
        <f t="shared" ca="1" si="159"/>
        <v>307.8</v>
      </c>
      <c r="BU43" s="364">
        <f t="shared" ca="1" si="68"/>
        <v>38936.700000000004</v>
      </c>
      <c r="BV43" s="162"/>
      <c r="BW43" s="363">
        <f t="shared" ca="1" si="160"/>
        <v>132.47999999999999</v>
      </c>
      <c r="BX43" s="363">
        <f t="shared" ca="1" si="160"/>
        <v>300.90499999999997</v>
      </c>
      <c r="BY43" s="364">
        <f t="shared" ca="1" si="69"/>
        <v>39863.89439999999</v>
      </c>
      <c r="BZ43" s="162"/>
      <c r="CA43" s="363">
        <f t="shared" ca="1" si="161"/>
        <v>132.58000000000001</v>
      </c>
      <c r="CB43" s="363">
        <f t="shared" ca="1" si="161"/>
        <v>291.077</v>
      </c>
      <c r="CC43" s="364">
        <f t="shared" ca="1" si="70"/>
        <v>38590.988660000003</v>
      </c>
      <c r="CD43" s="162"/>
      <c r="CE43" s="363">
        <f t="shared" ca="1" si="162"/>
        <v>127.41</v>
      </c>
      <c r="CF43" s="363">
        <f t="shared" ca="1" si="162"/>
        <v>289.49</v>
      </c>
      <c r="CG43" s="364">
        <f t="shared" ca="1" si="71"/>
        <v>36883.920899999997</v>
      </c>
      <c r="CH43" s="162"/>
      <c r="CI43" s="363">
        <f t="shared" ca="1" si="117"/>
        <v>118.36</v>
      </c>
      <c r="CJ43" s="363">
        <f t="shared" ca="1" si="117"/>
        <v>293.06</v>
      </c>
      <c r="CK43" s="364">
        <f t="shared" ca="1" si="72"/>
        <v>34686.581599999998</v>
      </c>
      <c r="CL43" s="162"/>
      <c r="CM43" s="363">
        <f t="shared" ca="1" si="118"/>
        <v>117.23</v>
      </c>
      <c r="CN43" s="363">
        <f t="shared" ca="1" si="118"/>
        <v>292.79000000000002</v>
      </c>
      <c r="CO43" s="364">
        <f t="shared" ca="1" si="73"/>
        <v>34323.771700000005</v>
      </c>
      <c r="CP43" s="162"/>
      <c r="CQ43" s="221">
        <f t="shared" ca="1" si="119"/>
        <v>112.99</v>
      </c>
      <c r="CR43" s="221">
        <f t="shared" ca="1" si="119"/>
        <v>277.904</v>
      </c>
      <c r="CS43" s="163">
        <f t="shared" ca="1" si="74"/>
        <v>31400.372959999997</v>
      </c>
      <c r="CT43" s="162"/>
      <c r="CU43" s="221">
        <f t="shared" ca="1" si="120"/>
        <v>151.47999999999999</v>
      </c>
      <c r="CV43" s="221">
        <f t="shared" ca="1" si="120"/>
        <v>277.36</v>
      </c>
      <c r="CW43" s="163">
        <f t="shared" ca="1" si="75"/>
        <v>42014.4928</v>
      </c>
      <c r="CX43" s="162"/>
      <c r="CY43" s="221">
        <f t="shared" ca="1" si="121"/>
        <v>147.61000000000001</v>
      </c>
      <c r="CZ43" s="221">
        <f t="shared" ca="1" si="121"/>
        <v>274.98700000000002</v>
      </c>
      <c r="DA43" s="163">
        <f t="shared" ca="1" si="76"/>
        <v>40590.831070000007</v>
      </c>
      <c r="DB43" s="162"/>
      <c r="DC43" s="221">
        <f t="shared" ca="1" si="122"/>
        <v>137.44</v>
      </c>
      <c r="DD43" s="221">
        <f t="shared" ca="1" si="122"/>
        <v>274.67399999999998</v>
      </c>
      <c r="DE43" s="163">
        <f t="shared" ca="1" si="77"/>
        <v>37751.194559999996</v>
      </c>
      <c r="DF43" s="162"/>
      <c r="DG43" s="221">
        <f t="shared" ca="1" si="123"/>
        <v>125.86</v>
      </c>
      <c r="DH43" s="221">
        <f t="shared" ca="1" si="123"/>
        <v>268.30720000000002</v>
      </c>
      <c r="DI43" s="163">
        <f t="shared" ca="1" si="78"/>
        <v>33769.144192</v>
      </c>
      <c r="DJ43" s="162"/>
      <c r="DK43" s="221">
        <f t="shared" ca="1" si="124"/>
        <v>108.19</v>
      </c>
      <c r="DL43" s="221">
        <f t="shared" ca="1" si="124"/>
        <v>273.94400000000002</v>
      </c>
      <c r="DM43" s="163">
        <f t="shared" ca="1" si="79"/>
        <v>29638.001360000002</v>
      </c>
      <c r="DN43" s="162"/>
      <c r="DO43" s="221">
        <f t="shared" ca="1" si="125"/>
        <v>113.75</v>
      </c>
      <c r="DP43" s="221">
        <f t="shared" ca="1" si="125"/>
        <v>265.83699999999999</v>
      </c>
      <c r="DQ43" s="163">
        <f t="shared" ca="1" si="80"/>
        <v>30238.958749999998</v>
      </c>
      <c r="DR43" s="162"/>
      <c r="DS43" s="221">
        <f t="shared" ca="1" si="126"/>
        <v>116.11</v>
      </c>
      <c r="DT43" s="221">
        <f t="shared" ca="1" si="126"/>
        <v>257.93200000000002</v>
      </c>
      <c r="DU43" s="163">
        <f t="shared" ca="1" si="81"/>
        <v>29948.484520000002</v>
      </c>
      <c r="DV43" s="162"/>
      <c r="DW43" s="221">
        <f t="shared" ca="1" si="127"/>
        <v>111.22</v>
      </c>
      <c r="DX43" s="221">
        <f t="shared" ca="1" si="127"/>
        <v>251.9</v>
      </c>
      <c r="DY43" s="163">
        <f t="shared" ca="1" si="82"/>
        <v>28016.317999999999</v>
      </c>
      <c r="DZ43" s="162"/>
      <c r="EA43" s="221">
        <f t="shared" ca="1" si="128"/>
        <v>106.92</v>
      </c>
      <c r="EB43" s="221">
        <f t="shared" ca="1" si="128"/>
        <v>251.96199999999999</v>
      </c>
      <c r="EC43" s="163">
        <f t="shared" ca="1" si="83"/>
        <v>26939.777040000001</v>
      </c>
      <c r="ED43" s="162"/>
      <c r="EE43" s="221">
        <f t="shared" ca="1" si="129"/>
        <v>114.13</v>
      </c>
      <c r="EF43" s="221">
        <f t="shared" ca="1" si="129"/>
        <v>251.447</v>
      </c>
      <c r="EG43" s="163">
        <f t="shared" ca="1" si="84"/>
        <v>28697.646109999998</v>
      </c>
      <c r="EH43" s="162"/>
      <c r="EI43" s="221">
        <f t="shared" ca="1" si="130"/>
        <v>112.75</v>
      </c>
      <c r="EJ43" s="221">
        <f t="shared" ca="1" si="130"/>
        <v>251.131</v>
      </c>
      <c r="EK43" s="163">
        <f t="shared" ca="1" si="85"/>
        <v>28315.020250000001</v>
      </c>
      <c r="EL43" s="162"/>
      <c r="EM43" s="221">
        <f t="shared" ca="1" si="131"/>
        <v>110.5</v>
      </c>
      <c r="EN43" s="221">
        <f t="shared" ca="1" si="131"/>
        <v>250.21700000000001</v>
      </c>
      <c r="EO43" s="163">
        <f t="shared" ca="1" si="86"/>
        <v>27648.978500000001</v>
      </c>
      <c r="EP43" s="162"/>
      <c r="EQ43" s="221">
        <f t="shared" ca="1" si="132"/>
        <v>100.64</v>
      </c>
      <c r="ER43" s="221">
        <f t="shared" ca="1" si="132"/>
        <v>250.386</v>
      </c>
      <c r="ES43" s="163">
        <f t="shared" ca="1" si="87"/>
        <v>25198.847040000001</v>
      </c>
      <c r="ET43" s="162"/>
      <c r="EU43" s="221">
        <f t="shared" ca="1" si="133"/>
        <v>107.19</v>
      </c>
      <c r="EV43" s="221">
        <f t="shared" ca="1" si="133"/>
        <v>250.096</v>
      </c>
      <c r="EW43" s="163">
        <f t="shared" ca="1" si="88"/>
        <v>26807.790239999998</v>
      </c>
      <c r="EX43" s="162"/>
      <c r="EY43" s="221">
        <f t="shared" ca="1" si="134"/>
        <v>114.02</v>
      </c>
      <c r="EZ43" s="221">
        <f t="shared" ca="1" si="134"/>
        <v>249.73400000000001</v>
      </c>
      <c r="FA43" s="163">
        <f t="shared" ca="1" si="89"/>
        <v>28474.670679999999</v>
      </c>
      <c r="FB43" s="162"/>
      <c r="FC43" s="221">
        <f t="shared" ca="1" si="135"/>
        <v>104.05</v>
      </c>
      <c r="FD43" s="221">
        <f t="shared" ca="1" si="135"/>
        <v>248.249</v>
      </c>
      <c r="FE43" s="163">
        <f t="shared" ca="1" si="90"/>
        <v>25830.30845</v>
      </c>
      <c r="FF43" s="162"/>
      <c r="FG43" s="221">
        <f t="shared" ca="1" si="136"/>
        <v>94.01</v>
      </c>
      <c r="FH43" s="221">
        <f t="shared" ca="1" si="136"/>
        <v>248.43199999999999</v>
      </c>
      <c r="FI43" s="163">
        <f t="shared" ca="1" si="91"/>
        <v>23355.09232</v>
      </c>
      <c r="FJ43" s="162"/>
      <c r="FK43" s="221">
        <f t="shared" ca="1" si="137"/>
        <v>96.72</v>
      </c>
      <c r="FL43" s="221">
        <f t="shared" ca="1" si="137"/>
        <v>248.108</v>
      </c>
      <c r="FM43" s="163">
        <f t="shared" ca="1" si="92"/>
        <v>23997.00576</v>
      </c>
      <c r="FN43" s="162"/>
      <c r="FO43" s="221">
        <f t="shared" ca="1" si="138"/>
        <v>98.94</v>
      </c>
      <c r="FP43" s="221">
        <f t="shared" ca="1" si="138"/>
        <v>247.72200000000001</v>
      </c>
      <c r="FQ43" s="163">
        <f t="shared" ca="1" si="93"/>
        <v>24509.614679999999</v>
      </c>
      <c r="FR43" s="162"/>
      <c r="FS43" s="221">
        <f t="shared" ca="1" si="139"/>
        <v>109.02</v>
      </c>
      <c r="FT43" s="221">
        <f t="shared" ca="1" si="139"/>
        <v>246.4</v>
      </c>
      <c r="FU43" s="163">
        <f t="shared" ca="1" si="94"/>
        <v>26862.527999999998</v>
      </c>
      <c r="FW43" s="221">
        <f t="shared" ca="1" si="140"/>
        <v>111.36</v>
      </c>
      <c r="FX43" s="221">
        <f t="shared" ca="1" si="140"/>
        <v>246.137</v>
      </c>
      <c r="FY43" s="163">
        <f t="shared" ca="1" si="95"/>
        <v>27409.816320000002</v>
      </c>
      <c r="GA43" s="221">
        <f t="shared" ca="1" si="141"/>
        <v>105.38</v>
      </c>
      <c r="GB43" s="221">
        <f t="shared" ca="1" si="141"/>
        <v>245.68799999999999</v>
      </c>
      <c r="GC43" s="163">
        <f t="shared" ca="1" si="96"/>
        <v>25890.601439999999</v>
      </c>
      <c r="GE43" s="221">
        <f t="shared" ca="1" si="142"/>
        <v>104.71</v>
      </c>
      <c r="GF43" s="221">
        <f t="shared" ca="1" si="142"/>
        <v>245.27699999999999</v>
      </c>
      <c r="GG43" s="163">
        <f t="shared" ca="1" si="97"/>
        <v>25682.954669999996</v>
      </c>
      <c r="GI43" s="221">
        <f t="shared" ca="1" si="143"/>
        <v>96.76</v>
      </c>
      <c r="GJ43" s="221">
        <f t="shared" ca="1" si="143"/>
        <v>243.863</v>
      </c>
      <c r="GK43" s="163">
        <f t="shared" ca="1" si="98"/>
        <v>23596.18388</v>
      </c>
      <c r="GM43" s="221">
        <f t="shared" ca="1" si="144"/>
        <v>89.76</v>
      </c>
      <c r="GN43" s="221">
        <f t="shared" ca="1" si="144"/>
        <v>244.14</v>
      </c>
      <c r="GO43" s="163">
        <f t="shared" ca="1" si="99"/>
        <v>21914.006399999998</v>
      </c>
      <c r="GQ43" s="221">
        <f t="shared" ca="1" si="145"/>
        <v>85.6</v>
      </c>
      <c r="GR43" s="221">
        <f t="shared" ca="1" si="145"/>
        <v>243.60300000000001</v>
      </c>
      <c r="GS43" s="163">
        <f t="shared" ca="1" si="100"/>
        <v>20852.416799999999</v>
      </c>
      <c r="GU43" s="221">
        <f t="shared" ca="1" si="110"/>
        <v>81.760000000000005</v>
      </c>
      <c r="GV43" s="221">
        <f t="shared" ca="1" si="110"/>
        <v>243.29400000000001</v>
      </c>
      <c r="GW43" s="163">
        <f t="shared" ca="1" si="101"/>
        <v>19891.71744</v>
      </c>
      <c r="GY43" s="221">
        <f t="shared" ca="1" si="111"/>
        <v>79.94</v>
      </c>
      <c r="GZ43" s="221">
        <f t="shared" ca="1" si="111"/>
        <v>241.34700000000001</v>
      </c>
      <c r="HA43" s="163">
        <f t="shared" ca="1" si="102"/>
        <v>19293.279180000001</v>
      </c>
      <c r="HC43" s="221">
        <f t="shared" ca="1" si="112"/>
        <v>70.94</v>
      </c>
      <c r="HD43" s="221">
        <f t="shared" ca="1" si="112"/>
        <v>241.68899999999999</v>
      </c>
      <c r="HE43" s="163">
        <f t="shared" ca="1" si="103"/>
        <v>17145.417659999999</v>
      </c>
      <c r="HG43" s="221">
        <f t="shared" ca="1" si="113"/>
        <v>64.489999999999995</v>
      </c>
      <c r="HH43" s="221">
        <f t="shared" ca="1" si="113"/>
        <v>241.14099999999999</v>
      </c>
      <c r="HI43" s="163">
        <f t="shared" ca="1" si="104"/>
        <v>15551.183089999999</v>
      </c>
      <c r="HK43" s="221">
        <f t="shared" ca="1" si="114"/>
        <v>68.89</v>
      </c>
      <c r="HL43" s="221">
        <f t="shared" ca="1" si="114"/>
        <v>240.566</v>
      </c>
      <c r="HM43" s="163">
        <f t="shared" ca="1" si="105"/>
        <v>16572.59174</v>
      </c>
      <c r="HO43" s="148">
        <f t="shared" ca="1" si="115"/>
        <v>59.96</v>
      </c>
      <c r="HP43" s="148">
        <f t="shared" ca="1" si="115"/>
        <v>239.72</v>
      </c>
      <c r="HQ43" s="163">
        <f t="shared" ca="1" si="106"/>
        <v>14373.611199999999</v>
      </c>
      <c r="HS43" s="148">
        <f t="shared" ca="1" si="116"/>
        <v>55</v>
      </c>
      <c r="HT43" s="148">
        <f t="shared" ca="1" si="116"/>
        <v>239.54499999999999</v>
      </c>
      <c r="HU43" s="163">
        <f t="shared" ca="1" si="107"/>
        <v>13174.974999999999</v>
      </c>
      <c r="HX43" s="149">
        <f t="shared" ca="1" si="163"/>
        <v>103</v>
      </c>
    </row>
    <row r="44" spans="2:232" s="137" customFormat="1">
      <c r="B44" s="155">
        <f t="shared" ca="1" si="108"/>
        <v>35</v>
      </c>
      <c r="C44" s="146" t="str">
        <f t="shared" ca="1" si="109"/>
        <v>Southern Company</v>
      </c>
      <c r="D44" s="138" t="str">
        <f t="shared" ca="1" si="109"/>
        <v>SO</v>
      </c>
      <c r="E44" s="138">
        <f t="shared" ca="1" si="109"/>
        <v>4004298</v>
      </c>
      <c r="F44" s="147"/>
      <c r="G44" s="363">
        <f t="shared" ca="1" si="146"/>
        <v>82.32</v>
      </c>
      <c r="H44" s="363">
        <f t="shared" ca="1" si="146"/>
        <v>1097</v>
      </c>
      <c r="I44" s="364">
        <f t="shared" ca="1" si="55"/>
        <v>90305.04</v>
      </c>
      <c r="J44" s="147"/>
      <c r="K44" s="147"/>
      <c r="L44" s="363">
        <f t="shared" ca="1" si="147"/>
        <v>90.18</v>
      </c>
      <c r="M44" s="363">
        <f t="shared" ca="1" si="147"/>
        <v>1096</v>
      </c>
      <c r="N44" s="364">
        <f t="shared" ca="1" si="56"/>
        <v>98837.280000000013</v>
      </c>
      <c r="O44" s="147"/>
      <c r="P44" s="147"/>
      <c r="Q44" s="363">
        <f t="shared" ca="1" si="148"/>
        <v>77.569999999999993</v>
      </c>
      <c r="R44" s="363">
        <f t="shared" ca="1" si="148"/>
        <v>1094</v>
      </c>
      <c r="S44" s="364">
        <f t="shared" ca="1" si="57"/>
        <v>84861.579999999987</v>
      </c>
      <c r="T44" s="147"/>
      <c r="U44" s="147"/>
      <c r="V44" s="363">
        <f t="shared" ca="1" si="149"/>
        <v>71.739999999999995</v>
      </c>
      <c r="W44" s="363">
        <f t="shared" ca="1" si="149"/>
        <v>1092</v>
      </c>
      <c r="X44" s="364">
        <f t="shared" ca="1" si="58"/>
        <v>78340.079999999987</v>
      </c>
      <c r="Y44" s="147"/>
      <c r="Z44" s="147"/>
      <c r="AA44" s="363">
        <f t="shared" ca="1" si="150"/>
        <v>70.12</v>
      </c>
      <c r="AB44" s="363">
        <f t="shared" ca="1" si="150"/>
        <v>1092</v>
      </c>
      <c r="AC44" s="364">
        <f t="shared" ca="1" si="59"/>
        <v>76571.040000000008</v>
      </c>
      <c r="AD44" s="147"/>
      <c r="AE44" s="147"/>
      <c r="AF44" s="363">
        <f t="shared" ca="1" si="151"/>
        <v>64.72</v>
      </c>
      <c r="AG44" s="363">
        <f t="shared" ca="1" si="151"/>
        <v>1092</v>
      </c>
      <c r="AH44" s="364">
        <f t="shared" ca="1" si="60"/>
        <v>70674.240000000005</v>
      </c>
      <c r="AI44" s="147"/>
      <c r="AJ44" s="147"/>
      <c r="AK44" s="363">
        <f t="shared" ca="1" si="152"/>
        <v>70.25</v>
      </c>
      <c r="AL44" s="363">
        <f t="shared" ca="1" si="152"/>
        <v>1091</v>
      </c>
      <c r="AM44" s="364">
        <f t="shared" ca="1" si="61"/>
        <v>76642.75</v>
      </c>
      <c r="AN44" s="147"/>
      <c r="AO44" s="147"/>
      <c r="AP44" s="363">
        <f t="shared" ca="1" si="153"/>
        <v>69.58</v>
      </c>
      <c r="AQ44" s="363">
        <f t="shared" ca="1" si="153"/>
        <v>1075</v>
      </c>
      <c r="AR44" s="364">
        <f t="shared" ca="1" si="62"/>
        <v>74798.5</v>
      </c>
      <c r="AS44" s="147"/>
      <c r="AT44" s="147"/>
      <c r="AU44" s="363">
        <f t="shared" ca="1" si="154"/>
        <v>71.41</v>
      </c>
      <c r="AV44" s="363">
        <f t="shared" ca="1" si="154"/>
        <v>1082</v>
      </c>
      <c r="AW44" s="364">
        <f t="shared" ca="1" si="63"/>
        <v>77265.62</v>
      </c>
      <c r="AX44" s="147"/>
      <c r="AY44" s="147"/>
      <c r="AZ44" s="363">
        <f t="shared" ca="1" si="155"/>
        <v>68</v>
      </c>
      <c r="BA44" s="363">
        <f t="shared" ca="1" si="155"/>
        <v>1065</v>
      </c>
      <c r="BB44" s="364">
        <f t="shared" ca="1" si="64"/>
        <v>72420</v>
      </c>
      <c r="BC44" s="147"/>
      <c r="BD44" s="147"/>
      <c r="BE44" s="363">
        <f t="shared" ca="1" si="156"/>
        <v>71.31</v>
      </c>
      <c r="BF44" s="363">
        <f t="shared" ca="1" si="156"/>
        <v>1063</v>
      </c>
      <c r="BG44" s="364">
        <f t="shared" ca="1" si="65"/>
        <v>75802.53</v>
      </c>
      <c r="BH44" s="147"/>
      <c r="BI44" s="147"/>
      <c r="BJ44" s="363">
        <f t="shared" ca="1" si="157"/>
        <v>72.510000000000005</v>
      </c>
      <c r="BK44" s="363">
        <f t="shared" ca="1" si="157"/>
        <v>1061</v>
      </c>
      <c r="BL44" s="364">
        <f t="shared" ca="1" si="66"/>
        <v>76933.11</v>
      </c>
      <c r="BM44" s="147"/>
      <c r="BN44" s="147"/>
      <c r="BO44" s="363">
        <f t="shared" ca="1" si="158"/>
        <v>68.58</v>
      </c>
      <c r="BP44" s="363">
        <f t="shared" ca="1" si="158"/>
        <v>1061</v>
      </c>
      <c r="BQ44" s="364">
        <f t="shared" ca="1" si="67"/>
        <v>72763.38</v>
      </c>
      <c r="BR44" s="162"/>
      <c r="BS44" s="363">
        <f t="shared" ca="1" si="159"/>
        <v>61.97</v>
      </c>
      <c r="BT44" s="363">
        <f t="shared" ca="1" si="159"/>
        <v>1061</v>
      </c>
      <c r="BU44" s="364">
        <f t="shared" ca="1" si="68"/>
        <v>65750.17</v>
      </c>
      <c r="BV44" s="162"/>
      <c r="BW44" s="363">
        <f t="shared" ca="1" si="160"/>
        <v>60.51</v>
      </c>
      <c r="BX44" s="363">
        <f t="shared" ca="1" si="160"/>
        <v>1060</v>
      </c>
      <c r="BY44" s="364">
        <f t="shared" ca="1" si="69"/>
        <v>64140.6</v>
      </c>
      <c r="BZ44" s="162"/>
      <c r="CA44" s="363">
        <f t="shared" ca="1" si="161"/>
        <v>62.16</v>
      </c>
      <c r="CB44" s="363">
        <f t="shared" ca="1" si="161"/>
        <v>1058</v>
      </c>
      <c r="CC44" s="364">
        <f t="shared" ca="1" si="70"/>
        <v>65765.279999999999</v>
      </c>
      <c r="CD44" s="162"/>
      <c r="CE44" s="363">
        <f t="shared" ca="1" si="162"/>
        <v>61.43</v>
      </c>
      <c r="CF44" s="363">
        <f t="shared" ca="1" si="162"/>
        <v>1058</v>
      </c>
      <c r="CG44" s="364">
        <f t="shared" ca="1" si="71"/>
        <v>64992.94</v>
      </c>
      <c r="CH44" s="162"/>
      <c r="CI44" s="363">
        <f t="shared" ca="1" si="117"/>
        <v>54.22</v>
      </c>
      <c r="CJ44" s="363">
        <f t="shared" ca="1" si="117"/>
        <v>1058</v>
      </c>
      <c r="CK44" s="364">
        <f t="shared" ca="1" si="72"/>
        <v>57364.76</v>
      </c>
      <c r="CL44" s="162"/>
      <c r="CM44" s="363">
        <f t="shared" ca="1" si="118"/>
        <v>51.85</v>
      </c>
      <c r="CN44" s="363">
        <f t="shared" ca="1" si="118"/>
        <v>1057</v>
      </c>
      <c r="CO44" s="364">
        <f t="shared" ca="1" si="73"/>
        <v>54805.450000000004</v>
      </c>
      <c r="CP44" s="162"/>
      <c r="CQ44" s="221">
        <f t="shared" ca="1" si="119"/>
        <v>54.14</v>
      </c>
      <c r="CR44" s="221">
        <f t="shared" ca="1" si="119"/>
        <v>1046.0229999999999</v>
      </c>
      <c r="CS44" s="163">
        <f t="shared" ca="1" si="74"/>
        <v>56631.685219999999</v>
      </c>
      <c r="CT44" s="162"/>
      <c r="CU44" s="221">
        <f t="shared" ca="1" si="120"/>
        <v>63.7</v>
      </c>
      <c r="CV44" s="221">
        <f t="shared" ca="1" si="120"/>
        <v>1048</v>
      </c>
      <c r="CW44" s="163">
        <f t="shared" ca="1" si="75"/>
        <v>66757.600000000006</v>
      </c>
      <c r="CX44" s="162"/>
      <c r="CY44" s="221">
        <f t="shared" ca="1" si="121"/>
        <v>61.77</v>
      </c>
      <c r="CZ44" s="221">
        <f t="shared" ca="1" si="121"/>
        <v>1044</v>
      </c>
      <c r="DA44" s="163">
        <f t="shared" ca="1" si="76"/>
        <v>64487.880000000005</v>
      </c>
      <c r="DB44" s="162"/>
      <c r="DC44" s="221">
        <f t="shared" ca="1" si="122"/>
        <v>55.28</v>
      </c>
      <c r="DD44" s="221">
        <f t="shared" ca="1" si="122"/>
        <v>1038</v>
      </c>
      <c r="DE44" s="163">
        <f t="shared" ca="1" si="77"/>
        <v>57380.639999999999</v>
      </c>
      <c r="DF44" s="162"/>
      <c r="DG44" s="221">
        <f t="shared" ca="1" si="123"/>
        <v>51.68</v>
      </c>
      <c r="DH44" s="221">
        <f t="shared" ca="1" si="123"/>
        <v>1020.247</v>
      </c>
      <c r="DI44" s="163">
        <f t="shared" ca="1" si="78"/>
        <v>52726.364959999999</v>
      </c>
      <c r="DJ44" s="162"/>
      <c r="DK44" s="221">
        <f t="shared" ca="1" si="124"/>
        <v>43.92</v>
      </c>
      <c r="DL44" s="221">
        <f t="shared" ca="1" si="124"/>
        <v>1023</v>
      </c>
      <c r="DM44" s="163">
        <f t="shared" ca="1" si="79"/>
        <v>44930.16</v>
      </c>
      <c r="DN44" s="162"/>
      <c r="DO44" s="221">
        <f t="shared" ca="1" si="125"/>
        <v>43.6</v>
      </c>
      <c r="DP44" s="221">
        <f t="shared" ca="1" si="125"/>
        <v>1014</v>
      </c>
      <c r="DQ44" s="163">
        <f t="shared" ca="1" si="80"/>
        <v>44210.400000000001</v>
      </c>
      <c r="DR44" s="162"/>
      <c r="DS44" s="221">
        <f t="shared" ca="1" si="126"/>
        <v>46.31</v>
      </c>
      <c r="DT44" s="221">
        <f t="shared" ca="1" si="126"/>
        <v>1011</v>
      </c>
      <c r="DU44" s="163">
        <f t="shared" ca="1" si="81"/>
        <v>46819.41</v>
      </c>
      <c r="DV44" s="162"/>
      <c r="DW44" s="221">
        <f t="shared" ca="1" si="127"/>
        <v>44.66</v>
      </c>
      <c r="DX44" s="221">
        <f t="shared" ca="1" si="127"/>
        <v>1007.3440000000001</v>
      </c>
      <c r="DY44" s="163">
        <f t="shared" ca="1" si="82"/>
        <v>44987.983039999999</v>
      </c>
      <c r="DZ44" s="162"/>
      <c r="EA44" s="221">
        <f t="shared" ca="1" si="128"/>
        <v>48.09</v>
      </c>
      <c r="EB44" s="221">
        <f t="shared" ca="1" si="128"/>
        <v>1003</v>
      </c>
      <c r="EC44" s="163">
        <f t="shared" ca="1" si="83"/>
        <v>48234.270000000004</v>
      </c>
      <c r="ED44" s="162"/>
      <c r="EE44" s="221">
        <f t="shared" ca="1" si="129"/>
        <v>49.14</v>
      </c>
      <c r="EF44" s="221">
        <f t="shared" ca="1" si="129"/>
        <v>998</v>
      </c>
      <c r="EG44" s="163">
        <f t="shared" ca="1" si="84"/>
        <v>49041.72</v>
      </c>
      <c r="EH44" s="162"/>
      <c r="EI44" s="221">
        <f t="shared" ca="1" si="130"/>
        <v>47.88</v>
      </c>
      <c r="EJ44" s="221">
        <f t="shared" ca="1" si="130"/>
        <v>993</v>
      </c>
      <c r="EK44" s="163">
        <f t="shared" ca="1" si="85"/>
        <v>47544.840000000004</v>
      </c>
      <c r="EL44" s="162"/>
      <c r="EM44" s="221">
        <f t="shared" ca="1" si="131"/>
        <v>49.78</v>
      </c>
      <c r="EN44" s="221">
        <f t="shared" ca="1" si="131"/>
        <v>951.33199999999999</v>
      </c>
      <c r="EO44" s="163">
        <f t="shared" ca="1" si="86"/>
        <v>47357.306960000002</v>
      </c>
      <c r="EP44" s="162"/>
      <c r="EQ44" s="221">
        <f t="shared" ca="1" si="132"/>
        <v>49.19</v>
      </c>
      <c r="ER44" s="221">
        <f t="shared" ca="1" si="132"/>
        <v>968</v>
      </c>
      <c r="ES44" s="163">
        <f t="shared" ca="1" si="87"/>
        <v>47615.92</v>
      </c>
      <c r="ET44" s="162"/>
      <c r="EU44" s="221">
        <f t="shared" ca="1" si="133"/>
        <v>51.3</v>
      </c>
      <c r="EV44" s="221">
        <f t="shared" ca="1" si="133"/>
        <v>934</v>
      </c>
      <c r="EW44" s="163">
        <f t="shared" ca="1" si="88"/>
        <v>47914.2</v>
      </c>
      <c r="EX44" s="162"/>
      <c r="EY44" s="221">
        <f t="shared" ca="1" si="134"/>
        <v>53.63</v>
      </c>
      <c r="EZ44" s="221">
        <f t="shared" ca="1" si="134"/>
        <v>916</v>
      </c>
      <c r="FA44" s="163">
        <f t="shared" ca="1" si="89"/>
        <v>49125.08</v>
      </c>
      <c r="FB44" s="162"/>
      <c r="FC44" s="221">
        <f t="shared" ca="1" si="135"/>
        <v>51.73</v>
      </c>
      <c r="FD44" s="221">
        <f t="shared" ca="1" si="135"/>
        <v>910.024</v>
      </c>
      <c r="FE44" s="163">
        <f t="shared" ca="1" si="90"/>
        <v>47075.541519999999</v>
      </c>
      <c r="FF44" s="162"/>
      <c r="FG44" s="221">
        <f t="shared" ca="1" si="136"/>
        <v>46.79</v>
      </c>
      <c r="FH44" s="221">
        <f t="shared" ca="1" si="136"/>
        <v>910</v>
      </c>
      <c r="FI44" s="163">
        <f t="shared" ca="1" si="91"/>
        <v>42578.9</v>
      </c>
      <c r="FJ44" s="162"/>
      <c r="FK44" s="221">
        <f t="shared" ca="1" si="137"/>
        <v>44.7</v>
      </c>
      <c r="FL44" s="221">
        <f t="shared" ca="1" si="137"/>
        <v>909</v>
      </c>
      <c r="FM44" s="163">
        <f t="shared" ca="1" si="92"/>
        <v>40632.300000000003</v>
      </c>
      <c r="FN44" s="162"/>
      <c r="FO44" s="221">
        <f t="shared" ca="1" si="138"/>
        <v>41.9</v>
      </c>
      <c r="FP44" s="221">
        <f t="shared" ca="1" si="138"/>
        <v>910</v>
      </c>
      <c r="FQ44" s="163">
        <f t="shared" ca="1" si="93"/>
        <v>38129</v>
      </c>
      <c r="FR44" s="162"/>
      <c r="FS44" s="221">
        <f t="shared" ca="1" si="139"/>
        <v>44.28</v>
      </c>
      <c r="FT44" s="221">
        <f t="shared" ca="1" si="139"/>
        <v>906.77599999999995</v>
      </c>
      <c r="FU44" s="163">
        <f t="shared" ca="1" si="94"/>
        <v>40152.041279999998</v>
      </c>
      <c r="FW44" s="221">
        <f t="shared" ca="1" si="140"/>
        <v>49.11</v>
      </c>
      <c r="FX44" s="221">
        <f t="shared" ca="1" si="140"/>
        <v>898</v>
      </c>
      <c r="FY44" s="163">
        <f t="shared" ca="1" si="95"/>
        <v>44100.78</v>
      </c>
      <c r="GA44" s="221">
        <f t="shared" ca="1" si="141"/>
        <v>43.65</v>
      </c>
      <c r="GB44" s="221">
        <f t="shared" ca="1" si="141"/>
        <v>895</v>
      </c>
      <c r="GC44" s="163">
        <f t="shared" ca="1" si="96"/>
        <v>39066.75</v>
      </c>
      <c r="GE44" s="221">
        <f t="shared" ca="1" si="142"/>
        <v>45.38</v>
      </c>
      <c r="GF44" s="221">
        <f t="shared" ca="1" si="142"/>
        <v>890</v>
      </c>
      <c r="GG44" s="163">
        <f t="shared" ca="1" si="97"/>
        <v>40388.200000000004</v>
      </c>
      <c r="GI44" s="221">
        <f t="shared" ca="1" si="143"/>
        <v>43.94</v>
      </c>
      <c r="GJ44" s="221">
        <f t="shared" ca="1" si="143"/>
        <v>876.755</v>
      </c>
      <c r="GK44" s="163">
        <f t="shared" ca="1" si="98"/>
        <v>38524.614699999998</v>
      </c>
      <c r="GM44" s="221">
        <f t="shared" ca="1" si="144"/>
        <v>41.11</v>
      </c>
      <c r="GN44" s="221">
        <f t="shared" ca="1" si="144"/>
        <v>878</v>
      </c>
      <c r="GO44" s="163">
        <f t="shared" ca="1" si="99"/>
        <v>36094.58</v>
      </c>
      <c r="GQ44" s="221">
        <f t="shared" ca="1" si="145"/>
        <v>41.18</v>
      </c>
      <c r="GR44" s="221">
        <f t="shared" ca="1" si="145"/>
        <v>874</v>
      </c>
      <c r="GS44" s="163">
        <f t="shared" ca="1" si="100"/>
        <v>35991.32</v>
      </c>
      <c r="GU44" s="221">
        <f t="shared" ca="1" si="110"/>
        <v>44.13</v>
      </c>
      <c r="GV44" s="221">
        <f t="shared" ca="1" si="110"/>
        <v>870</v>
      </c>
      <c r="GW44" s="163">
        <f t="shared" ca="1" si="101"/>
        <v>38393.100000000006</v>
      </c>
      <c r="GY44" s="221">
        <f t="shared" ca="1" si="111"/>
        <v>46.92</v>
      </c>
      <c r="GZ44" s="221">
        <f t="shared" ca="1" si="111"/>
        <v>871.38800000000003</v>
      </c>
      <c r="HA44" s="163">
        <f t="shared" ca="1" si="102"/>
        <v>40885.524960000002</v>
      </c>
      <c r="HC44" s="221">
        <f t="shared" ca="1" si="112"/>
        <v>42.81</v>
      </c>
      <c r="HD44" s="221">
        <f t="shared" ca="1" si="112"/>
        <v>876</v>
      </c>
      <c r="HE44" s="163">
        <f t="shared" ca="1" si="103"/>
        <v>37501.560000000005</v>
      </c>
      <c r="HG44" s="221">
        <f t="shared" ca="1" si="113"/>
        <v>46.09</v>
      </c>
      <c r="HH44" s="221">
        <f t="shared" ca="1" si="113"/>
        <v>872</v>
      </c>
      <c r="HI44" s="163">
        <f t="shared" ca="1" si="104"/>
        <v>40190.480000000003</v>
      </c>
      <c r="HK44" s="221">
        <f t="shared" ca="1" si="114"/>
        <v>46.24</v>
      </c>
      <c r="HL44" s="221">
        <f t="shared" ca="1" si="114"/>
        <v>868</v>
      </c>
      <c r="HM44" s="163">
        <f t="shared" ca="1" si="105"/>
        <v>40136.32</v>
      </c>
      <c r="HO44" s="148">
        <f t="shared" ca="1" si="115"/>
        <v>44.93</v>
      </c>
      <c r="HP44" s="148">
        <f t="shared" ca="1" si="115"/>
        <v>856.89800000000002</v>
      </c>
      <c r="HQ44" s="163">
        <f t="shared" ca="1" si="106"/>
        <v>38500.42714</v>
      </c>
      <c r="HS44" s="148">
        <f t="shared" ca="1" si="116"/>
        <v>46.29</v>
      </c>
      <c r="HT44" s="148">
        <f t="shared" ca="1" si="116"/>
        <v>860</v>
      </c>
      <c r="HU44" s="163">
        <f t="shared" ca="1" si="107"/>
        <v>39809.4</v>
      </c>
      <c r="HX44" s="149">
        <f t="shared" ca="1" si="163"/>
        <v>59</v>
      </c>
    </row>
    <row r="45" spans="2:232" s="137" customFormat="1">
      <c r="B45" s="155">
        <f t="shared" ca="1" si="108"/>
        <v>36</v>
      </c>
      <c r="C45" s="146" t="str">
        <f t="shared" ca="1" si="109"/>
        <v>Unitil Corporation</v>
      </c>
      <c r="D45" s="138" t="str">
        <f t="shared" ca="1" si="109"/>
        <v>UTL</v>
      </c>
      <c r="E45" s="138">
        <f t="shared" ca="1" si="109"/>
        <v>4056953</v>
      </c>
      <c r="F45" s="147"/>
      <c r="G45" s="363">
        <f t="shared" ca="1" si="146"/>
        <v>54.19</v>
      </c>
      <c r="H45" s="363">
        <f t="shared" ca="1" si="146"/>
        <v>16.100000000000001</v>
      </c>
      <c r="I45" s="364">
        <f t="shared" ca="1" si="55"/>
        <v>872.45900000000006</v>
      </c>
      <c r="J45" s="147"/>
      <c r="K45" s="147"/>
      <c r="L45" s="363">
        <f t="shared" ca="1" si="147"/>
        <v>60.58</v>
      </c>
      <c r="M45" s="363">
        <f t="shared" ca="1" si="147"/>
        <v>16.100000000000001</v>
      </c>
      <c r="N45" s="364">
        <f t="shared" ca="1" si="56"/>
        <v>975.33800000000008</v>
      </c>
      <c r="O45" s="147"/>
      <c r="P45" s="147"/>
      <c r="Q45" s="363">
        <f t="shared" ca="1" si="148"/>
        <v>51.79</v>
      </c>
      <c r="R45" s="363">
        <f t="shared" ca="1" si="148"/>
        <v>16.100000000000001</v>
      </c>
      <c r="S45" s="364">
        <f t="shared" ca="1" si="57"/>
        <v>833.81900000000007</v>
      </c>
      <c r="T45" s="147"/>
      <c r="U45" s="147"/>
      <c r="V45" s="363">
        <f t="shared" ca="1" si="149"/>
        <v>52.35</v>
      </c>
      <c r="W45" s="363">
        <f t="shared" ca="1" si="149"/>
        <v>16.18</v>
      </c>
      <c r="X45" s="364">
        <f t="shared" ca="1" si="58"/>
        <v>847.02300000000002</v>
      </c>
      <c r="Y45" s="147"/>
      <c r="Z45" s="147"/>
      <c r="AA45" s="363">
        <f t="shared" ca="1" si="150"/>
        <v>52.57</v>
      </c>
      <c r="AB45" s="363">
        <f t="shared" ca="1" si="150"/>
        <v>16.100000000000001</v>
      </c>
      <c r="AC45" s="364">
        <f t="shared" ca="1" si="59"/>
        <v>846.37700000000007</v>
      </c>
      <c r="AD45" s="147"/>
      <c r="AE45" s="147"/>
      <c r="AF45" s="363">
        <f t="shared" ca="1" si="151"/>
        <v>42.71</v>
      </c>
      <c r="AG45" s="363">
        <f t="shared" ca="1" si="151"/>
        <v>16</v>
      </c>
      <c r="AH45" s="364">
        <f t="shared" ca="1" si="60"/>
        <v>683.36</v>
      </c>
      <c r="AI45" s="147"/>
      <c r="AJ45" s="147"/>
      <c r="AK45" s="363">
        <f t="shared" ca="1" si="152"/>
        <v>50.71</v>
      </c>
      <c r="AL45" s="363">
        <f t="shared" ca="1" si="152"/>
        <v>16</v>
      </c>
      <c r="AM45" s="364">
        <f t="shared" ca="1" si="61"/>
        <v>811.36</v>
      </c>
      <c r="AN45" s="147"/>
      <c r="AO45" s="147"/>
      <c r="AP45" s="363">
        <f t="shared" ca="1" si="153"/>
        <v>57.04</v>
      </c>
      <c r="AQ45" s="363">
        <f t="shared" ca="1" si="153"/>
        <v>15.991</v>
      </c>
      <c r="AR45" s="364">
        <f t="shared" ca="1" si="62"/>
        <v>912.12663999999995</v>
      </c>
      <c r="AS45" s="147"/>
      <c r="AT45" s="147"/>
      <c r="AU45" s="363">
        <f t="shared" ca="1" si="154"/>
        <v>51.36</v>
      </c>
      <c r="AV45" s="363">
        <f t="shared" ca="1" si="154"/>
        <v>16</v>
      </c>
      <c r="AW45" s="364">
        <f t="shared" ca="1" si="63"/>
        <v>821.76</v>
      </c>
      <c r="AX45" s="147"/>
      <c r="AY45" s="147"/>
      <c r="AZ45" s="363">
        <f t="shared" ca="1" si="155"/>
        <v>46.45</v>
      </c>
      <c r="BA45" s="363">
        <f t="shared" ca="1" si="155"/>
        <v>16</v>
      </c>
      <c r="BB45" s="364">
        <f t="shared" ca="1" si="64"/>
        <v>743.2</v>
      </c>
      <c r="BC45" s="147"/>
      <c r="BD45" s="147"/>
      <c r="BE45" s="363">
        <f t="shared" ca="1" si="156"/>
        <v>58.72</v>
      </c>
      <c r="BF45" s="363">
        <f t="shared" ca="1" si="156"/>
        <v>15.972</v>
      </c>
      <c r="BG45" s="364">
        <f t="shared" ca="1" si="65"/>
        <v>937.87583999999993</v>
      </c>
      <c r="BH45" s="147"/>
      <c r="BI45" s="147"/>
      <c r="BJ45" s="363">
        <f t="shared" ca="1" si="157"/>
        <v>49.88</v>
      </c>
      <c r="BK45" s="363">
        <f t="shared" ca="1" si="157"/>
        <v>15.372999999999999</v>
      </c>
      <c r="BL45" s="364">
        <f t="shared" ca="1" si="66"/>
        <v>766.80524000000003</v>
      </c>
      <c r="BM45" s="147"/>
      <c r="BN45" s="147"/>
      <c r="BO45" s="363">
        <f t="shared" ca="1" si="158"/>
        <v>45.99</v>
      </c>
      <c r="BP45" s="363">
        <f t="shared" ca="1" si="158"/>
        <v>15.541</v>
      </c>
      <c r="BQ45" s="364">
        <f t="shared" ca="1" si="67"/>
        <v>714.73059000000001</v>
      </c>
      <c r="BR45" s="162"/>
      <c r="BS45" s="363">
        <f t="shared" ca="1" si="159"/>
        <v>42.78</v>
      </c>
      <c r="BT45" s="363">
        <f t="shared" ca="1" si="159"/>
        <v>15.01</v>
      </c>
      <c r="BU45" s="364">
        <f t="shared" ca="1" si="68"/>
        <v>642.12779999999998</v>
      </c>
      <c r="BV45" s="162"/>
      <c r="BW45" s="363">
        <f t="shared" ca="1" si="160"/>
        <v>52.97</v>
      </c>
      <c r="BX45" s="363">
        <f t="shared" ca="1" si="160"/>
        <v>14.994</v>
      </c>
      <c r="BY45" s="364">
        <f t="shared" ca="1" si="69"/>
        <v>794.23217999999997</v>
      </c>
      <c r="BZ45" s="162"/>
      <c r="CA45" s="363">
        <f t="shared" ca="1" si="161"/>
        <v>45.69</v>
      </c>
      <c r="CB45" s="363">
        <f t="shared" ca="1" si="161"/>
        <v>14.951000000000001</v>
      </c>
      <c r="CC45" s="364">
        <f t="shared" ca="1" si="70"/>
        <v>683.11118999999997</v>
      </c>
      <c r="CD45" s="162"/>
      <c r="CE45" s="363">
        <f t="shared" ca="1" si="162"/>
        <v>44.27</v>
      </c>
      <c r="CF45" s="363">
        <f t="shared" ca="1" si="162"/>
        <v>14.954000000000001</v>
      </c>
      <c r="CG45" s="364">
        <f t="shared" ca="1" si="71"/>
        <v>662.01358000000005</v>
      </c>
      <c r="CH45" s="162"/>
      <c r="CI45" s="363">
        <f t="shared" ca="1" si="117"/>
        <v>38.64</v>
      </c>
      <c r="CJ45" s="363">
        <f t="shared" ca="1" si="117"/>
        <v>14.948</v>
      </c>
      <c r="CK45" s="364">
        <f t="shared" ca="1" si="72"/>
        <v>577.59072000000003</v>
      </c>
      <c r="CL45" s="162"/>
      <c r="CM45" s="363">
        <f t="shared" ca="1" si="118"/>
        <v>44.82</v>
      </c>
      <c r="CN45" s="363">
        <f t="shared" ca="1" si="118"/>
        <v>14.933999999999999</v>
      </c>
      <c r="CO45" s="364">
        <f t="shared" ca="1" si="73"/>
        <v>669.34187999999995</v>
      </c>
      <c r="CP45" s="162"/>
      <c r="CQ45" s="221">
        <f t="shared" ca="1" si="119"/>
        <v>52.32</v>
      </c>
      <c r="CR45" s="221">
        <f t="shared" ca="1" si="119"/>
        <v>14.894</v>
      </c>
      <c r="CS45" s="163">
        <f t="shared" ca="1" si="74"/>
        <v>779.25408000000004</v>
      </c>
      <c r="CT45" s="162"/>
      <c r="CU45" s="221">
        <f t="shared" ca="1" si="120"/>
        <v>61.82</v>
      </c>
      <c r="CV45" s="221">
        <f t="shared" ca="1" si="120"/>
        <v>14.898</v>
      </c>
      <c r="CW45" s="163">
        <f t="shared" ca="1" si="75"/>
        <v>920.99436000000003</v>
      </c>
      <c r="CX45" s="162"/>
      <c r="CY45" s="221">
        <f t="shared" ca="1" si="121"/>
        <v>63.44</v>
      </c>
      <c r="CZ45" s="221">
        <f t="shared" ca="1" si="121"/>
        <v>14.891999999999999</v>
      </c>
      <c r="DA45" s="163">
        <f t="shared" ca="1" si="76"/>
        <v>944.74847999999997</v>
      </c>
      <c r="DB45" s="162"/>
      <c r="DC45" s="221">
        <f t="shared" ca="1" si="122"/>
        <v>59.89</v>
      </c>
      <c r="DD45" s="221">
        <f t="shared" ca="1" si="122"/>
        <v>14.875</v>
      </c>
      <c r="DE45" s="163">
        <f t="shared" ca="1" si="77"/>
        <v>890.86374999999998</v>
      </c>
      <c r="DF45" s="162"/>
      <c r="DG45" s="221">
        <f t="shared" ca="1" si="123"/>
        <v>54.17</v>
      </c>
      <c r="DH45" s="221">
        <f t="shared" ca="1" si="123"/>
        <v>14.824</v>
      </c>
      <c r="DI45" s="163">
        <f t="shared" ca="1" si="78"/>
        <v>803.01607999999999</v>
      </c>
      <c r="DJ45" s="162"/>
      <c r="DK45" s="221">
        <f t="shared" ca="1" si="124"/>
        <v>50.64</v>
      </c>
      <c r="DL45" s="221">
        <f t="shared" ca="1" si="124"/>
        <v>14.829000000000001</v>
      </c>
      <c r="DM45" s="163">
        <f t="shared" ca="1" si="79"/>
        <v>750.94056</v>
      </c>
      <c r="DN45" s="162"/>
      <c r="DO45" s="221">
        <f t="shared" ca="1" si="125"/>
        <v>50.9</v>
      </c>
      <c r="DP45" s="221">
        <f t="shared" ca="1" si="125"/>
        <v>14.821999999999999</v>
      </c>
      <c r="DQ45" s="163">
        <f t="shared" ca="1" si="80"/>
        <v>754.43979999999999</v>
      </c>
      <c r="DR45" s="162"/>
      <c r="DS45" s="221">
        <f t="shared" ca="1" si="126"/>
        <v>51.04</v>
      </c>
      <c r="DT45" s="221">
        <f t="shared" ca="1" si="126"/>
        <v>14.803000000000001</v>
      </c>
      <c r="DU45" s="163">
        <f t="shared" ca="1" si="81"/>
        <v>755.54512</v>
      </c>
      <c r="DV45" s="162"/>
      <c r="DW45" s="221">
        <f t="shared" ca="1" si="127"/>
        <v>46.41</v>
      </c>
      <c r="DX45" s="221">
        <f t="shared" ca="1" si="127"/>
        <v>14.212</v>
      </c>
      <c r="DY45" s="163">
        <f t="shared" ca="1" si="82"/>
        <v>659.57891999999993</v>
      </c>
      <c r="DZ45" s="162"/>
      <c r="EA45" s="221">
        <f t="shared" ca="1" si="128"/>
        <v>45.62</v>
      </c>
      <c r="EB45" s="221">
        <f t="shared" ca="1" si="128"/>
        <v>14.067</v>
      </c>
      <c r="EC45" s="163">
        <f t="shared" ca="1" si="83"/>
        <v>641.73653999999999</v>
      </c>
      <c r="ED45" s="162"/>
      <c r="EE45" s="221">
        <f t="shared" ca="1" si="129"/>
        <v>49.46</v>
      </c>
      <c r="EF45" s="221">
        <f t="shared" ca="1" si="129"/>
        <v>14.06</v>
      </c>
      <c r="EG45" s="163">
        <f t="shared" ca="1" si="84"/>
        <v>695.4076</v>
      </c>
      <c r="EH45" s="162"/>
      <c r="EI45" s="221">
        <f t="shared" ca="1" si="130"/>
        <v>48.31</v>
      </c>
      <c r="EJ45" s="221">
        <f t="shared" ca="1" si="130"/>
        <v>14.042</v>
      </c>
      <c r="EK45" s="163">
        <f t="shared" ca="1" si="85"/>
        <v>678.36901999999998</v>
      </c>
      <c r="EL45" s="162"/>
      <c r="EM45" s="221">
        <f t="shared" ca="1" si="131"/>
        <v>45.03</v>
      </c>
      <c r="EN45" s="221">
        <f t="shared" ca="1" si="131"/>
        <v>13.99</v>
      </c>
      <c r="EO45" s="163">
        <f t="shared" ca="1" si="86"/>
        <v>629.96969999999999</v>
      </c>
      <c r="EP45" s="162"/>
      <c r="EQ45" s="221">
        <f t="shared" ca="1" si="132"/>
        <v>45.34</v>
      </c>
      <c r="ER45" s="221">
        <f t="shared" ca="1" si="132"/>
        <v>13.993</v>
      </c>
      <c r="ES45" s="163">
        <f t="shared" ca="1" si="87"/>
        <v>634.44262000000003</v>
      </c>
      <c r="ET45" s="162"/>
      <c r="EU45" s="221">
        <f t="shared" ca="1" si="133"/>
        <v>39.06</v>
      </c>
      <c r="EV45" s="221">
        <f t="shared" ca="1" si="133"/>
        <v>13.984999999999999</v>
      </c>
      <c r="EW45" s="163">
        <f t="shared" ca="1" si="88"/>
        <v>546.25409999999999</v>
      </c>
      <c r="EX45" s="162"/>
      <c r="EY45" s="221">
        <f t="shared" ca="1" si="134"/>
        <v>42.67</v>
      </c>
      <c r="EZ45" s="221">
        <f t="shared" ca="1" si="134"/>
        <v>13.968</v>
      </c>
      <c r="FA45" s="163">
        <f t="shared" ca="1" si="89"/>
        <v>596.01456000000007</v>
      </c>
      <c r="FB45" s="162"/>
      <c r="FC45" s="221">
        <f t="shared" ca="1" si="135"/>
        <v>42.49</v>
      </c>
      <c r="FD45" s="221">
        <f t="shared" ca="1" si="135"/>
        <v>13.917</v>
      </c>
      <c r="FE45" s="163">
        <f t="shared" ca="1" si="90"/>
        <v>591.33333000000005</v>
      </c>
      <c r="FF45" s="162"/>
      <c r="FG45" s="221">
        <f t="shared" ca="1" si="136"/>
        <v>35.880000000000003</v>
      </c>
      <c r="FH45" s="221">
        <f t="shared" ca="1" si="136"/>
        <v>13.922000000000001</v>
      </c>
      <c r="FI45" s="163">
        <f t="shared" ca="1" si="91"/>
        <v>499.52136000000007</v>
      </c>
      <c r="FJ45" s="162"/>
      <c r="FK45" s="221">
        <f t="shared" ca="1" si="137"/>
        <v>36.880000000000003</v>
      </c>
      <c r="FL45" s="221">
        <f t="shared" ca="1" si="137"/>
        <v>13.912000000000001</v>
      </c>
      <c r="FM45" s="163">
        <f t="shared" ca="1" si="92"/>
        <v>513.07456000000002</v>
      </c>
      <c r="FN45" s="162"/>
      <c r="FO45" s="221">
        <f t="shared" ca="1" si="138"/>
        <v>33.020000000000003</v>
      </c>
      <c r="FP45" s="221">
        <f t="shared" ca="1" si="138"/>
        <v>13.9</v>
      </c>
      <c r="FQ45" s="163">
        <f t="shared" ca="1" si="93"/>
        <v>458.97800000000007</v>
      </c>
      <c r="FR45" s="162"/>
      <c r="FS45" s="221">
        <f t="shared" ca="1" si="139"/>
        <v>34.770000000000003</v>
      </c>
      <c r="FT45" s="221">
        <f t="shared" ca="1" si="139"/>
        <v>13.972</v>
      </c>
      <c r="FU45" s="163">
        <f t="shared" ca="1" si="94"/>
        <v>485.80644000000001</v>
      </c>
      <c r="FW45" s="221">
        <f t="shared" ca="1" si="140"/>
        <v>36.67</v>
      </c>
      <c r="FX45" s="221">
        <f t="shared" ca="1" si="140"/>
        <v>13.8</v>
      </c>
      <c r="FY45" s="163">
        <f t="shared" ca="1" si="95"/>
        <v>506.04600000000005</v>
      </c>
      <c r="GA45" s="221">
        <f t="shared" ca="1" si="141"/>
        <v>31.09</v>
      </c>
      <c r="GB45" s="221">
        <f t="shared" ca="1" si="141"/>
        <v>13.8</v>
      </c>
      <c r="GC45" s="163">
        <f t="shared" ca="1" si="96"/>
        <v>429.04200000000003</v>
      </c>
      <c r="GE45" s="221">
        <f t="shared" ca="1" si="142"/>
        <v>33.83</v>
      </c>
      <c r="GF45" s="221">
        <f t="shared" ca="1" si="142"/>
        <v>13.8</v>
      </c>
      <c r="GG45" s="163">
        <f t="shared" ca="1" si="97"/>
        <v>466.85399999999998</v>
      </c>
      <c r="GI45" s="221">
        <f t="shared" ca="1" si="143"/>
        <v>32.840000000000003</v>
      </c>
      <c r="GJ45" s="221">
        <f t="shared" ca="1" si="143"/>
        <v>13.772855</v>
      </c>
      <c r="GK45" s="163">
        <f t="shared" ca="1" si="98"/>
        <v>452.30055820000007</v>
      </c>
      <c r="GM45" s="221">
        <f t="shared" ca="1" si="144"/>
        <v>30.49</v>
      </c>
      <c r="GN45" s="221">
        <f t="shared" ca="1" si="144"/>
        <v>13.776999999999999</v>
      </c>
      <c r="GO45" s="163">
        <f t="shared" ca="1" si="99"/>
        <v>420.06072999999998</v>
      </c>
      <c r="GQ45" s="221">
        <f t="shared" ca="1" si="145"/>
        <v>29.27</v>
      </c>
      <c r="GR45" s="221">
        <f t="shared" ca="1" si="145"/>
        <v>13.768000000000001</v>
      </c>
      <c r="GS45" s="163">
        <f t="shared" ca="1" si="100"/>
        <v>402.98936000000003</v>
      </c>
      <c r="GU45" s="221">
        <f t="shared" ca="1" si="110"/>
        <v>28.88</v>
      </c>
      <c r="GV45" s="221">
        <f t="shared" ca="1" si="110"/>
        <v>13.747999999999999</v>
      </c>
      <c r="GW45" s="163">
        <f t="shared" ca="1" si="101"/>
        <v>397.04223999999999</v>
      </c>
      <c r="GY45" s="221">
        <f t="shared" ca="1" si="111"/>
        <v>28.13</v>
      </c>
      <c r="GZ45" s="221">
        <f t="shared" ca="1" si="111"/>
        <v>12.669</v>
      </c>
      <c r="HA45" s="163">
        <f t="shared" ca="1" si="102"/>
        <v>356.37896999999998</v>
      </c>
      <c r="HC45" s="221">
        <f t="shared" ca="1" si="112"/>
        <v>25.92</v>
      </c>
      <c r="HD45" s="221">
        <f t="shared" ca="1" si="112"/>
        <v>13.707000000000001</v>
      </c>
      <c r="HE45" s="163">
        <f t="shared" ca="1" si="103"/>
        <v>355.28544000000005</v>
      </c>
      <c r="HG45" s="221">
        <f t="shared" ca="1" si="113"/>
        <v>27.22</v>
      </c>
      <c r="HH45" s="221">
        <f t="shared" ca="1" si="113"/>
        <v>12.331</v>
      </c>
      <c r="HI45" s="163">
        <f t="shared" ca="1" si="104"/>
        <v>335.64981999999998</v>
      </c>
      <c r="HK45" s="221">
        <f t="shared" ca="1" si="114"/>
        <v>26.5</v>
      </c>
      <c r="HL45" s="221">
        <f t="shared" ca="1" si="114"/>
        <v>10.917</v>
      </c>
      <c r="HM45" s="163">
        <f t="shared" ca="1" si="105"/>
        <v>289.3005</v>
      </c>
      <c r="HO45" s="148">
        <f t="shared" ca="1" si="115"/>
        <v>26.83</v>
      </c>
      <c r="HP45" s="148">
        <f t="shared" ca="1" si="115"/>
        <v>10.88</v>
      </c>
      <c r="HQ45" s="163">
        <f t="shared" ca="1" si="106"/>
        <v>291.91039999999998</v>
      </c>
      <c r="HS45" s="148">
        <f t="shared" ca="1" si="116"/>
        <v>28.38</v>
      </c>
      <c r="HT45" s="148">
        <f t="shared" ca="1" si="116"/>
        <v>10.887</v>
      </c>
      <c r="HU45" s="163">
        <f t="shared" ca="1" si="107"/>
        <v>308.97305999999998</v>
      </c>
      <c r="HX45" s="149">
        <f t="shared" ca="1" si="163"/>
        <v>67</v>
      </c>
    </row>
    <row r="46" spans="2:232" s="137" customFormat="1">
      <c r="B46" s="155">
        <f t="shared" ca="1" si="108"/>
        <v>37</v>
      </c>
      <c r="C46" s="146" t="str">
        <f t="shared" ref="C46:E47" ca="1" si="164">OFFSET( INDIRECT( C$6 &amp; C$7 ), $B46 - 1, 0 )</f>
        <v>WEC Energy Group, Inc.</v>
      </c>
      <c r="D46" s="138" t="str">
        <f t="shared" ca="1" si="164"/>
        <v>WEC</v>
      </c>
      <c r="E46" s="138">
        <f t="shared" ca="1" si="164"/>
        <v>4009725</v>
      </c>
      <c r="F46" s="147"/>
      <c r="G46" s="363">
        <f t="shared" ca="1" si="146"/>
        <v>94.04</v>
      </c>
      <c r="H46" s="363">
        <f t="shared" ca="1" si="146"/>
        <v>316.2</v>
      </c>
      <c r="I46" s="364">
        <f t="shared" ca="1" si="55"/>
        <v>29735.448</v>
      </c>
      <c r="J46" s="147"/>
      <c r="K46" s="147"/>
      <c r="L46" s="363">
        <f t="shared" ca="1" si="147"/>
        <v>96.18</v>
      </c>
      <c r="M46" s="363">
        <f t="shared" ca="1" si="147"/>
        <v>315.89999999999998</v>
      </c>
      <c r="N46" s="364">
        <f t="shared" ca="1" si="56"/>
        <v>30383.261999999999</v>
      </c>
      <c r="O46" s="147"/>
      <c r="P46" s="147"/>
      <c r="Q46" s="363">
        <f t="shared" ca="1" si="148"/>
        <v>78.459999999999994</v>
      </c>
      <c r="R46" s="363">
        <f t="shared" ca="1" si="148"/>
        <v>315.60000000000002</v>
      </c>
      <c r="S46" s="364">
        <f t="shared" ca="1" si="57"/>
        <v>24761.975999999999</v>
      </c>
      <c r="T46" s="147"/>
      <c r="U46" s="147"/>
      <c r="V46" s="363">
        <f t="shared" ca="1" si="149"/>
        <v>82.12</v>
      </c>
      <c r="W46" s="363">
        <f t="shared" ca="1" si="149"/>
        <v>315.39999999999998</v>
      </c>
      <c r="X46" s="364">
        <f t="shared" ca="1" si="58"/>
        <v>25900.648000000001</v>
      </c>
      <c r="Y46" s="147"/>
      <c r="Z46" s="147"/>
      <c r="AA46" s="363">
        <f t="shared" ca="1" si="150"/>
        <v>84.17</v>
      </c>
      <c r="AB46" s="363">
        <f t="shared" ca="1" si="150"/>
        <v>315.39999999999998</v>
      </c>
      <c r="AC46" s="364">
        <f t="shared" ca="1" si="59"/>
        <v>26547.217999999997</v>
      </c>
      <c r="AD46" s="147"/>
      <c r="AE46" s="147"/>
      <c r="AF46" s="363">
        <f t="shared" ca="1" si="151"/>
        <v>80.55</v>
      </c>
      <c r="AG46" s="363">
        <f t="shared" ca="1" si="151"/>
        <v>315.39999999999998</v>
      </c>
      <c r="AH46" s="364">
        <f t="shared" ca="1" si="60"/>
        <v>25405.469999999998</v>
      </c>
      <c r="AI46" s="147"/>
      <c r="AJ46" s="147"/>
      <c r="AK46" s="363">
        <f t="shared" ca="1" si="152"/>
        <v>88.24</v>
      </c>
      <c r="AL46" s="363">
        <f t="shared" ca="1" si="152"/>
        <v>315.39999999999998</v>
      </c>
      <c r="AM46" s="364">
        <f t="shared" ca="1" si="61"/>
        <v>27830.895999999997</v>
      </c>
      <c r="AN46" s="147"/>
      <c r="AO46" s="147"/>
      <c r="AP46" s="363">
        <f t="shared" ca="1" si="153"/>
        <v>94.79</v>
      </c>
      <c r="AQ46" s="363">
        <f t="shared" ca="1" si="153"/>
        <v>315.39999999999998</v>
      </c>
      <c r="AR46" s="364">
        <f t="shared" ca="1" si="62"/>
        <v>29896.766</v>
      </c>
      <c r="AS46" s="147"/>
      <c r="AT46" s="147"/>
      <c r="AU46" s="363">
        <f t="shared" ca="1" si="154"/>
        <v>93.76</v>
      </c>
      <c r="AV46" s="363">
        <f t="shared" ca="1" si="154"/>
        <v>315.39999999999998</v>
      </c>
      <c r="AW46" s="364">
        <f t="shared" ca="1" si="63"/>
        <v>29571.903999999999</v>
      </c>
      <c r="AX46" s="147"/>
      <c r="AY46" s="147"/>
      <c r="AZ46" s="363">
        <f t="shared" ca="1" si="155"/>
        <v>89.43</v>
      </c>
      <c r="BA46" s="363">
        <f t="shared" ca="1" si="155"/>
        <v>315.39999999999998</v>
      </c>
      <c r="BB46" s="364">
        <f t="shared" ca="1" si="64"/>
        <v>28206.222000000002</v>
      </c>
      <c r="BC46" s="147"/>
      <c r="BD46" s="147"/>
      <c r="BE46" s="363">
        <f t="shared" ca="1" si="156"/>
        <v>100.64</v>
      </c>
      <c r="BF46" s="363">
        <f t="shared" ca="1" si="156"/>
        <v>315.39999999999998</v>
      </c>
      <c r="BG46" s="364">
        <f t="shared" ca="1" si="65"/>
        <v>31741.855999999996</v>
      </c>
      <c r="BH46" s="147"/>
      <c r="BI46" s="147"/>
      <c r="BJ46" s="363">
        <f t="shared" ca="1" si="157"/>
        <v>99.81</v>
      </c>
      <c r="BK46" s="363">
        <f t="shared" ca="1" si="157"/>
        <v>315.39999999999998</v>
      </c>
      <c r="BL46" s="364">
        <f t="shared" ca="1" si="66"/>
        <v>31480.073999999997</v>
      </c>
      <c r="BM46" s="147"/>
      <c r="BN46" s="147"/>
      <c r="BO46" s="363">
        <f t="shared" ca="1" si="158"/>
        <v>97.07</v>
      </c>
      <c r="BP46" s="363">
        <f t="shared" ca="1" si="158"/>
        <v>315.39999999999998</v>
      </c>
      <c r="BQ46" s="364">
        <f t="shared" ca="1" si="67"/>
        <v>30615.877999999997</v>
      </c>
      <c r="BR46" s="162"/>
      <c r="BS46" s="363">
        <f t="shared" ca="1" si="159"/>
        <v>88.2</v>
      </c>
      <c r="BT46" s="363">
        <f t="shared" ca="1" si="159"/>
        <v>315.39999999999998</v>
      </c>
      <c r="BU46" s="364">
        <f t="shared" ca="1" si="68"/>
        <v>27818.28</v>
      </c>
      <c r="BV46" s="162"/>
      <c r="BW46" s="363">
        <f t="shared" ca="1" si="160"/>
        <v>88.95</v>
      </c>
      <c r="BX46" s="363">
        <f t="shared" ca="1" si="160"/>
        <v>315.39999999999998</v>
      </c>
      <c r="BY46" s="364">
        <f t="shared" ca="1" si="69"/>
        <v>28054.829999999998</v>
      </c>
      <c r="BZ46" s="162"/>
      <c r="CA46" s="363">
        <f t="shared" ca="1" si="161"/>
        <v>93.59</v>
      </c>
      <c r="CB46" s="363">
        <f t="shared" ca="1" si="161"/>
        <v>315.39999999999998</v>
      </c>
      <c r="CC46" s="364">
        <f t="shared" ca="1" si="70"/>
        <v>29518.286</v>
      </c>
      <c r="CD46" s="162"/>
      <c r="CE46" s="363">
        <f t="shared" ca="1" si="162"/>
        <v>92.03</v>
      </c>
      <c r="CF46" s="363">
        <f t="shared" ca="1" si="162"/>
        <v>315.39999999999998</v>
      </c>
      <c r="CG46" s="364">
        <f t="shared" ca="1" si="71"/>
        <v>29026.261999999999</v>
      </c>
      <c r="CH46" s="162"/>
      <c r="CI46" s="363">
        <f t="shared" ref="CI46:CJ47" ca="1" si="165">OFFSET( INDIRECT( CI$6 &amp; CI$9 ), $HX46 - 1, CI$8 - 1 )</f>
        <v>96.9</v>
      </c>
      <c r="CJ46" s="363">
        <f t="shared" ca="1" si="165"/>
        <v>315.39999999999998</v>
      </c>
      <c r="CK46" s="364">
        <f t="shared" ca="1" si="72"/>
        <v>30562.26</v>
      </c>
      <c r="CL46" s="162"/>
      <c r="CM46" s="363">
        <f t="shared" ref="CM46:CN47" ca="1" si="166">OFFSET( INDIRECT( CM$6 &amp; CM$9 ), $HX46 - 1, CM$8 - 1 )</f>
        <v>87.65</v>
      </c>
      <c r="CN46" s="363">
        <f t="shared" ca="1" si="166"/>
        <v>315.39999999999998</v>
      </c>
      <c r="CO46" s="364">
        <f t="shared" ca="1" si="73"/>
        <v>27644.81</v>
      </c>
      <c r="CP46" s="162"/>
      <c r="CQ46" s="221">
        <f t="shared" ref="CQ46:CR47" ca="1" si="167">OFFSET( INDIRECT( CQ$6 &amp; CQ$9 ), $HX46 - 1, CQ$8 - 1 )</f>
        <v>88.13</v>
      </c>
      <c r="CR46" s="221">
        <f t="shared" ca="1" si="167"/>
        <v>315.39999999999998</v>
      </c>
      <c r="CS46" s="163">
        <f t="shared" ca="1" si="74"/>
        <v>27796.201999999997</v>
      </c>
      <c r="CT46" s="162"/>
      <c r="CU46" s="221">
        <f t="shared" ref="CU46:CV47" ca="1" si="168">OFFSET( INDIRECT( CU$6 &amp; CU$9 ), $HX46 - 1, CU$8 - 1 )</f>
        <v>92.23</v>
      </c>
      <c r="CV46" s="221">
        <f t="shared" ca="1" si="168"/>
        <v>315.39999999999998</v>
      </c>
      <c r="CW46" s="163">
        <f t="shared" ca="1" si="75"/>
        <v>29089.342000000001</v>
      </c>
      <c r="CX46" s="162"/>
      <c r="CY46" s="221">
        <f t="shared" ref="CY46:CZ47" ca="1" si="169">OFFSET( INDIRECT( CY$6 &amp; CY$9 ), $HX46 - 1, CY$8 - 1 )</f>
        <v>95.1</v>
      </c>
      <c r="CZ46" s="221">
        <f t="shared" ca="1" si="169"/>
        <v>315.39999999999998</v>
      </c>
      <c r="DA46" s="163">
        <f t="shared" ca="1" si="76"/>
        <v>29994.539999999997</v>
      </c>
      <c r="DB46" s="162"/>
      <c r="DC46" s="221">
        <f t="shared" ref="DC46:DD47" ca="1" si="170">OFFSET( INDIRECT( DC$6 &amp; DC$9 ), $HX46 - 1, DC$8 - 1 )</f>
        <v>83.37</v>
      </c>
      <c r="DD46" s="221">
        <f t="shared" ca="1" si="170"/>
        <v>315.5</v>
      </c>
      <c r="DE46" s="163">
        <f t="shared" ca="1" si="77"/>
        <v>26303.235000000001</v>
      </c>
      <c r="DF46" s="162"/>
      <c r="DG46" s="221">
        <f t="shared" ref="DG46:DH47" ca="1" si="171">OFFSET( INDIRECT( DG$6 &amp; DG$9 ), $HX46 - 1, DG$8 - 1 )</f>
        <v>79.08</v>
      </c>
      <c r="DH46" s="221">
        <f t="shared" ca="1" si="171"/>
        <v>315.5</v>
      </c>
      <c r="DI46" s="163">
        <f t="shared" ca="1" si="78"/>
        <v>24949.739999999998</v>
      </c>
      <c r="DJ46" s="162"/>
      <c r="DK46" s="221">
        <f t="shared" ref="DK46:DL47" ca="1" si="172">OFFSET( INDIRECT( DK$6 &amp; DK$9 ), $HX46 - 1, DK$8 - 1 )</f>
        <v>69.260000000000005</v>
      </c>
      <c r="DL46" s="221">
        <f t="shared" ca="1" si="172"/>
        <v>315.5</v>
      </c>
      <c r="DM46" s="163">
        <f t="shared" ca="1" si="79"/>
        <v>21851.530000000002</v>
      </c>
      <c r="DN46" s="162"/>
      <c r="DO46" s="221">
        <f t="shared" ref="DO46:DP47" ca="1" si="173">OFFSET( INDIRECT( DO$6 &amp; DO$9 ), $HX46 - 1, DO$8 - 1 )</f>
        <v>66.760000000000005</v>
      </c>
      <c r="DP46" s="221">
        <f t="shared" ca="1" si="173"/>
        <v>315.5</v>
      </c>
      <c r="DQ46" s="163">
        <f t="shared" ca="1" si="80"/>
        <v>21062.780000000002</v>
      </c>
      <c r="DR46" s="162"/>
      <c r="DS46" s="221">
        <f t="shared" ref="DS46:DT47" ca="1" si="174">OFFSET( INDIRECT( DS$6 &amp; DS$9 ), $HX46 - 1, DS$8 - 1 )</f>
        <v>64.650000000000006</v>
      </c>
      <c r="DT46" s="221">
        <f t="shared" ca="1" si="174"/>
        <v>315.5</v>
      </c>
      <c r="DU46" s="163">
        <f t="shared" ca="1" si="81"/>
        <v>20397.075000000001</v>
      </c>
      <c r="DV46" s="162"/>
      <c r="DW46" s="221">
        <f t="shared" ref="DW46:DX47" ca="1" si="175">OFFSET( INDIRECT( DW$6 &amp; DW$9 ), $HX46 - 1, DW$8 - 1 )</f>
        <v>62.7</v>
      </c>
      <c r="DX46" s="221">
        <f t="shared" ca="1" si="175"/>
        <v>315.60000000000002</v>
      </c>
      <c r="DY46" s="163">
        <f t="shared" ca="1" si="82"/>
        <v>19788.120000000003</v>
      </c>
      <c r="DZ46" s="162"/>
      <c r="EA46" s="221">
        <f t="shared" ref="EA46:EB47" ca="1" si="176">OFFSET( INDIRECT( EA$6 &amp; EA$9 ), $HX46 - 1, EA$8 - 1 )</f>
        <v>66.430000000000007</v>
      </c>
      <c r="EB46" s="221">
        <f t="shared" ca="1" si="176"/>
        <v>315.60000000000002</v>
      </c>
      <c r="EC46" s="163">
        <f t="shared" ca="1" si="83"/>
        <v>20965.308000000005</v>
      </c>
      <c r="ED46" s="162"/>
      <c r="EE46" s="221">
        <f t="shared" ref="EE46:EF47" ca="1" si="177">OFFSET( INDIRECT( EE$6 &amp; EE$9 ), $HX46 - 1, EE$8 - 1 )</f>
        <v>62.78</v>
      </c>
      <c r="EF46" s="221">
        <f t="shared" ca="1" si="177"/>
        <v>315.60000000000002</v>
      </c>
      <c r="EG46" s="163">
        <f t="shared" ca="1" si="84"/>
        <v>19813.368000000002</v>
      </c>
      <c r="EH46" s="162"/>
      <c r="EI46" s="221">
        <f t="shared" ref="EI46:EJ47" ca="1" si="178">OFFSET( INDIRECT( EI$6 &amp; EI$9 ), $HX46 - 1, EI$8 - 1 )</f>
        <v>61.38</v>
      </c>
      <c r="EJ46" s="221">
        <f t="shared" ca="1" si="178"/>
        <v>315.60000000000002</v>
      </c>
      <c r="EK46" s="163">
        <f t="shared" ca="1" si="85"/>
        <v>19371.528000000002</v>
      </c>
      <c r="EL46" s="162"/>
      <c r="EM46" s="221">
        <f t="shared" ref="EM46:EN47" ca="1" si="179">OFFSET( INDIRECT( EM$6 &amp; EM$9 ), $HX46 - 1, EM$8 - 1 )</f>
        <v>60.63</v>
      </c>
      <c r="EN46" s="221">
        <f t="shared" ca="1" si="179"/>
        <v>315.60000000000002</v>
      </c>
      <c r="EO46" s="163">
        <f t="shared" ca="1" si="86"/>
        <v>19134.828000000001</v>
      </c>
      <c r="EP46" s="162"/>
      <c r="EQ46" s="221">
        <f t="shared" ref="EQ46:ER47" ca="1" si="180">OFFSET( INDIRECT( EQ$6 &amp; EQ$9 ), $HX46 - 1, EQ$8 - 1 )</f>
        <v>58.65</v>
      </c>
      <c r="ER46" s="221">
        <f t="shared" ca="1" si="180"/>
        <v>315.60000000000002</v>
      </c>
      <c r="ES46" s="163">
        <f t="shared" ca="1" si="87"/>
        <v>18509.940000000002</v>
      </c>
      <c r="ET46" s="162"/>
      <c r="EU46" s="221">
        <f t="shared" ref="EU46:EV47" ca="1" si="181">OFFSET( INDIRECT( EU$6 &amp; EU$9 ), $HX46 - 1, EU$8 - 1 )</f>
        <v>59.88</v>
      </c>
      <c r="EV46" s="221">
        <f t="shared" ca="1" si="181"/>
        <v>315.60000000000002</v>
      </c>
      <c r="EW46" s="163">
        <f t="shared" ca="1" si="88"/>
        <v>18898.128000000001</v>
      </c>
      <c r="EX46" s="162"/>
      <c r="EY46" s="221">
        <f t="shared" ref="EY46:EZ47" ca="1" si="182">OFFSET( INDIRECT( EY$6 &amp; EY$9 ), $HX46 - 1, EY$8 - 1 )</f>
        <v>65.3</v>
      </c>
      <c r="EZ46" s="221">
        <f t="shared" ca="1" si="182"/>
        <v>315.7</v>
      </c>
      <c r="FA46" s="163">
        <f t="shared" ca="1" si="89"/>
        <v>20615.21</v>
      </c>
      <c r="FB46" s="162"/>
      <c r="FC46" s="221">
        <f t="shared" ref="FC46:FD47" ca="1" si="183">OFFSET( INDIRECT( FC$6 &amp; FC$9 ), $HX46 - 1, FC$8 - 1 )</f>
        <v>60.07</v>
      </c>
      <c r="FD46" s="221">
        <f t="shared" ca="1" si="183"/>
        <v>271.10000000000002</v>
      </c>
      <c r="FE46" s="163">
        <f t="shared" ca="1" si="90"/>
        <v>16284.977000000001</v>
      </c>
      <c r="FF46" s="162"/>
      <c r="FG46" s="221">
        <f t="shared" ref="FG46:FH47" ca="1" si="184">OFFSET( INDIRECT( FG$6 &amp; FG$9 ), $HX46 - 1, FG$8 - 1 )</f>
        <v>51.31</v>
      </c>
      <c r="FH46" s="221">
        <f t="shared" ca="1" si="184"/>
        <v>315.7</v>
      </c>
      <c r="FI46" s="163">
        <f t="shared" ca="1" si="91"/>
        <v>16198.567000000001</v>
      </c>
      <c r="FJ46" s="162"/>
      <c r="FK46" s="221">
        <f t="shared" ref="FK46:FL47" ca="1" si="185">OFFSET( INDIRECT( FK$6 &amp; FK$9 ), $HX46 - 1, FK$8 - 1 )</f>
        <v>52.22</v>
      </c>
      <c r="FL46" s="221">
        <f t="shared" ca="1" si="185"/>
        <v>227.5</v>
      </c>
      <c r="FM46" s="163">
        <f t="shared" ca="1" si="92"/>
        <v>11880.05</v>
      </c>
      <c r="FN46" s="162"/>
      <c r="FO46" s="221">
        <f t="shared" ref="FO46:FP47" ca="1" si="186">OFFSET( INDIRECT( FO$6 &amp; FO$9 ), $HX46 - 1, FO$8 - 1 )</f>
        <v>44.97</v>
      </c>
      <c r="FP46" s="221">
        <f t="shared" ca="1" si="186"/>
        <v>225.5</v>
      </c>
      <c r="FQ46" s="163">
        <f t="shared" ca="1" si="93"/>
        <v>10140.735000000001</v>
      </c>
      <c r="FR46" s="162"/>
      <c r="FS46" s="221">
        <f t="shared" ref="FS46:FT47" ca="1" si="187">OFFSET( INDIRECT( FS$6 &amp; FS$9 ), $HX46 - 1, FS$8 - 1 )</f>
        <v>49.5</v>
      </c>
      <c r="FT46" s="221">
        <f t="shared" ca="1" si="187"/>
        <v>225.5</v>
      </c>
      <c r="FU46" s="163">
        <f t="shared" ca="1" si="94"/>
        <v>11162.25</v>
      </c>
      <c r="FW46" s="221">
        <f t="shared" ref="FW46:FX47" ca="1" si="188">OFFSET( INDIRECT( FW$6 &amp; FW$9 ), $HX46 - 1, FW$8 - 1 )</f>
        <v>52.74</v>
      </c>
      <c r="FX46" s="221">
        <f t="shared" ca="1" si="188"/>
        <v>225.5</v>
      </c>
      <c r="FY46" s="163">
        <f t="shared" ca="1" si="95"/>
        <v>11892.87</v>
      </c>
      <c r="GA46" s="221">
        <f t="shared" ref="GA46:GB47" ca="1" si="189">OFFSET( INDIRECT( GA$6 &amp; GA$9 ), $HX46 - 1, GA$8 - 1 )</f>
        <v>43</v>
      </c>
      <c r="GB46" s="221">
        <f t="shared" ca="1" si="189"/>
        <v>225.5</v>
      </c>
      <c r="GC46" s="163">
        <f t="shared" ca="1" si="96"/>
        <v>9696.5</v>
      </c>
      <c r="GE46" s="221">
        <f t="shared" ref="GE46:GF47" ca="1" si="190">OFFSET( INDIRECT( GE$6 &amp; GE$9 ), $HX46 - 1, GE$8 - 1 )</f>
        <v>46.92</v>
      </c>
      <c r="GF46" s="221">
        <f t="shared" ca="1" si="190"/>
        <v>225.8</v>
      </c>
      <c r="GG46" s="163">
        <f t="shared" ca="1" si="97"/>
        <v>10594.536</v>
      </c>
      <c r="GI46" s="221">
        <f t="shared" ref="GI46:GJ47" ca="1" si="191">OFFSET( INDIRECT( GI$6 &amp; GI$9 ), $HX46 - 1, GI$8 - 1 )</f>
        <v>46.55</v>
      </c>
      <c r="GJ46" s="221">
        <f t="shared" ca="1" si="191"/>
        <v>227.6</v>
      </c>
      <c r="GK46" s="163">
        <f t="shared" ca="1" si="98"/>
        <v>10594.779999999999</v>
      </c>
      <c r="GM46" s="221">
        <f t="shared" ref="GM46:GN47" ca="1" si="192">OFFSET( INDIRECT( GM$6 &amp; GM$9 ), $HX46 - 1, GM$8 - 1 )</f>
        <v>41.34</v>
      </c>
      <c r="GN46" s="221">
        <f t="shared" ca="1" si="192"/>
        <v>226.8</v>
      </c>
      <c r="GO46" s="163">
        <f t="shared" ca="1" si="99"/>
        <v>9375.9120000000021</v>
      </c>
      <c r="GQ46" s="221">
        <f t="shared" ref="GQ46:GR47" ca="1" si="193">OFFSET( INDIRECT( GQ$6 &amp; GQ$9 ), $HX46 - 1, GQ$8 - 1 )</f>
        <v>40.380000000000003</v>
      </c>
      <c r="GR46" s="221">
        <f t="shared" ca="1" si="193"/>
        <v>228.4</v>
      </c>
      <c r="GS46" s="163">
        <f t="shared" ca="1" si="100"/>
        <v>9222.7920000000013</v>
      </c>
      <c r="GU46" s="221">
        <f t="shared" ref="GU46:GV47" ca="1" si="194">OFFSET( INDIRECT( GU$6 &amp; GU$9 ), $HX46 - 1, GU$8 - 1 )</f>
        <v>40.99</v>
      </c>
      <c r="GV46" s="221">
        <f t="shared" ca="1" si="194"/>
        <v>228.9</v>
      </c>
      <c r="GW46" s="163">
        <f t="shared" ca="1" si="101"/>
        <v>9382.6110000000008</v>
      </c>
      <c r="GY46" s="221">
        <f t="shared" ref="GY46:GZ47" ca="1" si="195">OFFSET( INDIRECT( GY$6 &amp; GY$9 ), $HX46 - 1, GY$8 - 1 )</f>
        <v>42.89</v>
      </c>
      <c r="GZ46" s="221">
        <f t="shared" ca="1" si="195"/>
        <v>230.2</v>
      </c>
      <c r="HA46" s="163">
        <f t="shared" ca="1" si="102"/>
        <v>9873.2780000000002</v>
      </c>
      <c r="HC46" s="221">
        <f t="shared" ref="HC46:HD47" ca="1" si="196">OFFSET( INDIRECT( HC$6 &amp; HC$9 ), $HX46 - 1, HC$8 - 1 )</f>
        <v>36.85</v>
      </c>
      <c r="HD46" s="221">
        <f t="shared" ca="1" si="196"/>
        <v>230.4</v>
      </c>
      <c r="HE46" s="163">
        <f t="shared" ca="1" si="103"/>
        <v>8490.24</v>
      </c>
      <c r="HG46" s="221">
        <f t="shared" ref="HG46:HH47" ca="1" si="197">OFFSET( INDIRECT( HG$6 &amp; HG$9 ), $HX46 - 1, HG$8 - 1 )</f>
        <v>37.67</v>
      </c>
      <c r="HH46" s="221">
        <f t="shared" ca="1" si="197"/>
        <v>230.4</v>
      </c>
      <c r="HI46" s="163">
        <f t="shared" ca="1" si="104"/>
        <v>8679.1680000000015</v>
      </c>
      <c r="HK46" s="221">
        <f t="shared" ref="HK46:HL47" ca="1" si="198">OFFSET( INDIRECT( HK$6 &amp; HK$9 ), $HX46 - 1, HK$8 - 1 )</f>
        <v>39.57</v>
      </c>
      <c r="HL46" s="221">
        <f t="shared" ca="1" si="198"/>
        <v>230.5</v>
      </c>
      <c r="HM46" s="163">
        <f t="shared" ca="1" si="105"/>
        <v>9120.8850000000002</v>
      </c>
      <c r="HO46" s="148">
        <f t="shared" ref="HO46:HP47" ca="1" si="199">OFFSET( INDIRECT( HO$6 &amp; HO$9 ), $HX46 - 1, HO$8 - 1 )</f>
        <v>35.21</v>
      </c>
      <c r="HP46" s="148">
        <f t="shared" ca="1" si="199"/>
        <v>232.6</v>
      </c>
      <c r="HQ46" s="163">
        <f t="shared" ca="1" si="106"/>
        <v>8189.8459999999995</v>
      </c>
      <c r="HS46" s="148">
        <f t="shared" ref="HS46:HT47" ca="1" si="200">OFFSET( INDIRECT( HS$6 &amp; HS$9 ), $HX46 - 1, HS$8 - 1 )</f>
        <v>34.979999999999997</v>
      </c>
      <c r="HT46" s="148">
        <f t="shared" ca="1" si="200"/>
        <v>232.2</v>
      </c>
      <c r="HU46" s="163">
        <f t="shared" ca="1" si="107"/>
        <v>8122.3559999999989</v>
      </c>
      <c r="HX46" s="149">
        <f t="shared" ca="1" si="163"/>
        <v>110</v>
      </c>
    </row>
    <row r="47" spans="2:232" s="137" customFormat="1">
      <c r="B47" s="155">
        <f t="shared" ca="1" si="108"/>
        <v>38</v>
      </c>
      <c r="C47" s="146" t="str">
        <f t="shared" ca="1" si="164"/>
        <v>Xcel Energy Inc.</v>
      </c>
      <c r="D47" s="138" t="str">
        <f t="shared" ca="1" si="164"/>
        <v>XEL</v>
      </c>
      <c r="E47" s="138">
        <f t="shared" ca="1" si="164"/>
        <v>4025308</v>
      </c>
      <c r="F47" s="147"/>
      <c r="G47" s="363">
        <f t="shared" ca="1" si="146"/>
        <v>67.52</v>
      </c>
      <c r="H47" s="363">
        <f t="shared" ca="1" si="146"/>
        <v>564</v>
      </c>
      <c r="I47" s="364">
        <f t="shared" ca="1" si="55"/>
        <v>38081.279999999999</v>
      </c>
      <c r="J47" s="147"/>
      <c r="K47" s="147"/>
      <c r="L47" s="363">
        <f t="shared" ca="1" si="147"/>
        <v>65.3</v>
      </c>
      <c r="M47" s="363">
        <f t="shared" ca="1" si="147"/>
        <v>557</v>
      </c>
      <c r="N47" s="364">
        <f t="shared" ca="1" si="56"/>
        <v>36372.1</v>
      </c>
      <c r="O47" s="147"/>
      <c r="P47" s="147"/>
      <c r="Q47" s="363">
        <f t="shared" ca="1" si="148"/>
        <v>53.41</v>
      </c>
      <c r="R47" s="363">
        <f t="shared" ca="1" si="148"/>
        <v>556</v>
      </c>
      <c r="S47" s="364">
        <f t="shared" ca="1" si="57"/>
        <v>29695.96</v>
      </c>
      <c r="T47" s="147"/>
      <c r="U47" s="147"/>
      <c r="V47" s="363">
        <f t="shared" ca="1" si="149"/>
        <v>53.75</v>
      </c>
      <c r="W47" s="363">
        <f t="shared" ca="1" si="149"/>
        <v>554</v>
      </c>
      <c r="X47" s="364">
        <f t="shared" ca="1" si="58"/>
        <v>29777.5</v>
      </c>
      <c r="Y47" s="147"/>
      <c r="Z47" s="147"/>
      <c r="AA47" s="363">
        <f t="shared" ca="1" si="150"/>
        <v>61.91</v>
      </c>
      <c r="AB47" s="363">
        <f t="shared" ca="1" si="150"/>
        <v>552</v>
      </c>
      <c r="AC47" s="364">
        <f t="shared" ca="1" si="59"/>
        <v>34174.32</v>
      </c>
      <c r="AD47" s="147"/>
      <c r="AE47" s="147"/>
      <c r="AF47" s="363">
        <f t="shared" ca="1" si="151"/>
        <v>57.22</v>
      </c>
      <c r="AG47" s="363">
        <f t="shared" ca="1" si="151"/>
        <v>551</v>
      </c>
      <c r="AH47" s="364">
        <f t="shared" ca="1" si="60"/>
        <v>31528.22</v>
      </c>
      <c r="AI47" s="147"/>
      <c r="AJ47" s="147"/>
      <c r="AK47" s="363">
        <f t="shared" ca="1" si="152"/>
        <v>62.17</v>
      </c>
      <c r="AL47" s="363">
        <f t="shared" ca="1" si="152"/>
        <v>551</v>
      </c>
      <c r="AM47" s="364">
        <f t="shared" ca="1" si="61"/>
        <v>34255.67</v>
      </c>
      <c r="AN47" s="147"/>
      <c r="AO47" s="147"/>
      <c r="AP47" s="363">
        <f t="shared" ca="1" si="153"/>
        <v>67.44</v>
      </c>
      <c r="AQ47" s="363">
        <f t="shared" ca="1" si="153"/>
        <v>547</v>
      </c>
      <c r="AR47" s="364">
        <f t="shared" ca="1" si="62"/>
        <v>36889.68</v>
      </c>
      <c r="AS47" s="147"/>
      <c r="AT47" s="147"/>
      <c r="AU47" s="363">
        <f t="shared" ca="1" si="154"/>
        <v>70.11</v>
      </c>
      <c r="AV47" s="363">
        <f t="shared" ca="1" si="154"/>
        <v>548</v>
      </c>
      <c r="AW47" s="364">
        <f t="shared" ca="1" si="63"/>
        <v>38420.28</v>
      </c>
      <c r="AX47" s="147"/>
      <c r="AY47" s="147"/>
      <c r="AZ47" s="363">
        <f t="shared" ca="1" si="155"/>
        <v>64</v>
      </c>
      <c r="BA47" s="363">
        <f t="shared" ca="1" si="155"/>
        <v>546</v>
      </c>
      <c r="BB47" s="364">
        <f t="shared" ca="1" si="64"/>
        <v>34944</v>
      </c>
      <c r="BC47" s="147"/>
      <c r="BD47" s="147"/>
      <c r="BE47" s="363">
        <f t="shared" ca="1" si="156"/>
        <v>70.760000000000005</v>
      </c>
      <c r="BF47" s="363">
        <f t="shared" ca="1" si="156"/>
        <v>545</v>
      </c>
      <c r="BG47" s="364">
        <f t="shared" ca="1" si="65"/>
        <v>38564.200000000004</v>
      </c>
      <c r="BH47" s="147"/>
      <c r="BI47" s="147"/>
      <c r="BJ47" s="363">
        <f t="shared" ca="1" si="157"/>
        <v>72.17</v>
      </c>
      <c r="BK47" s="363">
        <f t="shared" ca="1" si="157"/>
        <v>539</v>
      </c>
      <c r="BL47" s="364">
        <f t="shared" ca="1" si="66"/>
        <v>38899.629999999997</v>
      </c>
      <c r="BM47" s="147"/>
      <c r="BN47" s="147"/>
      <c r="BO47" s="363">
        <f t="shared" ca="1" si="158"/>
        <v>67.7</v>
      </c>
      <c r="BP47" s="363">
        <f t="shared" ca="1" si="158"/>
        <v>539</v>
      </c>
      <c r="BQ47" s="364">
        <f t="shared" ca="1" si="67"/>
        <v>36490.300000000003</v>
      </c>
      <c r="BR47" s="162"/>
      <c r="BS47" s="363">
        <f t="shared" ca="1" si="159"/>
        <v>62.5</v>
      </c>
      <c r="BT47" s="363">
        <f t="shared" ca="1" si="159"/>
        <v>539</v>
      </c>
      <c r="BU47" s="364">
        <f t="shared" ca="1" si="68"/>
        <v>33687.5</v>
      </c>
      <c r="BV47" s="162"/>
      <c r="BW47" s="363">
        <f t="shared" ca="1" si="160"/>
        <v>65.88</v>
      </c>
      <c r="BX47" s="363">
        <f t="shared" ca="1" si="160"/>
        <v>538</v>
      </c>
      <c r="BY47" s="364">
        <f t="shared" ca="1" si="69"/>
        <v>35443.439999999995</v>
      </c>
      <c r="BZ47" s="162"/>
      <c r="CA47" s="363">
        <f t="shared" ca="1" si="161"/>
        <v>66.510000000000005</v>
      </c>
      <c r="CB47" s="363">
        <f t="shared" ca="1" si="161"/>
        <v>527</v>
      </c>
      <c r="CC47" s="364">
        <f t="shared" ca="1" si="70"/>
        <v>35050.770000000004</v>
      </c>
      <c r="CD47" s="162"/>
      <c r="CE47" s="363">
        <f t="shared" ca="1" si="162"/>
        <v>66.67</v>
      </c>
      <c r="CF47" s="363">
        <f t="shared" ca="1" si="162"/>
        <v>526</v>
      </c>
      <c r="CG47" s="364">
        <f t="shared" ca="1" si="71"/>
        <v>35068.42</v>
      </c>
      <c r="CH47" s="162"/>
      <c r="CI47" s="363">
        <f t="shared" ca="1" si="165"/>
        <v>69.010000000000005</v>
      </c>
      <c r="CJ47" s="363">
        <f t="shared" ca="1" si="165"/>
        <v>527</v>
      </c>
      <c r="CK47" s="364">
        <f t="shared" ca="1" si="72"/>
        <v>36368.270000000004</v>
      </c>
      <c r="CL47" s="162"/>
      <c r="CM47" s="363">
        <f t="shared" ca="1" si="166"/>
        <v>62.5</v>
      </c>
      <c r="CN47" s="363">
        <f t="shared" ca="1" si="166"/>
        <v>526</v>
      </c>
      <c r="CO47" s="364">
        <f t="shared" ca="1" si="73"/>
        <v>32875</v>
      </c>
      <c r="CP47" s="162"/>
      <c r="CQ47" s="221">
        <f t="shared" ca="1" si="167"/>
        <v>60.3</v>
      </c>
      <c r="CR47" s="221">
        <f t="shared" ca="1" si="167"/>
        <v>519</v>
      </c>
      <c r="CS47" s="163">
        <f t="shared" ca="1" si="74"/>
        <v>31295.699999999997</v>
      </c>
      <c r="CT47" s="162"/>
      <c r="CU47" s="221">
        <f t="shared" ca="1" si="168"/>
        <v>63.49</v>
      </c>
      <c r="CV47" s="221">
        <f t="shared" ca="1" si="168"/>
        <v>519</v>
      </c>
      <c r="CW47" s="163">
        <f t="shared" ca="1" si="75"/>
        <v>32951.31</v>
      </c>
      <c r="CX47" s="162"/>
      <c r="CY47" s="221">
        <f t="shared" ca="1" si="169"/>
        <v>64.89</v>
      </c>
      <c r="CZ47" s="221">
        <f t="shared" ca="1" si="169"/>
        <v>516</v>
      </c>
      <c r="DA47" s="163">
        <f t="shared" ca="1" si="76"/>
        <v>33483.24</v>
      </c>
      <c r="DB47" s="162"/>
      <c r="DC47" s="221">
        <f t="shared" ca="1" si="170"/>
        <v>59.49</v>
      </c>
      <c r="DD47" s="221">
        <f t="shared" ca="1" si="170"/>
        <v>515</v>
      </c>
      <c r="DE47" s="163">
        <f t="shared" ca="1" si="77"/>
        <v>30637.350000000002</v>
      </c>
      <c r="DF47" s="162"/>
      <c r="DG47" s="221">
        <f t="shared" ca="1" si="171"/>
        <v>56.21</v>
      </c>
      <c r="DH47" s="221">
        <f t="shared" ca="1" si="171"/>
        <v>511</v>
      </c>
      <c r="DI47" s="163">
        <f t="shared" ca="1" si="78"/>
        <v>28723.31</v>
      </c>
      <c r="DJ47" s="162"/>
      <c r="DK47" s="221">
        <f t="shared" ca="1" si="172"/>
        <v>49.27</v>
      </c>
      <c r="DL47" s="221">
        <f t="shared" ca="1" si="172"/>
        <v>510</v>
      </c>
      <c r="DM47" s="163">
        <f t="shared" ca="1" si="79"/>
        <v>25127.7</v>
      </c>
      <c r="DN47" s="162"/>
      <c r="DO47" s="221">
        <f t="shared" ca="1" si="173"/>
        <v>47.21</v>
      </c>
      <c r="DP47" s="221">
        <f t="shared" ca="1" si="173"/>
        <v>510</v>
      </c>
      <c r="DQ47" s="163">
        <f t="shared" ca="1" si="80"/>
        <v>24077.100000000002</v>
      </c>
      <c r="DR47" s="162"/>
      <c r="DS47" s="221">
        <f t="shared" ca="1" si="174"/>
        <v>45.68</v>
      </c>
      <c r="DT47" s="221">
        <f t="shared" ca="1" si="174"/>
        <v>509</v>
      </c>
      <c r="DU47" s="163">
        <f t="shared" ca="1" si="81"/>
        <v>23251.119999999999</v>
      </c>
      <c r="DV47" s="162"/>
      <c r="DW47" s="221">
        <f t="shared" ca="1" si="175"/>
        <v>45.48</v>
      </c>
      <c r="DX47" s="221">
        <f t="shared" ca="1" si="175"/>
        <v>509</v>
      </c>
      <c r="DY47" s="163">
        <f t="shared" ca="1" si="82"/>
        <v>23149.32</v>
      </c>
      <c r="DZ47" s="162"/>
      <c r="EA47" s="221">
        <f t="shared" ca="1" si="176"/>
        <v>48.11</v>
      </c>
      <c r="EB47" s="221">
        <f t="shared" ca="1" si="176"/>
        <v>508.58100000000002</v>
      </c>
      <c r="EC47" s="163">
        <f t="shared" ca="1" si="83"/>
        <v>24467.831910000001</v>
      </c>
      <c r="ED47" s="162"/>
      <c r="EE47" s="221">
        <f t="shared" ca="1" si="177"/>
        <v>47.32</v>
      </c>
      <c r="EF47" s="221">
        <f t="shared" ca="1" si="177"/>
        <v>508.54199999999997</v>
      </c>
      <c r="EG47" s="163">
        <f t="shared" ca="1" si="84"/>
        <v>24064.207439999998</v>
      </c>
      <c r="EH47" s="162"/>
      <c r="EI47" s="221">
        <f t="shared" ca="1" si="178"/>
        <v>45.88</v>
      </c>
      <c r="EJ47" s="221">
        <f t="shared" ca="1" si="178"/>
        <v>508.27800000000002</v>
      </c>
      <c r="EK47" s="163">
        <f t="shared" ca="1" si="85"/>
        <v>23319.794640000004</v>
      </c>
      <c r="EL47" s="162"/>
      <c r="EM47" s="221">
        <f t="shared" ca="1" si="179"/>
        <v>44.45</v>
      </c>
      <c r="EN47" s="221">
        <f t="shared" ca="1" si="179"/>
        <v>508.79399999999998</v>
      </c>
      <c r="EO47" s="163">
        <f t="shared" ca="1" si="86"/>
        <v>22615.8933</v>
      </c>
      <c r="EP47" s="162"/>
      <c r="EQ47" s="221">
        <f t="shared" ca="1" si="180"/>
        <v>40.700000000000003</v>
      </c>
      <c r="ER47" s="221">
        <f t="shared" ca="1" si="180"/>
        <v>508.94099999999997</v>
      </c>
      <c r="ES47" s="163">
        <f t="shared" ca="1" si="87"/>
        <v>20713.898700000002</v>
      </c>
      <c r="ET47" s="162"/>
      <c r="EU47" s="221">
        <f t="shared" ca="1" si="181"/>
        <v>41.14</v>
      </c>
      <c r="EV47" s="221">
        <f t="shared" ca="1" si="181"/>
        <v>508.93</v>
      </c>
      <c r="EW47" s="163">
        <f t="shared" ca="1" si="88"/>
        <v>20937.3802</v>
      </c>
      <c r="EX47" s="162"/>
      <c r="EY47" s="221">
        <f t="shared" ca="1" si="182"/>
        <v>44.78</v>
      </c>
      <c r="EZ47" s="221">
        <f t="shared" ca="1" si="182"/>
        <v>508.66699999999997</v>
      </c>
      <c r="FA47" s="163">
        <f t="shared" ca="1" si="89"/>
        <v>22778.108260000001</v>
      </c>
      <c r="FB47" s="162"/>
      <c r="FC47" s="221">
        <f t="shared" ca="1" si="183"/>
        <v>41.82</v>
      </c>
      <c r="FD47" s="221">
        <f t="shared" ca="1" si="183"/>
        <v>507.76799999999997</v>
      </c>
      <c r="FE47" s="163">
        <f t="shared" ca="1" si="90"/>
        <v>21234.857759999999</v>
      </c>
      <c r="FF47" s="162"/>
      <c r="FG47" s="221">
        <f t="shared" ca="1" si="184"/>
        <v>35.909999999999997</v>
      </c>
      <c r="FH47" s="221">
        <f t="shared" ca="1" si="184"/>
        <v>508.03100000000001</v>
      </c>
      <c r="FI47" s="163">
        <f t="shared" ca="1" si="91"/>
        <v>18243.393209999998</v>
      </c>
      <c r="FJ47" s="162"/>
      <c r="FK47" s="221">
        <f t="shared" ca="1" si="185"/>
        <v>35.409999999999997</v>
      </c>
      <c r="FL47" s="221">
        <f t="shared" ca="1" si="185"/>
        <v>507.70699999999999</v>
      </c>
      <c r="FM47" s="163">
        <f t="shared" ca="1" si="92"/>
        <v>17977.904869999998</v>
      </c>
      <c r="FN47" s="162"/>
      <c r="FO47" s="221">
        <f t="shared" ca="1" si="186"/>
        <v>32.18</v>
      </c>
      <c r="FP47" s="221">
        <f t="shared" ca="1" si="186"/>
        <v>506.983</v>
      </c>
      <c r="FQ47" s="163">
        <f t="shared" ca="1" si="93"/>
        <v>16314.712939999999</v>
      </c>
      <c r="FR47" s="162"/>
      <c r="FS47" s="221">
        <f t="shared" ca="1" si="187"/>
        <v>34.81</v>
      </c>
      <c r="FT47" s="221">
        <f t="shared" ca="1" si="187"/>
        <v>506.411</v>
      </c>
      <c r="FU47" s="163">
        <f t="shared" ca="1" si="94"/>
        <v>17628.16691</v>
      </c>
      <c r="FW47" s="221">
        <f t="shared" ca="1" si="188"/>
        <v>35.92</v>
      </c>
      <c r="FX47" s="221">
        <f t="shared" ca="1" si="188"/>
        <v>506.08199999999999</v>
      </c>
      <c r="FY47" s="163">
        <f t="shared" ca="1" si="95"/>
        <v>18178.46544</v>
      </c>
      <c r="GA47" s="221">
        <f t="shared" ca="1" si="189"/>
        <v>30.4</v>
      </c>
      <c r="GB47" s="221">
        <f t="shared" ca="1" si="189"/>
        <v>503.27199999999999</v>
      </c>
      <c r="GC47" s="163">
        <f t="shared" ca="1" si="96"/>
        <v>15299.468799999999</v>
      </c>
      <c r="GE47" s="221">
        <f t="shared" ca="1" si="190"/>
        <v>32.229999999999997</v>
      </c>
      <c r="GF47" s="221">
        <f t="shared" ca="1" si="190"/>
        <v>499.52300000000002</v>
      </c>
      <c r="GG47" s="163">
        <f t="shared" ca="1" si="97"/>
        <v>16099.626289999998</v>
      </c>
      <c r="GI47" s="221">
        <f t="shared" ca="1" si="191"/>
        <v>30.36</v>
      </c>
      <c r="GJ47" s="221">
        <f t="shared" ca="1" si="191"/>
        <v>496.07299999999998</v>
      </c>
      <c r="GK47" s="163">
        <f t="shared" ca="1" si="98"/>
        <v>15060.776279999998</v>
      </c>
      <c r="GM47" s="221">
        <f t="shared" ca="1" si="192"/>
        <v>27.94</v>
      </c>
      <c r="GN47" s="221">
        <f t="shared" ca="1" si="192"/>
        <v>498.149</v>
      </c>
      <c r="GO47" s="163">
        <f t="shared" ca="1" si="99"/>
        <v>13918.283060000002</v>
      </c>
      <c r="GQ47" s="221">
        <f t="shared" ca="1" si="193"/>
        <v>27.61</v>
      </c>
      <c r="GR47" s="221">
        <f t="shared" ca="1" si="193"/>
        <v>497.74700000000001</v>
      </c>
      <c r="GS47" s="163">
        <f t="shared" ca="1" si="100"/>
        <v>13742.794669999999</v>
      </c>
      <c r="GU47" s="221">
        <f t="shared" ca="1" si="194"/>
        <v>28.34</v>
      </c>
      <c r="GV47" s="221">
        <f t="shared" ca="1" si="194"/>
        <v>489.78100000000001</v>
      </c>
      <c r="GW47" s="163">
        <f t="shared" ca="1" si="101"/>
        <v>13880.393540000001</v>
      </c>
      <c r="GY47" s="221">
        <f t="shared" ca="1" si="195"/>
        <v>29.7</v>
      </c>
      <c r="GZ47" s="221">
        <f t="shared" ca="1" si="195"/>
        <v>487.899</v>
      </c>
      <c r="HA47" s="163">
        <f t="shared" ca="1" si="102"/>
        <v>14490.6003</v>
      </c>
      <c r="HC47" s="221">
        <f t="shared" ca="1" si="196"/>
        <v>26.71</v>
      </c>
      <c r="HD47" s="221">
        <f t="shared" ca="1" si="196"/>
        <v>488.084</v>
      </c>
      <c r="HE47" s="163">
        <f t="shared" ca="1" si="103"/>
        <v>13036.72364</v>
      </c>
      <c r="HG47" s="221">
        <f t="shared" ca="1" si="197"/>
        <v>27.71</v>
      </c>
      <c r="HH47" s="221">
        <f t="shared" ca="1" si="197"/>
        <v>487.71699999999998</v>
      </c>
      <c r="HI47" s="163">
        <f t="shared" ca="1" si="104"/>
        <v>13514.638070000001</v>
      </c>
      <c r="HK47" s="221">
        <f t="shared" ca="1" si="198"/>
        <v>28.41</v>
      </c>
      <c r="HL47" s="221">
        <f t="shared" ca="1" si="198"/>
        <v>487.36</v>
      </c>
      <c r="HM47" s="163">
        <f t="shared" ca="1" si="105"/>
        <v>13845.8976</v>
      </c>
      <c r="HO47" s="148">
        <f t="shared" ca="1" si="199"/>
        <v>26.47</v>
      </c>
      <c r="HP47" s="148">
        <f t="shared" ca="1" si="199"/>
        <v>485.03899999999999</v>
      </c>
      <c r="HQ47" s="163">
        <f t="shared" ca="1" si="106"/>
        <v>12838.982329999999</v>
      </c>
      <c r="HS47" s="148">
        <f t="shared" ca="1" si="200"/>
        <v>27.64</v>
      </c>
      <c r="HT47" s="148">
        <f t="shared" ca="1" si="200"/>
        <v>485.34399999999999</v>
      </c>
      <c r="HU47" s="163">
        <f t="shared" ca="1" si="107"/>
        <v>13414.908160000001</v>
      </c>
      <c r="HX47" s="149">
        <f t="shared" ca="1" si="163"/>
        <v>92</v>
      </c>
    </row>
    <row r="48" spans="2:232">
      <c r="C48" s="150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X48" s="151"/>
      <c r="AY48" s="151"/>
      <c r="BC48" s="151"/>
      <c r="BD48" s="151"/>
      <c r="BH48" s="151"/>
      <c r="BI48" s="151"/>
      <c r="BM48" s="151"/>
      <c r="BN48" s="151"/>
    </row>
    <row r="49" spans="1:279" s="144" customFormat="1">
      <c r="A49" s="135"/>
      <c r="B49" s="136"/>
      <c r="C49" s="150"/>
      <c r="D49" s="136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6"/>
      <c r="AV49" s="156"/>
      <c r="AW49" s="365"/>
      <c r="AX49" s="151"/>
      <c r="AY49" s="151"/>
      <c r="AZ49" s="156"/>
      <c r="BA49" s="156"/>
      <c r="BB49" s="365"/>
      <c r="BC49" s="151"/>
      <c r="BD49" s="151"/>
      <c r="BE49" s="156"/>
      <c r="BF49" s="156"/>
      <c r="BG49" s="365"/>
      <c r="BH49" s="151"/>
      <c r="BI49" s="151"/>
      <c r="BJ49" s="156"/>
      <c r="BK49" s="156"/>
      <c r="BL49" s="365"/>
      <c r="BM49" s="151"/>
      <c r="BN49" s="151"/>
      <c r="BO49" s="156"/>
      <c r="BP49" s="156"/>
      <c r="BQ49" s="365"/>
      <c r="BR49" s="156"/>
      <c r="BS49" s="156"/>
      <c r="BT49" s="156"/>
      <c r="BU49" s="365"/>
      <c r="BV49" s="156"/>
      <c r="BW49" s="156"/>
      <c r="BX49" s="156"/>
      <c r="BY49" s="365"/>
      <c r="BZ49" s="156"/>
      <c r="CA49" s="156"/>
      <c r="CB49" s="156"/>
      <c r="CC49" s="365"/>
      <c r="CD49" s="156"/>
      <c r="CE49" s="156"/>
      <c r="CF49" s="156"/>
      <c r="CG49" s="365"/>
      <c r="CH49" s="156"/>
      <c r="CI49" s="156"/>
      <c r="CJ49" s="156"/>
      <c r="CK49" s="365"/>
      <c r="CL49" s="156"/>
      <c r="CM49" s="156"/>
      <c r="CN49" s="156"/>
      <c r="CO49" s="365"/>
      <c r="CP49" s="156"/>
      <c r="CQ49" s="135"/>
      <c r="CR49" s="135"/>
      <c r="CS49" s="298"/>
      <c r="CT49" s="156"/>
      <c r="CU49" s="135"/>
      <c r="CV49" s="135"/>
      <c r="CW49" s="298"/>
      <c r="CX49" s="156"/>
      <c r="CY49" s="135"/>
      <c r="CZ49" s="135"/>
      <c r="DA49" s="298"/>
      <c r="DB49" s="156"/>
      <c r="DC49" s="135"/>
      <c r="DD49" s="135"/>
      <c r="DE49" s="298"/>
      <c r="DF49" s="156"/>
      <c r="DG49" s="135"/>
      <c r="DH49" s="135"/>
      <c r="DI49" s="298"/>
      <c r="DJ49" s="156"/>
      <c r="DK49" s="135"/>
      <c r="DL49" s="135"/>
      <c r="DM49" s="298"/>
      <c r="DN49" s="156"/>
      <c r="DO49" s="135"/>
      <c r="DP49" s="135"/>
      <c r="DQ49" s="298"/>
      <c r="DR49" s="156"/>
      <c r="DS49" s="135"/>
      <c r="DT49" s="135"/>
      <c r="DU49" s="298"/>
      <c r="DV49" s="156"/>
      <c r="DW49" s="135"/>
      <c r="DX49" s="135"/>
      <c r="DY49" s="298"/>
      <c r="DZ49" s="156"/>
      <c r="EA49" s="135"/>
      <c r="EB49" s="135"/>
      <c r="EC49" s="298"/>
      <c r="ED49" s="156"/>
      <c r="EE49" s="135"/>
      <c r="EF49" s="135"/>
      <c r="EG49" s="298"/>
      <c r="EH49" s="156"/>
      <c r="EI49" s="135"/>
      <c r="EJ49" s="135"/>
      <c r="EK49" s="298"/>
      <c r="EL49" s="156"/>
      <c r="EM49" s="135"/>
      <c r="EN49" s="135"/>
      <c r="EO49" s="298"/>
      <c r="EP49" s="156"/>
      <c r="EQ49" s="135"/>
      <c r="ER49" s="135"/>
      <c r="ES49" s="298"/>
      <c r="ET49" s="156"/>
      <c r="EU49" s="135"/>
      <c r="EV49" s="135"/>
      <c r="EW49" s="298"/>
      <c r="EX49" s="156"/>
      <c r="EY49" s="135"/>
      <c r="EZ49" s="135"/>
      <c r="FA49" s="298"/>
      <c r="FB49" s="156"/>
      <c r="FC49" s="135"/>
      <c r="FD49" s="135"/>
      <c r="FE49" s="298"/>
      <c r="FF49" s="156"/>
      <c r="FG49" s="135"/>
      <c r="FH49" s="135"/>
      <c r="FI49" s="298"/>
      <c r="FJ49" s="156"/>
      <c r="FK49" s="135"/>
      <c r="FL49" s="135"/>
      <c r="FM49" s="298"/>
      <c r="FN49" s="156"/>
      <c r="FO49" s="135"/>
      <c r="FP49" s="135"/>
      <c r="FQ49" s="298"/>
      <c r="FR49" s="156"/>
      <c r="FS49" s="135"/>
      <c r="FT49" s="135"/>
      <c r="FU49" s="298"/>
      <c r="FV49" s="135"/>
      <c r="FW49" s="135"/>
      <c r="FX49" s="135"/>
      <c r="FY49" s="298"/>
      <c r="FZ49" s="135"/>
      <c r="GA49" s="135"/>
      <c r="GB49" s="135"/>
      <c r="GC49" s="298"/>
      <c r="GD49" s="135"/>
      <c r="GE49" s="135"/>
      <c r="GF49" s="135"/>
      <c r="GG49" s="298"/>
      <c r="GH49" s="135"/>
      <c r="GI49" s="135"/>
      <c r="GJ49" s="135"/>
      <c r="GK49" s="298"/>
      <c r="GL49" s="135"/>
      <c r="GM49" s="135"/>
      <c r="GN49" s="135"/>
      <c r="GO49" s="298"/>
      <c r="GP49" s="135"/>
      <c r="GQ49" s="135"/>
      <c r="GR49" s="135"/>
      <c r="GS49" s="298"/>
      <c r="GT49" s="135"/>
      <c r="GU49" s="135"/>
      <c r="GV49" s="135"/>
      <c r="GW49" s="298"/>
      <c r="GX49" s="135"/>
      <c r="GY49" s="135"/>
      <c r="GZ49" s="135"/>
      <c r="HA49" s="298"/>
      <c r="HB49" s="135"/>
      <c r="HC49" s="135"/>
      <c r="HD49" s="135"/>
      <c r="HE49" s="298"/>
      <c r="HF49" s="135"/>
      <c r="HG49" s="135"/>
      <c r="HH49" s="135"/>
      <c r="HI49" s="298"/>
      <c r="HJ49" s="135"/>
      <c r="HK49" s="135"/>
      <c r="HL49" s="135"/>
      <c r="HM49" s="298"/>
      <c r="HN49" s="135"/>
      <c r="HO49" s="135"/>
      <c r="HP49" s="135"/>
      <c r="HQ49" s="298"/>
      <c r="HR49" s="135"/>
      <c r="HS49" s="135"/>
      <c r="HT49" s="135"/>
      <c r="HU49" s="298"/>
      <c r="HV49" s="135"/>
      <c r="HW49" s="135"/>
      <c r="HX49" s="14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  <c r="IX49" s="135"/>
      <c r="IY49" s="135"/>
      <c r="IZ49" s="135"/>
      <c r="JA49" s="135"/>
      <c r="JB49" s="135"/>
      <c r="JC49" s="135"/>
      <c r="JD49" s="135"/>
      <c r="JE49" s="135"/>
      <c r="JF49" s="135"/>
      <c r="JG49" s="135"/>
      <c r="JH49" s="135"/>
      <c r="JI49" s="135"/>
      <c r="JJ49" s="135"/>
      <c r="JK49" s="135"/>
      <c r="JL49" s="135"/>
      <c r="JM49" s="135"/>
      <c r="JN49" s="135"/>
      <c r="JO49" s="135"/>
      <c r="JP49" s="135"/>
      <c r="JQ49" s="135"/>
      <c r="JR49" s="135"/>
      <c r="JS49" s="135"/>
    </row>
    <row r="50" spans="1:279" s="144" customFormat="1">
      <c r="A50" s="135"/>
      <c r="B50" s="136"/>
      <c r="C50" s="150"/>
      <c r="D50" s="136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6"/>
      <c r="AV50" s="156"/>
      <c r="AW50" s="156"/>
      <c r="AX50" s="152"/>
      <c r="AY50" s="152"/>
      <c r="AZ50" s="156"/>
      <c r="BA50" s="156"/>
      <c r="BB50" s="156"/>
      <c r="BC50" s="152"/>
      <c r="BD50" s="152"/>
      <c r="BE50" s="156"/>
      <c r="BF50" s="156"/>
      <c r="BG50" s="156"/>
      <c r="BH50" s="152"/>
      <c r="BI50" s="152"/>
      <c r="BJ50" s="156"/>
      <c r="BK50" s="156"/>
      <c r="BL50" s="156"/>
      <c r="BM50" s="152"/>
      <c r="BN50" s="152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35"/>
      <c r="CR50" s="135"/>
      <c r="CS50" s="135"/>
      <c r="CT50" s="156"/>
      <c r="CU50" s="135"/>
      <c r="CV50" s="135"/>
      <c r="CW50" s="135"/>
      <c r="CX50" s="156"/>
      <c r="CY50" s="135"/>
      <c r="CZ50" s="135"/>
      <c r="DA50" s="135"/>
      <c r="DB50" s="156"/>
      <c r="DC50" s="135"/>
      <c r="DD50" s="135"/>
      <c r="DE50" s="135"/>
      <c r="DF50" s="156"/>
      <c r="DG50" s="135"/>
      <c r="DH50" s="135"/>
      <c r="DI50" s="135"/>
      <c r="DJ50" s="156"/>
      <c r="DK50" s="135"/>
      <c r="DL50" s="135"/>
      <c r="DM50" s="135"/>
      <c r="DN50" s="156"/>
      <c r="DO50" s="135"/>
      <c r="DP50" s="135"/>
      <c r="DQ50" s="135"/>
      <c r="DR50" s="156"/>
      <c r="DS50" s="135"/>
      <c r="DT50" s="135"/>
      <c r="DU50" s="135"/>
      <c r="DV50" s="156"/>
      <c r="DW50" s="135"/>
      <c r="DX50" s="135"/>
      <c r="DY50" s="135"/>
      <c r="DZ50" s="156"/>
      <c r="EA50" s="135"/>
      <c r="EB50" s="135"/>
      <c r="EC50" s="135"/>
      <c r="ED50" s="156"/>
      <c r="EE50" s="135"/>
      <c r="EF50" s="135"/>
      <c r="EG50" s="135"/>
      <c r="EH50" s="156"/>
      <c r="EI50" s="135"/>
      <c r="EJ50" s="135"/>
      <c r="EK50" s="135"/>
      <c r="EL50" s="156"/>
      <c r="EM50" s="135"/>
      <c r="EN50" s="135"/>
      <c r="EO50" s="135"/>
      <c r="EP50" s="156"/>
      <c r="EQ50" s="135"/>
      <c r="ER50" s="135"/>
      <c r="ES50" s="135"/>
      <c r="ET50" s="156"/>
      <c r="EU50" s="135"/>
      <c r="EV50" s="135"/>
      <c r="EW50" s="135"/>
      <c r="EX50" s="156"/>
      <c r="EY50" s="135"/>
      <c r="EZ50" s="135"/>
      <c r="FA50" s="135"/>
      <c r="FB50" s="156"/>
      <c r="FC50" s="135"/>
      <c r="FD50" s="135"/>
      <c r="FE50" s="135"/>
      <c r="FF50" s="156"/>
      <c r="FG50" s="135"/>
      <c r="FH50" s="135"/>
      <c r="FI50" s="135"/>
      <c r="FJ50" s="156"/>
      <c r="FK50" s="135"/>
      <c r="FL50" s="135"/>
      <c r="FM50" s="135"/>
      <c r="FN50" s="156"/>
      <c r="FO50" s="135"/>
      <c r="FP50" s="135"/>
      <c r="FQ50" s="135"/>
      <c r="FR50" s="156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4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  <c r="IX50" s="135"/>
      <c r="IY50" s="135"/>
      <c r="IZ50" s="135"/>
      <c r="JA50" s="135"/>
      <c r="JB50" s="135"/>
      <c r="JC50" s="135"/>
      <c r="JD50" s="135"/>
      <c r="JE50" s="135"/>
      <c r="JF50" s="135"/>
      <c r="JG50" s="135"/>
      <c r="JH50" s="135"/>
      <c r="JI50" s="135"/>
      <c r="JJ50" s="135"/>
      <c r="JK50" s="135"/>
      <c r="JL50" s="135"/>
      <c r="JM50" s="135"/>
      <c r="JN50" s="135"/>
      <c r="JO50" s="135"/>
      <c r="JP50" s="135"/>
      <c r="JQ50" s="135"/>
      <c r="JR50" s="135"/>
      <c r="JS50" s="135"/>
    </row>
    <row r="51" spans="1:279" s="144" customFormat="1">
      <c r="A51" s="135"/>
      <c r="B51" s="136"/>
      <c r="C51" s="150"/>
      <c r="D51" s="136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6"/>
      <c r="AV51" s="156"/>
      <c r="AW51" s="156"/>
      <c r="AX51" s="152"/>
      <c r="AY51" s="152"/>
      <c r="AZ51" s="156"/>
      <c r="BA51" s="156"/>
      <c r="BB51" s="156"/>
      <c r="BC51" s="152"/>
      <c r="BD51" s="152"/>
      <c r="BE51" s="156"/>
      <c r="BF51" s="156"/>
      <c r="BG51" s="156"/>
      <c r="BH51" s="152"/>
      <c r="BI51" s="152"/>
      <c r="BJ51" s="156"/>
      <c r="BK51" s="156"/>
      <c r="BL51" s="156"/>
      <c r="BM51" s="152"/>
      <c r="BN51" s="152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35"/>
      <c r="CR51" s="135"/>
      <c r="CS51" s="135"/>
      <c r="CT51" s="156"/>
      <c r="CU51" s="135"/>
      <c r="CV51" s="135"/>
      <c r="CW51" s="135"/>
      <c r="CX51" s="156"/>
      <c r="CY51" s="135"/>
      <c r="CZ51" s="135"/>
      <c r="DA51" s="135"/>
      <c r="DB51" s="156"/>
      <c r="DC51" s="135"/>
      <c r="DD51" s="135"/>
      <c r="DE51" s="135"/>
      <c r="DF51" s="156"/>
      <c r="DG51" s="135"/>
      <c r="DH51" s="135"/>
      <c r="DI51" s="135"/>
      <c r="DJ51" s="156"/>
      <c r="DK51" s="135"/>
      <c r="DL51" s="135"/>
      <c r="DM51" s="135"/>
      <c r="DN51" s="156"/>
      <c r="DO51" s="135"/>
      <c r="DP51" s="135"/>
      <c r="DQ51" s="135"/>
      <c r="DR51" s="156"/>
      <c r="DS51" s="135"/>
      <c r="DT51" s="135"/>
      <c r="DU51" s="135"/>
      <c r="DV51" s="156"/>
      <c r="DW51" s="135"/>
      <c r="DX51" s="135"/>
      <c r="DY51" s="135"/>
      <c r="DZ51" s="156"/>
      <c r="EA51" s="135"/>
      <c r="EB51" s="135"/>
      <c r="EC51" s="135"/>
      <c r="ED51" s="156"/>
      <c r="EE51" s="135"/>
      <c r="EF51" s="135"/>
      <c r="EG51" s="135"/>
      <c r="EH51" s="156"/>
      <c r="EI51" s="135"/>
      <c r="EJ51" s="135"/>
      <c r="EK51" s="135"/>
      <c r="EL51" s="156"/>
      <c r="EM51" s="135"/>
      <c r="EN51" s="135"/>
      <c r="EO51" s="135"/>
      <c r="EP51" s="156"/>
      <c r="EQ51" s="135"/>
      <c r="ER51" s="135"/>
      <c r="ES51" s="135"/>
      <c r="ET51" s="156"/>
      <c r="EU51" s="135"/>
      <c r="EV51" s="135"/>
      <c r="EW51" s="135"/>
      <c r="EX51" s="156"/>
      <c r="EY51" s="135"/>
      <c r="EZ51" s="135"/>
      <c r="FA51" s="135"/>
      <c r="FB51" s="156"/>
      <c r="FC51" s="135"/>
      <c r="FD51" s="135"/>
      <c r="FE51" s="135"/>
      <c r="FF51" s="156"/>
      <c r="FG51" s="135"/>
      <c r="FH51" s="135"/>
      <c r="FI51" s="135"/>
      <c r="FJ51" s="156"/>
      <c r="FK51" s="135"/>
      <c r="FL51" s="135"/>
      <c r="FM51" s="135"/>
      <c r="FN51" s="156"/>
      <c r="FO51" s="135"/>
      <c r="FP51" s="135"/>
      <c r="FQ51" s="135"/>
      <c r="FR51" s="156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4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</row>
    <row r="52" spans="1:279" s="144" customFormat="1">
      <c r="A52" s="135"/>
      <c r="B52" s="136"/>
      <c r="C52" s="150"/>
      <c r="D52" s="136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6"/>
      <c r="AV52" s="156"/>
      <c r="AW52" s="156"/>
      <c r="AX52" s="151"/>
      <c r="AY52" s="151"/>
      <c r="AZ52" s="156"/>
      <c r="BA52" s="156"/>
      <c r="BB52" s="156"/>
      <c r="BC52" s="151"/>
      <c r="BD52" s="151"/>
      <c r="BE52" s="156"/>
      <c r="BF52" s="156"/>
      <c r="BG52" s="156"/>
      <c r="BH52" s="151"/>
      <c r="BI52" s="151"/>
      <c r="BJ52" s="156"/>
      <c r="BK52" s="156"/>
      <c r="BL52" s="156"/>
      <c r="BM52" s="151"/>
      <c r="BN52" s="151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35"/>
      <c r="CR52" s="135"/>
      <c r="CS52" s="135"/>
      <c r="CT52" s="156"/>
      <c r="CU52" s="135"/>
      <c r="CV52" s="135"/>
      <c r="CW52" s="135"/>
      <c r="CX52" s="156"/>
      <c r="CY52" s="135"/>
      <c r="CZ52" s="135"/>
      <c r="DA52" s="135"/>
      <c r="DB52" s="156"/>
      <c r="DC52" s="135"/>
      <c r="DD52" s="135"/>
      <c r="DE52" s="135"/>
      <c r="DF52" s="156"/>
      <c r="DG52" s="135"/>
      <c r="DH52" s="135"/>
      <c r="DI52" s="135"/>
      <c r="DJ52" s="156"/>
      <c r="DK52" s="135"/>
      <c r="DL52" s="135"/>
      <c r="DM52" s="135"/>
      <c r="DN52" s="156"/>
      <c r="DO52" s="135"/>
      <c r="DP52" s="135"/>
      <c r="DQ52" s="135"/>
      <c r="DR52" s="156"/>
      <c r="DS52" s="135"/>
      <c r="DT52" s="135"/>
      <c r="DU52" s="135"/>
      <c r="DV52" s="156"/>
      <c r="DW52" s="135"/>
      <c r="DX52" s="135"/>
      <c r="DY52" s="135"/>
      <c r="DZ52" s="156"/>
      <c r="EA52" s="135"/>
      <c r="EB52" s="135"/>
      <c r="EC52" s="135"/>
      <c r="ED52" s="156"/>
      <c r="EE52" s="135"/>
      <c r="EF52" s="135"/>
      <c r="EG52" s="135"/>
      <c r="EH52" s="156"/>
      <c r="EI52" s="135"/>
      <c r="EJ52" s="135"/>
      <c r="EK52" s="135"/>
      <c r="EL52" s="156"/>
      <c r="EM52" s="135"/>
      <c r="EN52" s="135"/>
      <c r="EO52" s="135"/>
      <c r="EP52" s="156"/>
      <c r="EQ52" s="135"/>
      <c r="ER52" s="135"/>
      <c r="ES52" s="135"/>
      <c r="ET52" s="156"/>
      <c r="EU52" s="135"/>
      <c r="EV52" s="135"/>
      <c r="EW52" s="135"/>
      <c r="EX52" s="156"/>
      <c r="EY52" s="135"/>
      <c r="EZ52" s="135"/>
      <c r="FA52" s="135"/>
      <c r="FB52" s="156"/>
      <c r="FC52" s="135"/>
      <c r="FD52" s="135"/>
      <c r="FE52" s="135"/>
      <c r="FF52" s="156"/>
      <c r="FG52" s="135"/>
      <c r="FH52" s="135"/>
      <c r="FI52" s="135"/>
      <c r="FJ52" s="156"/>
      <c r="FK52" s="135"/>
      <c r="FL52" s="135"/>
      <c r="FM52" s="135"/>
      <c r="FN52" s="156"/>
      <c r="FO52" s="135"/>
      <c r="FP52" s="135"/>
      <c r="FQ52" s="135"/>
      <c r="FR52" s="156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4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  <c r="IX52" s="135"/>
      <c r="IY52" s="135"/>
      <c r="IZ52" s="135"/>
      <c r="JA52" s="135"/>
      <c r="JB52" s="135"/>
      <c r="JC52" s="135"/>
      <c r="JD52" s="135"/>
      <c r="JE52" s="135"/>
      <c r="JF52" s="135"/>
      <c r="JG52" s="135"/>
      <c r="JH52" s="135"/>
      <c r="JI52" s="135"/>
      <c r="JJ52" s="135"/>
      <c r="JK52" s="135"/>
      <c r="JL52" s="135"/>
      <c r="JM52" s="135"/>
      <c r="JN52" s="135"/>
      <c r="JO52" s="135"/>
      <c r="JP52" s="135"/>
      <c r="JQ52" s="135"/>
      <c r="JR52" s="135"/>
      <c r="JS52" s="135"/>
    </row>
    <row r="53" spans="1:279" s="144" customFormat="1">
      <c r="A53" s="135"/>
      <c r="B53" s="136"/>
      <c r="C53" s="150"/>
      <c r="D53" s="136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6"/>
      <c r="AV53" s="156"/>
      <c r="AW53" s="156"/>
      <c r="AX53" s="152"/>
      <c r="AY53" s="152"/>
      <c r="AZ53" s="156"/>
      <c r="BA53" s="156"/>
      <c r="BB53" s="156"/>
      <c r="BC53" s="152"/>
      <c r="BD53" s="152"/>
      <c r="BE53" s="156"/>
      <c r="BF53" s="156"/>
      <c r="BG53" s="156"/>
      <c r="BH53" s="152"/>
      <c r="BI53" s="152"/>
      <c r="BJ53" s="156"/>
      <c r="BK53" s="156"/>
      <c r="BL53" s="156"/>
      <c r="BM53" s="152"/>
      <c r="BN53" s="152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35"/>
      <c r="CR53" s="135"/>
      <c r="CS53" s="135"/>
      <c r="CT53" s="156"/>
      <c r="CU53" s="135"/>
      <c r="CV53" s="135"/>
      <c r="CW53" s="135"/>
      <c r="CX53" s="156"/>
      <c r="CY53" s="135"/>
      <c r="CZ53" s="135"/>
      <c r="DA53" s="135"/>
      <c r="DB53" s="156"/>
      <c r="DC53" s="135"/>
      <c r="DD53" s="135"/>
      <c r="DE53" s="135"/>
      <c r="DF53" s="156"/>
      <c r="DG53" s="135"/>
      <c r="DH53" s="135"/>
      <c r="DI53" s="135"/>
      <c r="DJ53" s="156"/>
      <c r="DK53" s="135"/>
      <c r="DL53" s="135"/>
      <c r="DM53" s="135"/>
      <c r="DN53" s="156"/>
      <c r="DO53" s="135"/>
      <c r="DP53" s="135"/>
      <c r="DQ53" s="135"/>
      <c r="DR53" s="156"/>
      <c r="DS53" s="135"/>
      <c r="DT53" s="135"/>
      <c r="DU53" s="135"/>
      <c r="DV53" s="156"/>
      <c r="DW53" s="135"/>
      <c r="DX53" s="135"/>
      <c r="DY53" s="135"/>
      <c r="DZ53" s="156"/>
      <c r="EA53" s="135"/>
      <c r="EB53" s="135"/>
      <c r="EC53" s="135"/>
      <c r="ED53" s="156"/>
      <c r="EE53" s="135"/>
      <c r="EF53" s="135"/>
      <c r="EG53" s="135"/>
      <c r="EH53" s="156"/>
      <c r="EI53" s="135"/>
      <c r="EJ53" s="135"/>
      <c r="EK53" s="135"/>
      <c r="EL53" s="156"/>
      <c r="EM53" s="135"/>
      <c r="EN53" s="135"/>
      <c r="EO53" s="135"/>
      <c r="EP53" s="156"/>
      <c r="EQ53" s="135"/>
      <c r="ER53" s="135"/>
      <c r="ES53" s="135"/>
      <c r="ET53" s="156"/>
      <c r="EU53" s="135"/>
      <c r="EV53" s="135"/>
      <c r="EW53" s="135"/>
      <c r="EX53" s="156"/>
      <c r="EY53" s="135"/>
      <c r="EZ53" s="135"/>
      <c r="FA53" s="135"/>
      <c r="FB53" s="156"/>
      <c r="FC53" s="135"/>
      <c r="FD53" s="135"/>
      <c r="FE53" s="135"/>
      <c r="FF53" s="156"/>
      <c r="FG53" s="135"/>
      <c r="FH53" s="135"/>
      <c r="FI53" s="135"/>
      <c r="FJ53" s="156"/>
      <c r="FK53" s="135"/>
      <c r="FL53" s="135"/>
      <c r="FM53" s="135"/>
      <c r="FN53" s="156"/>
      <c r="FO53" s="135"/>
      <c r="FP53" s="135"/>
      <c r="FQ53" s="135"/>
      <c r="FR53" s="156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4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  <c r="IX53" s="135"/>
      <c r="IY53" s="135"/>
      <c r="IZ53" s="135"/>
      <c r="JA53" s="135"/>
      <c r="JB53" s="135"/>
      <c r="JC53" s="135"/>
      <c r="JD53" s="135"/>
      <c r="JE53" s="135"/>
      <c r="JF53" s="135"/>
      <c r="JG53" s="135"/>
      <c r="JH53" s="135"/>
      <c r="JI53" s="135"/>
      <c r="JJ53" s="135"/>
      <c r="JK53" s="135"/>
      <c r="JL53" s="135"/>
      <c r="JM53" s="135"/>
      <c r="JN53" s="135"/>
      <c r="JO53" s="135"/>
      <c r="JP53" s="135"/>
      <c r="JQ53" s="135"/>
      <c r="JR53" s="135"/>
      <c r="JS53" s="135"/>
    </row>
    <row r="54" spans="1:279" s="144" customFormat="1">
      <c r="A54" s="135"/>
      <c r="B54" s="136"/>
      <c r="C54" s="150"/>
      <c r="D54" s="136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6"/>
      <c r="AV54" s="156"/>
      <c r="AW54" s="156"/>
      <c r="AX54" s="152"/>
      <c r="AY54" s="152"/>
      <c r="AZ54" s="156"/>
      <c r="BA54" s="156"/>
      <c r="BB54" s="156"/>
      <c r="BC54" s="152"/>
      <c r="BD54" s="152"/>
      <c r="BE54" s="156"/>
      <c r="BF54" s="156"/>
      <c r="BG54" s="156"/>
      <c r="BH54" s="152"/>
      <c r="BI54" s="152"/>
      <c r="BJ54" s="156"/>
      <c r="BK54" s="156"/>
      <c r="BL54" s="156"/>
      <c r="BM54" s="152"/>
      <c r="BN54" s="152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35"/>
      <c r="CR54" s="135"/>
      <c r="CS54" s="135"/>
      <c r="CT54" s="156"/>
      <c r="CU54" s="135"/>
      <c r="CV54" s="135"/>
      <c r="CW54" s="135"/>
      <c r="CX54" s="156"/>
      <c r="CY54" s="135"/>
      <c r="CZ54" s="135"/>
      <c r="DA54" s="135"/>
      <c r="DB54" s="156"/>
      <c r="DC54" s="135"/>
      <c r="DD54" s="135"/>
      <c r="DE54" s="135"/>
      <c r="DF54" s="156"/>
      <c r="DG54" s="135"/>
      <c r="DH54" s="135"/>
      <c r="DI54" s="135"/>
      <c r="DJ54" s="156"/>
      <c r="DK54" s="135"/>
      <c r="DL54" s="135"/>
      <c r="DM54" s="135"/>
      <c r="DN54" s="156"/>
      <c r="DO54" s="135"/>
      <c r="DP54" s="135"/>
      <c r="DQ54" s="135"/>
      <c r="DR54" s="156"/>
      <c r="DS54" s="135"/>
      <c r="DT54" s="135"/>
      <c r="DU54" s="135"/>
      <c r="DV54" s="156"/>
      <c r="DW54" s="135"/>
      <c r="DX54" s="135"/>
      <c r="DY54" s="135"/>
      <c r="DZ54" s="156"/>
      <c r="EA54" s="135"/>
      <c r="EB54" s="135"/>
      <c r="EC54" s="135"/>
      <c r="ED54" s="156"/>
      <c r="EE54" s="135"/>
      <c r="EF54" s="135"/>
      <c r="EG54" s="135"/>
      <c r="EH54" s="156"/>
      <c r="EI54" s="135"/>
      <c r="EJ54" s="135"/>
      <c r="EK54" s="135"/>
      <c r="EL54" s="156"/>
      <c r="EM54" s="135"/>
      <c r="EN54" s="135"/>
      <c r="EO54" s="135"/>
      <c r="EP54" s="156"/>
      <c r="EQ54" s="135"/>
      <c r="ER54" s="135"/>
      <c r="ES54" s="135"/>
      <c r="ET54" s="156"/>
      <c r="EU54" s="135"/>
      <c r="EV54" s="135"/>
      <c r="EW54" s="135"/>
      <c r="EX54" s="156"/>
      <c r="EY54" s="135"/>
      <c r="EZ54" s="135"/>
      <c r="FA54" s="135"/>
      <c r="FB54" s="156"/>
      <c r="FC54" s="135"/>
      <c r="FD54" s="135"/>
      <c r="FE54" s="135"/>
      <c r="FF54" s="156"/>
      <c r="FG54" s="135"/>
      <c r="FH54" s="135"/>
      <c r="FI54" s="135"/>
      <c r="FJ54" s="156"/>
      <c r="FK54" s="135"/>
      <c r="FL54" s="135"/>
      <c r="FM54" s="135"/>
      <c r="FN54" s="156"/>
      <c r="FO54" s="135"/>
      <c r="FP54" s="135"/>
      <c r="FQ54" s="135"/>
      <c r="FR54" s="156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4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  <c r="IX54" s="135"/>
      <c r="IY54" s="135"/>
      <c r="IZ54" s="135"/>
      <c r="JA54" s="135"/>
      <c r="JB54" s="135"/>
      <c r="JC54" s="135"/>
      <c r="JD54" s="135"/>
      <c r="JE54" s="135"/>
      <c r="JF54" s="135"/>
      <c r="JG54" s="135"/>
      <c r="JH54" s="135"/>
      <c r="JI54" s="135"/>
      <c r="JJ54" s="135"/>
      <c r="JK54" s="135"/>
      <c r="JL54" s="135"/>
      <c r="JM54" s="135"/>
      <c r="JN54" s="135"/>
      <c r="JO54" s="135"/>
      <c r="JP54" s="135"/>
      <c r="JQ54" s="135"/>
      <c r="JR54" s="135"/>
      <c r="JS54" s="135"/>
    </row>
    <row r="55" spans="1:279" s="144" customFormat="1">
      <c r="A55" s="135"/>
      <c r="B55" s="136"/>
      <c r="C55" s="150"/>
      <c r="D55" s="136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6"/>
      <c r="AV55" s="156"/>
      <c r="AW55" s="156"/>
      <c r="AX55" s="152"/>
      <c r="AY55" s="152"/>
      <c r="AZ55" s="156"/>
      <c r="BA55" s="156"/>
      <c r="BB55" s="156"/>
      <c r="BC55" s="152"/>
      <c r="BD55" s="152"/>
      <c r="BE55" s="156"/>
      <c r="BF55" s="156"/>
      <c r="BG55" s="156"/>
      <c r="BH55" s="152"/>
      <c r="BI55" s="152"/>
      <c r="BJ55" s="156"/>
      <c r="BK55" s="156"/>
      <c r="BL55" s="156"/>
      <c r="BM55" s="152"/>
      <c r="BN55" s="152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35"/>
      <c r="CR55" s="135"/>
      <c r="CS55" s="135"/>
      <c r="CT55" s="156"/>
      <c r="CU55" s="135"/>
      <c r="CV55" s="135"/>
      <c r="CW55" s="135"/>
      <c r="CX55" s="156"/>
      <c r="CY55" s="135"/>
      <c r="CZ55" s="135"/>
      <c r="DA55" s="135"/>
      <c r="DB55" s="156"/>
      <c r="DC55" s="135"/>
      <c r="DD55" s="135"/>
      <c r="DE55" s="135"/>
      <c r="DF55" s="156"/>
      <c r="DG55" s="135"/>
      <c r="DH55" s="135"/>
      <c r="DI55" s="135"/>
      <c r="DJ55" s="156"/>
      <c r="DK55" s="135"/>
      <c r="DL55" s="135"/>
      <c r="DM55" s="135"/>
      <c r="DN55" s="156"/>
      <c r="DO55" s="135"/>
      <c r="DP55" s="135"/>
      <c r="DQ55" s="135"/>
      <c r="DR55" s="156"/>
      <c r="DS55" s="135"/>
      <c r="DT55" s="135"/>
      <c r="DU55" s="135"/>
      <c r="DV55" s="156"/>
      <c r="DW55" s="135"/>
      <c r="DX55" s="135"/>
      <c r="DY55" s="135"/>
      <c r="DZ55" s="156"/>
      <c r="EA55" s="135"/>
      <c r="EB55" s="135"/>
      <c r="EC55" s="135"/>
      <c r="ED55" s="156"/>
      <c r="EE55" s="135"/>
      <c r="EF55" s="135"/>
      <c r="EG55" s="135"/>
      <c r="EH55" s="156"/>
      <c r="EI55" s="135"/>
      <c r="EJ55" s="135"/>
      <c r="EK55" s="135"/>
      <c r="EL55" s="156"/>
      <c r="EM55" s="135"/>
      <c r="EN55" s="135"/>
      <c r="EO55" s="135"/>
      <c r="EP55" s="156"/>
      <c r="EQ55" s="135"/>
      <c r="ER55" s="135"/>
      <c r="ES55" s="135"/>
      <c r="ET55" s="156"/>
      <c r="EU55" s="135"/>
      <c r="EV55" s="135"/>
      <c r="EW55" s="135"/>
      <c r="EX55" s="156"/>
      <c r="EY55" s="135"/>
      <c r="EZ55" s="135"/>
      <c r="FA55" s="135"/>
      <c r="FB55" s="156"/>
      <c r="FC55" s="135"/>
      <c r="FD55" s="135"/>
      <c r="FE55" s="135"/>
      <c r="FF55" s="156"/>
      <c r="FG55" s="135"/>
      <c r="FH55" s="135"/>
      <c r="FI55" s="135"/>
      <c r="FJ55" s="156"/>
      <c r="FK55" s="135"/>
      <c r="FL55" s="135"/>
      <c r="FM55" s="135"/>
      <c r="FN55" s="156"/>
      <c r="FO55" s="135"/>
      <c r="FP55" s="135"/>
      <c r="FQ55" s="135"/>
      <c r="FR55" s="156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4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  <c r="IX55" s="135"/>
      <c r="IY55" s="135"/>
      <c r="IZ55" s="135"/>
      <c r="JA55" s="135"/>
      <c r="JB55" s="135"/>
      <c r="JC55" s="135"/>
      <c r="JD55" s="135"/>
      <c r="JE55" s="135"/>
      <c r="JF55" s="135"/>
      <c r="JG55" s="135"/>
      <c r="JH55" s="135"/>
      <c r="JI55" s="135"/>
      <c r="JJ55" s="135"/>
      <c r="JK55" s="135"/>
      <c r="JL55" s="135"/>
      <c r="JM55" s="135"/>
      <c r="JN55" s="135"/>
      <c r="JO55" s="135"/>
      <c r="JP55" s="135"/>
      <c r="JQ55" s="135"/>
      <c r="JR55" s="135"/>
      <c r="JS55" s="135"/>
    </row>
    <row r="56" spans="1:279" s="144" customFormat="1">
      <c r="A56" s="135"/>
      <c r="B56" s="136"/>
      <c r="C56" s="150"/>
      <c r="D56" s="136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6"/>
      <c r="AV56" s="156"/>
      <c r="AW56" s="156"/>
      <c r="AX56" s="152"/>
      <c r="AY56" s="152"/>
      <c r="AZ56" s="156"/>
      <c r="BA56" s="156"/>
      <c r="BB56" s="156"/>
      <c r="BC56" s="152"/>
      <c r="BD56" s="152"/>
      <c r="BE56" s="156"/>
      <c r="BF56" s="156"/>
      <c r="BG56" s="156"/>
      <c r="BH56" s="152"/>
      <c r="BI56" s="152"/>
      <c r="BJ56" s="156"/>
      <c r="BK56" s="156"/>
      <c r="BL56" s="156"/>
      <c r="BM56" s="152"/>
      <c r="BN56" s="152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35"/>
      <c r="CR56" s="135"/>
      <c r="CS56" s="135"/>
      <c r="CT56" s="156"/>
      <c r="CU56" s="135"/>
      <c r="CV56" s="135"/>
      <c r="CW56" s="135"/>
      <c r="CX56" s="156"/>
      <c r="CY56" s="135"/>
      <c r="CZ56" s="135"/>
      <c r="DA56" s="135"/>
      <c r="DB56" s="156"/>
      <c r="DC56" s="135"/>
      <c r="DD56" s="135"/>
      <c r="DE56" s="135"/>
      <c r="DF56" s="156"/>
      <c r="DG56" s="135"/>
      <c r="DH56" s="135"/>
      <c r="DI56" s="135"/>
      <c r="DJ56" s="156"/>
      <c r="DK56" s="135"/>
      <c r="DL56" s="135"/>
      <c r="DM56" s="135"/>
      <c r="DN56" s="156"/>
      <c r="DO56" s="135"/>
      <c r="DP56" s="135"/>
      <c r="DQ56" s="135"/>
      <c r="DR56" s="156"/>
      <c r="DS56" s="135"/>
      <c r="DT56" s="135"/>
      <c r="DU56" s="135"/>
      <c r="DV56" s="156"/>
      <c r="DW56" s="135"/>
      <c r="DX56" s="135"/>
      <c r="DY56" s="135"/>
      <c r="DZ56" s="156"/>
      <c r="EA56" s="135"/>
      <c r="EB56" s="135"/>
      <c r="EC56" s="135"/>
      <c r="ED56" s="156"/>
      <c r="EE56" s="135"/>
      <c r="EF56" s="135"/>
      <c r="EG56" s="135"/>
      <c r="EH56" s="156"/>
      <c r="EI56" s="135"/>
      <c r="EJ56" s="135"/>
      <c r="EK56" s="135"/>
      <c r="EL56" s="156"/>
      <c r="EM56" s="135"/>
      <c r="EN56" s="135"/>
      <c r="EO56" s="135"/>
      <c r="EP56" s="156"/>
      <c r="EQ56" s="135"/>
      <c r="ER56" s="135"/>
      <c r="ES56" s="135"/>
      <c r="ET56" s="156"/>
      <c r="EU56" s="135"/>
      <c r="EV56" s="135"/>
      <c r="EW56" s="135"/>
      <c r="EX56" s="156"/>
      <c r="EY56" s="135"/>
      <c r="EZ56" s="135"/>
      <c r="FA56" s="135"/>
      <c r="FB56" s="156"/>
      <c r="FC56" s="135"/>
      <c r="FD56" s="135"/>
      <c r="FE56" s="135"/>
      <c r="FF56" s="156"/>
      <c r="FG56" s="135"/>
      <c r="FH56" s="135"/>
      <c r="FI56" s="135"/>
      <c r="FJ56" s="156"/>
      <c r="FK56" s="135"/>
      <c r="FL56" s="135"/>
      <c r="FM56" s="135"/>
      <c r="FN56" s="156"/>
      <c r="FO56" s="135"/>
      <c r="FP56" s="135"/>
      <c r="FQ56" s="135"/>
      <c r="FR56" s="156"/>
      <c r="FS56" s="135"/>
      <c r="FT56" s="135"/>
      <c r="FU56" s="135"/>
      <c r="FV56" s="135"/>
      <c r="FW56" s="135"/>
      <c r="FX56" s="135"/>
      <c r="FY56" s="135"/>
      <c r="FZ56" s="135"/>
      <c r="GA56" s="135"/>
      <c r="GB56" s="135"/>
      <c r="GC56" s="135"/>
      <c r="GD56" s="135"/>
      <c r="GE56" s="135"/>
      <c r="GF56" s="135"/>
      <c r="GG56" s="135"/>
      <c r="GH56" s="135"/>
      <c r="GI56" s="135"/>
      <c r="GJ56" s="135"/>
      <c r="GK56" s="135"/>
      <c r="GL56" s="135"/>
      <c r="GM56" s="135"/>
      <c r="GN56" s="135"/>
      <c r="GO56" s="135"/>
      <c r="GP56" s="135"/>
      <c r="GQ56" s="135"/>
      <c r="GR56" s="135"/>
      <c r="GS56" s="135"/>
      <c r="GT56" s="135"/>
      <c r="GU56" s="135"/>
      <c r="GV56" s="135"/>
      <c r="GW56" s="135"/>
      <c r="GX56" s="135"/>
      <c r="GY56" s="135"/>
      <c r="GZ56" s="135"/>
      <c r="HA56" s="135"/>
      <c r="HB56" s="135"/>
      <c r="HC56" s="135"/>
      <c r="HD56" s="135"/>
      <c r="HE56" s="135"/>
      <c r="HF56" s="135"/>
      <c r="HG56" s="135"/>
      <c r="HH56" s="135"/>
      <c r="HI56" s="135"/>
      <c r="HJ56" s="135"/>
      <c r="HK56" s="135"/>
      <c r="HL56" s="135"/>
      <c r="HM56" s="135"/>
      <c r="HN56" s="135"/>
      <c r="HO56" s="135"/>
      <c r="HP56" s="135"/>
      <c r="HQ56" s="135"/>
      <c r="HR56" s="135"/>
      <c r="HS56" s="135"/>
      <c r="HT56" s="135"/>
      <c r="HU56" s="135"/>
      <c r="HV56" s="135"/>
      <c r="HW56" s="135"/>
      <c r="HX56" s="145"/>
      <c r="HY56" s="135"/>
      <c r="HZ56" s="135"/>
      <c r="IA56" s="135"/>
      <c r="IB56" s="135"/>
      <c r="IC56" s="135"/>
      <c r="ID56" s="135"/>
      <c r="IE56" s="135"/>
      <c r="IF56" s="135"/>
      <c r="IG56" s="135"/>
      <c r="IH56" s="135"/>
      <c r="II56" s="135"/>
      <c r="IJ56" s="135"/>
      <c r="IK56" s="135"/>
      <c r="IL56" s="135"/>
      <c r="IM56" s="135"/>
      <c r="IN56" s="135"/>
      <c r="IO56" s="135"/>
      <c r="IP56" s="135"/>
      <c r="IQ56" s="135"/>
      <c r="IR56" s="135"/>
      <c r="IS56" s="135"/>
      <c r="IT56" s="135"/>
      <c r="IU56" s="135"/>
      <c r="IV56" s="135"/>
      <c r="IW56" s="135"/>
      <c r="IX56" s="135"/>
      <c r="IY56" s="135"/>
      <c r="IZ56" s="135"/>
      <c r="JA56" s="135"/>
      <c r="JB56" s="135"/>
      <c r="JC56" s="135"/>
      <c r="JD56" s="135"/>
      <c r="JE56" s="135"/>
      <c r="JF56" s="135"/>
      <c r="JG56" s="135"/>
      <c r="JH56" s="135"/>
      <c r="JI56" s="135"/>
      <c r="JJ56" s="135"/>
      <c r="JK56" s="135"/>
      <c r="JL56" s="135"/>
      <c r="JM56" s="135"/>
      <c r="JN56" s="135"/>
      <c r="JO56" s="135"/>
      <c r="JP56" s="135"/>
      <c r="JQ56" s="135"/>
      <c r="JR56" s="135"/>
      <c r="JS56" s="135"/>
    </row>
    <row r="57" spans="1:279" s="144" customFormat="1">
      <c r="A57" s="135"/>
      <c r="B57" s="136"/>
      <c r="C57" s="150"/>
      <c r="D57" s="136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6"/>
      <c r="AV57" s="156"/>
      <c r="AW57" s="156"/>
      <c r="AX57" s="152"/>
      <c r="AY57" s="152"/>
      <c r="AZ57" s="156"/>
      <c r="BA57" s="156"/>
      <c r="BB57" s="156"/>
      <c r="BC57" s="152"/>
      <c r="BD57" s="152"/>
      <c r="BE57" s="156"/>
      <c r="BF57" s="156"/>
      <c r="BG57" s="156"/>
      <c r="BH57" s="152"/>
      <c r="BI57" s="152"/>
      <c r="BJ57" s="156"/>
      <c r="BK57" s="156"/>
      <c r="BL57" s="156"/>
      <c r="BM57" s="152"/>
      <c r="BN57" s="152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35"/>
      <c r="CR57" s="135"/>
      <c r="CS57" s="135"/>
      <c r="CT57" s="156"/>
      <c r="CU57" s="135"/>
      <c r="CV57" s="135"/>
      <c r="CW57" s="135"/>
      <c r="CX57" s="156"/>
      <c r="CY57" s="135"/>
      <c r="CZ57" s="135"/>
      <c r="DA57" s="135"/>
      <c r="DB57" s="156"/>
      <c r="DC57" s="135"/>
      <c r="DD57" s="135"/>
      <c r="DE57" s="135"/>
      <c r="DF57" s="156"/>
      <c r="DG57" s="135"/>
      <c r="DH57" s="135"/>
      <c r="DI57" s="135"/>
      <c r="DJ57" s="156"/>
      <c r="DK57" s="135"/>
      <c r="DL57" s="135"/>
      <c r="DM57" s="135"/>
      <c r="DN57" s="156"/>
      <c r="DO57" s="135"/>
      <c r="DP57" s="135"/>
      <c r="DQ57" s="135"/>
      <c r="DR57" s="156"/>
      <c r="DS57" s="135"/>
      <c r="DT57" s="135"/>
      <c r="DU57" s="135"/>
      <c r="DV57" s="156"/>
      <c r="DW57" s="135"/>
      <c r="DX57" s="135"/>
      <c r="DY57" s="135"/>
      <c r="DZ57" s="156"/>
      <c r="EA57" s="135"/>
      <c r="EB57" s="135"/>
      <c r="EC57" s="135"/>
      <c r="ED57" s="156"/>
      <c r="EE57" s="135"/>
      <c r="EF57" s="135"/>
      <c r="EG57" s="135"/>
      <c r="EH57" s="156"/>
      <c r="EI57" s="135"/>
      <c r="EJ57" s="135"/>
      <c r="EK57" s="135"/>
      <c r="EL57" s="156"/>
      <c r="EM57" s="135"/>
      <c r="EN57" s="135"/>
      <c r="EO57" s="135"/>
      <c r="EP57" s="156"/>
      <c r="EQ57" s="135"/>
      <c r="ER57" s="135"/>
      <c r="ES57" s="135"/>
      <c r="ET57" s="156"/>
      <c r="EU57" s="135"/>
      <c r="EV57" s="135"/>
      <c r="EW57" s="135"/>
      <c r="EX57" s="156"/>
      <c r="EY57" s="135"/>
      <c r="EZ57" s="135"/>
      <c r="FA57" s="135"/>
      <c r="FB57" s="156"/>
      <c r="FC57" s="135"/>
      <c r="FD57" s="135"/>
      <c r="FE57" s="135"/>
      <c r="FF57" s="156"/>
      <c r="FG57" s="135"/>
      <c r="FH57" s="135"/>
      <c r="FI57" s="135"/>
      <c r="FJ57" s="156"/>
      <c r="FK57" s="135"/>
      <c r="FL57" s="135"/>
      <c r="FM57" s="135"/>
      <c r="FN57" s="156"/>
      <c r="FO57" s="135"/>
      <c r="FP57" s="135"/>
      <c r="FQ57" s="135"/>
      <c r="FR57" s="156"/>
      <c r="FS57" s="135"/>
      <c r="FT57" s="135"/>
      <c r="FU57" s="135"/>
      <c r="FV57" s="135"/>
      <c r="FW57" s="135"/>
      <c r="FX57" s="135"/>
      <c r="FY57" s="135"/>
      <c r="FZ57" s="135"/>
      <c r="GA57" s="135"/>
      <c r="GB57" s="135"/>
      <c r="GC57" s="135"/>
      <c r="GD57" s="135"/>
      <c r="GE57" s="135"/>
      <c r="GF57" s="135"/>
      <c r="GG57" s="135"/>
      <c r="GH57" s="135"/>
      <c r="GI57" s="135"/>
      <c r="GJ57" s="135"/>
      <c r="GK57" s="135"/>
      <c r="GL57" s="135"/>
      <c r="GM57" s="135"/>
      <c r="GN57" s="135"/>
      <c r="GO57" s="135"/>
      <c r="GP57" s="135"/>
      <c r="GQ57" s="135"/>
      <c r="GR57" s="135"/>
      <c r="GS57" s="135"/>
      <c r="GT57" s="135"/>
      <c r="GU57" s="135"/>
      <c r="GV57" s="135"/>
      <c r="GW57" s="135"/>
      <c r="GX57" s="135"/>
      <c r="GY57" s="135"/>
      <c r="GZ57" s="135"/>
      <c r="HA57" s="135"/>
      <c r="HB57" s="135"/>
      <c r="HC57" s="135"/>
      <c r="HD57" s="135"/>
      <c r="HE57" s="135"/>
      <c r="HF57" s="135"/>
      <c r="HG57" s="135"/>
      <c r="HH57" s="135"/>
      <c r="HI57" s="135"/>
      <c r="HJ57" s="135"/>
      <c r="HK57" s="135"/>
      <c r="HL57" s="135"/>
      <c r="HM57" s="135"/>
      <c r="HN57" s="135"/>
      <c r="HO57" s="135"/>
      <c r="HP57" s="135"/>
      <c r="HQ57" s="135"/>
      <c r="HR57" s="135"/>
      <c r="HS57" s="135"/>
      <c r="HT57" s="135"/>
      <c r="HU57" s="135"/>
      <c r="HV57" s="135"/>
      <c r="HW57" s="135"/>
      <c r="HX57" s="145"/>
      <c r="HY57" s="135"/>
      <c r="HZ57" s="135"/>
      <c r="IA57" s="135"/>
      <c r="IB57" s="135"/>
      <c r="IC57" s="135"/>
      <c r="ID57" s="135"/>
      <c r="IE57" s="135"/>
      <c r="IF57" s="135"/>
      <c r="IG57" s="135"/>
      <c r="IH57" s="135"/>
      <c r="II57" s="135"/>
      <c r="IJ57" s="135"/>
      <c r="IK57" s="135"/>
      <c r="IL57" s="135"/>
      <c r="IM57" s="135"/>
      <c r="IN57" s="135"/>
      <c r="IO57" s="135"/>
      <c r="IP57" s="135"/>
      <c r="IQ57" s="135"/>
      <c r="IR57" s="135"/>
      <c r="IS57" s="135"/>
      <c r="IT57" s="135"/>
      <c r="IU57" s="135"/>
      <c r="IV57" s="135"/>
      <c r="IW57" s="135"/>
      <c r="IX57" s="135"/>
      <c r="IY57" s="135"/>
      <c r="IZ57" s="135"/>
      <c r="JA57" s="135"/>
      <c r="JB57" s="135"/>
      <c r="JC57" s="135"/>
      <c r="JD57" s="135"/>
      <c r="JE57" s="135"/>
      <c r="JF57" s="135"/>
      <c r="JG57" s="135"/>
      <c r="JH57" s="135"/>
      <c r="JI57" s="135"/>
      <c r="JJ57" s="135"/>
      <c r="JK57" s="135"/>
      <c r="JL57" s="135"/>
      <c r="JM57" s="135"/>
      <c r="JN57" s="135"/>
      <c r="JO57" s="135"/>
      <c r="JP57" s="135"/>
      <c r="JQ57" s="135"/>
      <c r="JR57" s="135"/>
      <c r="JS57" s="135"/>
    </row>
    <row r="58" spans="1:279" s="144" customFormat="1">
      <c r="A58" s="135"/>
      <c r="B58" s="136"/>
      <c r="C58" s="150"/>
      <c r="D58" s="136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6"/>
      <c r="AV58" s="156"/>
      <c r="AW58" s="156"/>
      <c r="AX58" s="151"/>
      <c r="AY58" s="151"/>
      <c r="AZ58" s="156"/>
      <c r="BA58" s="156"/>
      <c r="BB58" s="156"/>
      <c r="BC58" s="151"/>
      <c r="BD58" s="151"/>
      <c r="BE58" s="156"/>
      <c r="BF58" s="156"/>
      <c r="BG58" s="156"/>
      <c r="BH58" s="151"/>
      <c r="BI58" s="151"/>
      <c r="BJ58" s="156"/>
      <c r="BK58" s="156"/>
      <c r="BL58" s="156"/>
      <c r="BM58" s="151"/>
      <c r="BN58" s="151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35"/>
      <c r="CR58" s="135"/>
      <c r="CS58" s="135"/>
      <c r="CT58" s="156"/>
      <c r="CU58" s="135"/>
      <c r="CV58" s="135"/>
      <c r="CW58" s="135"/>
      <c r="CX58" s="156"/>
      <c r="CY58" s="135"/>
      <c r="CZ58" s="135"/>
      <c r="DA58" s="135"/>
      <c r="DB58" s="156"/>
      <c r="DC58" s="135"/>
      <c r="DD58" s="135"/>
      <c r="DE58" s="135"/>
      <c r="DF58" s="156"/>
      <c r="DG58" s="135"/>
      <c r="DH58" s="135"/>
      <c r="DI58" s="135"/>
      <c r="DJ58" s="156"/>
      <c r="DK58" s="135"/>
      <c r="DL58" s="135"/>
      <c r="DM58" s="135"/>
      <c r="DN58" s="156"/>
      <c r="DO58" s="135"/>
      <c r="DP58" s="135"/>
      <c r="DQ58" s="135"/>
      <c r="DR58" s="156"/>
      <c r="DS58" s="135"/>
      <c r="DT58" s="135"/>
      <c r="DU58" s="135"/>
      <c r="DV58" s="156"/>
      <c r="DW58" s="135"/>
      <c r="DX58" s="135"/>
      <c r="DY58" s="135"/>
      <c r="DZ58" s="156"/>
      <c r="EA58" s="135"/>
      <c r="EB58" s="135"/>
      <c r="EC58" s="135"/>
      <c r="ED58" s="156"/>
      <c r="EE58" s="135"/>
      <c r="EF58" s="135"/>
      <c r="EG58" s="135"/>
      <c r="EH58" s="156"/>
      <c r="EI58" s="135"/>
      <c r="EJ58" s="135"/>
      <c r="EK58" s="135"/>
      <c r="EL58" s="156"/>
      <c r="EM58" s="135"/>
      <c r="EN58" s="135"/>
      <c r="EO58" s="135"/>
      <c r="EP58" s="156"/>
      <c r="EQ58" s="135"/>
      <c r="ER58" s="135"/>
      <c r="ES58" s="135"/>
      <c r="ET58" s="156"/>
      <c r="EU58" s="135"/>
      <c r="EV58" s="135"/>
      <c r="EW58" s="135"/>
      <c r="EX58" s="156"/>
      <c r="EY58" s="135"/>
      <c r="EZ58" s="135"/>
      <c r="FA58" s="135"/>
      <c r="FB58" s="156"/>
      <c r="FC58" s="135"/>
      <c r="FD58" s="135"/>
      <c r="FE58" s="135"/>
      <c r="FF58" s="156"/>
      <c r="FG58" s="135"/>
      <c r="FH58" s="135"/>
      <c r="FI58" s="135"/>
      <c r="FJ58" s="156"/>
      <c r="FK58" s="135"/>
      <c r="FL58" s="135"/>
      <c r="FM58" s="135"/>
      <c r="FN58" s="156"/>
      <c r="FO58" s="135"/>
      <c r="FP58" s="135"/>
      <c r="FQ58" s="135"/>
      <c r="FR58" s="156"/>
      <c r="FS58" s="135"/>
      <c r="FT58" s="135"/>
      <c r="FU58" s="135"/>
      <c r="FV58" s="135"/>
      <c r="FW58" s="135"/>
      <c r="FX58" s="135"/>
      <c r="FY58" s="135"/>
      <c r="FZ58" s="135"/>
      <c r="GA58" s="135"/>
      <c r="GB58" s="135"/>
      <c r="GC58" s="135"/>
      <c r="GD58" s="135"/>
      <c r="GE58" s="135"/>
      <c r="GF58" s="135"/>
      <c r="GG58" s="135"/>
      <c r="GH58" s="135"/>
      <c r="GI58" s="135"/>
      <c r="GJ58" s="135"/>
      <c r="GK58" s="135"/>
      <c r="GL58" s="135"/>
      <c r="GM58" s="135"/>
      <c r="GN58" s="135"/>
      <c r="GO58" s="135"/>
      <c r="GP58" s="135"/>
      <c r="GQ58" s="135"/>
      <c r="GR58" s="135"/>
      <c r="GS58" s="135"/>
      <c r="GT58" s="135"/>
      <c r="GU58" s="135"/>
      <c r="GV58" s="135"/>
      <c r="GW58" s="135"/>
      <c r="GX58" s="135"/>
      <c r="GY58" s="135"/>
      <c r="GZ58" s="135"/>
      <c r="HA58" s="135"/>
      <c r="HB58" s="135"/>
      <c r="HC58" s="135"/>
      <c r="HD58" s="135"/>
      <c r="HE58" s="135"/>
      <c r="HF58" s="135"/>
      <c r="HG58" s="135"/>
      <c r="HH58" s="135"/>
      <c r="HI58" s="135"/>
      <c r="HJ58" s="135"/>
      <c r="HK58" s="135"/>
      <c r="HL58" s="135"/>
      <c r="HM58" s="135"/>
      <c r="HN58" s="135"/>
      <c r="HO58" s="135"/>
      <c r="HP58" s="135"/>
      <c r="HQ58" s="135"/>
      <c r="HR58" s="135"/>
      <c r="HS58" s="135"/>
      <c r="HT58" s="135"/>
      <c r="HU58" s="135"/>
      <c r="HV58" s="135"/>
      <c r="HW58" s="135"/>
      <c r="HX58" s="14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5"/>
      <c r="II58" s="135"/>
      <c r="IJ58" s="135"/>
      <c r="IK58" s="135"/>
      <c r="IL58" s="135"/>
      <c r="IM58" s="135"/>
      <c r="IN58" s="135"/>
      <c r="IO58" s="135"/>
      <c r="IP58" s="135"/>
      <c r="IQ58" s="135"/>
      <c r="IR58" s="135"/>
      <c r="IS58" s="135"/>
      <c r="IT58" s="135"/>
      <c r="IU58" s="135"/>
      <c r="IV58" s="135"/>
      <c r="IW58" s="135"/>
      <c r="IX58" s="135"/>
      <c r="IY58" s="135"/>
      <c r="IZ58" s="135"/>
      <c r="JA58" s="135"/>
      <c r="JB58" s="135"/>
      <c r="JC58" s="135"/>
      <c r="JD58" s="135"/>
      <c r="JE58" s="135"/>
      <c r="JF58" s="135"/>
      <c r="JG58" s="135"/>
      <c r="JH58" s="135"/>
      <c r="JI58" s="135"/>
      <c r="JJ58" s="135"/>
      <c r="JK58" s="135"/>
      <c r="JL58" s="135"/>
      <c r="JM58" s="135"/>
      <c r="JN58" s="135"/>
      <c r="JO58" s="135"/>
      <c r="JP58" s="135"/>
      <c r="JQ58" s="135"/>
      <c r="JR58" s="135"/>
      <c r="JS58" s="135"/>
    </row>
    <row r="59" spans="1:279" s="144" customFormat="1">
      <c r="A59" s="135"/>
      <c r="B59" s="136"/>
      <c r="C59" s="150"/>
      <c r="D59" s="136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6"/>
      <c r="AV59" s="156"/>
      <c r="AW59" s="156"/>
      <c r="AX59" s="151"/>
      <c r="AY59" s="151"/>
      <c r="AZ59" s="156"/>
      <c r="BA59" s="156"/>
      <c r="BB59" s="156"/>
      <c r="BC59" s="151"/>
      <c r="BD59" s="151"/>
      <c r="BE59" s="156"/>
      <c r="BF59" s="156"/>
      <c r="BG59" s="156"/>
      <c r="BH59" s="151"/>
      <c r="BI59" s="151"/>
      <c r="BJ59" s="156"/>
      <c r="BK59" s="156"/>
      <c r="BL59" s="156"/>
      <c r="BM59" s="151"/>
      <c r="BN59" s="151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35"/>
      <c r="CR59" s="135"/>
      <c r="CS59" s="135"/>
      <c r="CT59" s="156"/>
      <c r="CU59" s="135"/>
      <c r="CV59" s="135"/>
      <c r="CW59" s="135"/>
      <c r="CX59" s="156"/>
      <c r="CY59" s="135"/>
      <c r="CZ59" s="135"/>
      <c r="DA59" s="135"/>
      <c r="DB59" s="156"/>
      <c r="DC59" s="135"/>
      <c r="DD59" s="135"/>
      <c r="DE59" s="135"/>
      <c r="DF59" s="156"/>
      <c r="DG59" s="135"/>
      <c r="DH59" s="135"/>
      <c r="DI59" s="135"/>
      <c r="DJ59" s="156"/>
      <c r="DK59" s="135"/>
      <c r="DL59" s="135"/>
      <c r="DM59" s="135"/>
      <c r="DN59" s="156"/>
      <c r="DO59" s="135"/>
      <c r="DP59" s="135"/>
      <c r="DQ59" s="135"/>
      <c r="DR59" s="156"/>
      <c r="DS59" s="135"/>
      <c r="DT59" s="135"/>
      <c r="DU59" s="135"/>
      <c r="DV59" s="156"/>
      <c r="DW59" s="135"/>
      <c r="DX59" s="135"/>
      <c r="DY59" s="135"/>
      <c r="DZ59" s="156"/>
      <c r="EA59" s="135"/>
      <c r="EB59" s="135"/>
      <c r="EC59" s="135"/>
      <c r="ED59" s="156"/>
      <c r="EE59" s="135"/>
      <c r="EF59" s="135"/>
      <c r="EG59" s="135"/>
      <c r="EH59" s="156"/>
      <c r="EI59" s="135"/>
      <c r="EJ59" s="135"/>
      <c r="EK59" s="135"/>
      <c r="EL59" s="156"/>
      <c r="EM59" s="135"/>
      <c r="EN59" s="135"/>
      <c r="EO59" s="135"/>
      <c r="EP59" s="156"/>
      <c r="EQ59" s="135"/>
      <c r="ER59" s="135"/>
      <c r="ES59" s="135"/>
      <c r="ET59" s="156"/>
      <c r="EU59" s="135"/>
      <c r="EV59" s="135"/>
      <c r="EW59" s="135"/>
      <c r="EX59" s="156"/>
      <c r="EY59" s="135"/>
      <c r="EZ59" s="135"/>
      <c r="FA59" s="135"/>
      <c r="FB59" s="156"/>
      <c r="FC59" s="135"/>
      <c r="FD59" s="135"/>
      <c r="FE59" s="135"/>
      <c r="FF59" s="156"/>
      <c r="FG59" s="135"/>
      <c r="FH59" s="135"/>
      <c r="FI59" s="135"/>
      <c r="FJ59" s="156"/>
      <c r="FK59" s="135"/>
      <c r="FL59" s="135"/>
      <c r="FM59" s="135"/>
      <c r="FN59" s="156"/>
      <c r="FO59" s="135"/>
      <c r="FP59" s="135"/>
      <c r="FQ59" s="135"/>
      <c r="FR59" s="156"/>
      <c r="FS59" s="135"/>
      <c r="FT59" s="135"/>
      <c r="FU59" s="135"/>
      <c r="FV59" s="135"/>
      <c r="FW59" s="135"/>
      <c r="FX59" s="135"/>
      <c r="FY59" s="135"/>
      <c r="FZ59" s="135"/>
      <c r="GA59" s="135"/>
      <c r="GB59" s="135"/>
      <c r="GC59" s="135"/>
      <c r="GD59" s="135"/>
      <c r="GE59" s="135"/>
      <c r="GF59" s="135"/>
      <c r="GG59" s="135"/>
      <c r="GH59" s="135"/>
      <c r="GI59" s="135"/>
      <c r="GJ59" s="135"/>
      <c r="GK59" s="135"/>
      <c r="GL59" s="135"/>
      <c r="GM59" s="135"/>
      <c r="GN59" s="135"/>
      <c r="GO59" s="135"/>
      <c r="GP59" s="135"/>
      <c r="GQ59" s="135"/>
      <c r="GR59" s="135"/>
      <c r="GS59" s="135"/>
      <c r="GT59" s="135"/>
      <c r="GU59" s="135"/>
      <c r="GV59" s="135"/>
      <c r="GW59" s="135"/>
      <c r="GX59" s="135"/>
      <c r="GY59" s="135"/>
      <c r="GZ59" s="135"/>
      <c r="HA59" s="135"/>
      <c r="HB59" s="135"/>
      <c r="HC59" s="135"/>
      <c r="HD59" s="135"/>
      <c r="HE59" s="135"/>
      <c r="HF59" s="135"/>
      <c r="HG59" s="135"/>
      <c r="HH59" s="135"/>
      <c r="HI59" s="135"/>
      <c r="HJ59" s="135"/>
      <c r="HK59" s="135"/>
      <c r="HL59" s="135"/>
      <c r="HM59" s="135"/>
      <c r="HN59" s="135"/>
      <c r="HO59" s="135"/>
      <c r="HP59" s="135"/>
      <c r="HQ59" s="135"/>
      <c r="HR59" s="135"/>
      <c r="HS59" s="135"/>
      <c r="HT59" s="135"/>
      <c r="HU59" s="135"/>
      <c r="HV59" s="135"/>
      <c r="HW59" s="135"/>
      <c r="HX59" s="14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5"/>
      <c r="II59" s="135"/>
      <c r="IJ59" s="135"/>
      <c r="IK59" s="135"/>
      <c r="IL59" s="135"/>
      <c r="IM59" s="135"/>
      <c r="IN59" s="135"/>
      <c r="IO59" s="135"/>
      <c r="IP59" s="135"/>
      <c r="IQ59" s="135"/>
      <c r="IR59" s="135"/>
      <c r="IS59" s="135"/>
      <c r="IT59" s="135"/>
      <c r="IU59" s="135"/>
      <c r="IV59" s="135"/>
      <c r="IW59" s="135"/>
      <c r="IX59" s="135"/>
      <c r="IY59" s="135"/>
      <c r="IZ59" s="135"/>
      <c r="JA59" s="135"/>
      <c r="JB59" s="135"/>
      <c r="JC59" s="135"/>
      <c r="JD59" s="135"/>
      <c r="JE59" s="135"/>
      <c r="JF59" s="135"/>
      <c r="JG59" s="135"/>
      <c r="JH59" s="135"/>
      <c r="JI59" s="135"/>
      <c r="JJ59" s="135"/>
      <c r="JK59" s="135"/>
      <c r="JL59" s="135"/>
      <c r="JM59" s="135"/>
      <c r="JN59" s="135"/>
      <c r="JO59" s="135"/>
      <c r="JP59" s="135"/>
      <c r="JQ59" s="135"/>
      <c r="JR59" s="135"/>
      <c r="JS59" s="135"/>
    </row>
    <row r="60" spans="1:279" s="144" customFormat="1">
      <c r="A60" s="135"/>
      <c r="B60" s="136"/>
      <c r="C60" s="150"/>
      <c r="D60" s="136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6"/>
      <c r="AV60" s="156"/>
      <c r="AW60" s="156"/>
      <c r="AX60" s="151"/>
      <c r="AY60" s="151"/>
      <c r="AZ60" s="156"/>
      <c r="BA60" s="156"/>
      <c r="BB60" s="156"/>
      <c r="BC60" s="151"/>
      <c r="BD60" s="151"/>
      <c r="BE60" s="156"/>
      <c r="BF60" s="156"/>
      <c r="BG60" s="156"/>
      <c r="BH60" s="151"/>
      <c r="BI60" s="151"/>
      <c r="BJ60" s="156"/>
      <c r="BK60" s="156"/>
      <c r="BL60" s="156"/>
      <c r="BM60" s="151"/>
      <c r="BN60" s="151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35"/>
      <c r="CR60" s="135"/>
      <c r="CS60" s="135"/>
      <c r="CT60" s="156"/>
      <c r="CU60" s="135"/>
      <c r="CV60" s="135"/>
      <c r="CW60" s="135"/>
      <c r="CX60" s="156"/>
      <c r="CY60" s="135"/>
      <c r="CZ60" s="135"/>
      <c r="DA60" s="135"/>
      <c r="DB60" s="156"/>
      <c r="DC60" s="135"/>
      <c r="DD60" s="135"/>
      <c r="DE60" s="135"/>
      <c r="DF60" s="156"/>
      <c r="DG60" s="135"/>
      <c r="DH60" s="135"/>
      <c r="DI60" s="135"/>
      <c r="DJ60" s="156"/>
      <c r="DK60" s="135"/>
      <c r="DL60" s="135"/>
      <c r="DM60" s="135"/>
      <c r="DN60" s="156"/>
      <c r="DO60" s="135"/>
      <c r="DP60" s="135"/>
      <c r="DQ60" s="135"/>
      <c r="DR60" s="156"/>
      <c r="DS60" s="135"/>
      <c r="DT60" s="135"/>
      <c r="DU60" s="135"/>
      <c r="DV60" s="156"/>
      <c r="DW60" s="135"/>
      <c r="DX60" s="135"/>
      <c r="DY60" s="135"/>
      <c r="DZ60" s="156"/>
      <c r="EA60" s="135"/>
      <c r="EB60" s="135"/>
      <c r="EC60" s="135"/>
      <c r="ED60" s="156"/>
      <c r="EE60" s="135"/>
      <c r="EF60" s="135"/>
      <c r="EG60" s="135"/>
      <c r="EH60" s="156"/>
      <c r="EI60" s="135"/>
      <c r="EJ60" s="135"/>
      <c r="EK60" s="135"/>
      <c r="EL60" s="156"/>
      <c r="EM60" s="135"/>
      <c r="EN60" s="135"/>
      <c r="EO60" s="135"/>
      <c r="EP60" s="156"/>
      <c r="EQ60" s="135"/>
      <c r="ER60" s="135"/>
      <c r="ES60" s="135"/>
      <c r="ET60" s="156"/>
      <c r="EU60" s="135"/>
      <c r="EV60" s="135"/>
      <c r="EW60" s="135"/>
      <c r="EX60" s="156"/>
      <c r="EY60" s="135"/>
      <c r="EZ60" s="135"/>
      <c r="FA60" s="135"/>
      <c r="FB60" s="156"/>
      <c r="FC60" s="135"/>
      <c r="FD60" s="135"/>
      <c r="FE60" s="135"/>
      <c r="FF60" s="156"/>
      <c r="FG60" s="135"/>
      <c r="FH60" s="135"/>
      <c r="FI60" s="135"/>
      <c r="FJ60" s="156"/>
      <c r="FK60" s="135"/>
      <c r="FL60" s="135"/>
      <c r="FM60" s="135"/>
      <c r="FN60" s="156"/>
      <c r="FO60" s="135"/>
      <c r="FP60" s="135"/>
      <c r="FQ60" s="135"/>
      <c r="FR60" s="156"/>
      <c r="FS60" s="135"/>
      <c r="FT60" s="135"/>
      <c r="FU60" s="135"/>
      <c r="FV60" s="135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  <c r="GG60" s="135"/>
      <c r="GH60" s="135"/>
      <c r="GI60" s="135"/>
      <c r="GJ60" s="135"/>
      <c r="GK60" s="135"/>
      <c r="GL60" s="135"/>
      <c r="GM60" s="135"/>
      <c r="GN60" s="135"/>
      <c r="GO60" s="135"/>
      <c r="GP60" s="135"/>
      <c r="GQ60" s="135"/>
      <c r="GR60" s="135"/>
      <c r="GS60" s="135"/>
      <c r="GT60" s="135"/>
      <c r="GU60" s="135"/>
      <c r="GV60" s="135"/>
      <c r="GW60" s="135"/>
      <c r="GX60" s="135"/>
      <c r="GY60" s="135"/>
      <c r="GZ60" s="135"/>
      <c r="HA60" s="135"/>
      <c r="HB60" s="135"/>
      <c r="HC60" s="135"/>
      <c r="HD60" s="135"/>
      <c r="HE60" s="135"/>
      <c r="HF60" s="135"/>
      <c r="HG60" s="135"/>
      <c r="HH60" s="135"/>
      <c r="HI60" s="135"/>
      <c r="HJ60" s="135"/>
      <c r="HK60" s="135"/>
      <c r="HL60" s="135"/>
      <c r="HM60" s="135"/>
      <c r="HN60" s="135"/>
      <c r="HO60" s="135"/>
      <c r="HP60" s="135"/>
      <c r="HQ60" s="135"/>
      <c r="HR60" s="135"/>
      <c r="HS60" s="135"/>
      <c r="HT60" s="135"/>
      <c r="HU60" s="135"/>
      <c r="HV60" s="135"/>
      <c r="HW60" s="135"/>
      <c r="HX60" s="145"/>
      <c r="HY60" s="135"/>
      <c r="HZ60" s="135"/>
      <c r="IA60" s="135"/>
      <c r="IB60" s="135"/>
      <c r="IC60" s="135"/>
      <c r="ID60" s="135"/>
      <c r="IE60" s="135"/>
      <c r="IF60" s="135"/>
      <c r="IG60" s="135"/>
      <c r="IH60" s="135"/>
      <c r="II60" s="135"/>
      <c r="IJ60" s="135"/>
      <c r="IK60" s="135"/>
      <c r="IL60" s="135"/>
      <c r="IM60" s="135"/>
      <c r="IN60" s="135"/>
      <c r="IO60" s="135"/>
      <c r="IP60" s="135"/>
      <c r="IQ60" s="135"/>
      <c r="IR60" s="135"/>
      <c r="IS60" s="135"/>
      <c r="IT60" s="135"/>
      <c r="IU60" s="135"/>
      <c r="IV60" s="135"/>
      <c r="IW60" s="135"/>
      <c r="IX60" s="135"/>
      <c r="IY60" s="135"/>
      <c r="IZ60" s="135"/>
      <c r="JA60" s="135"/>
      <c r="JB60" s="135"/>
      <c r="JC60" s="135"/>
      <c r="JD60" s="135"/>
      <c r="JE60" s="135"/>
      <c r="JF60" s="135"/>
      <c r="JG60" s="135"/>
      <c r="JH60" s="135"/>
      <c r="JI60" s="135"/>
      <c r="JJ60" s="135"/>
      <c r="JK60" s="135"/>
      <c r="JL60" s="135"/>
      <c r="JM60" s="135"/>
      <c r="JN60" s="135"/>
      <c r="JO60" s="135"/>
      <c r="JP60" s="135"/>
      <c r="JQ60" s="135"/>
      <c r="JR60" s="135"/>
      <c r="JS60" s="135"/>
    </row>
    <row r="61" spans="1:279" s="144" customFormat="1">
      <c r="A61" s="135"/>
      <c r="B61" s="136"/>
      <c r="C61" s="150"/>
      <c r="D61" s="136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6"/>
      <c r="AV61" s="156"/>
      <c r="AW61" s="156"/>
      <c r="AX61" s="151"/>
      <c r="AY61" s="151"/>
      <c r="AZ61" s="156"/>
      <c r="BA61" s="156"/>
      <c r="BB61" s="156"/>
      <c r="BC61" s="151"/>
      <c r="BD61" s="151"/>
      <c r="BE61" s="156"/>
      <c r="BF61" s="156"/>
      <c r="BG61" s="156"/>
      <c r="BH61" s="151"/>
      <c r="BI61" s="151"/>
      <c r="BJ61" s="156"/>
      <c r="BK61" s="156"/>
      <c r="BL61" s="156"/>
      <c r="BM61" s="151"/>
      <c r="BN61" s="151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35"/>
      <c r="CR61" s="135"/>
      <c r="CS61" s="135"/>
      <c r="CT61" s="156"/>
      <c r="CU61" s="135"/>
      <c r="CV61" s="135"/>
      <c r="CW61" s="135"/>
      <c r="CX61" s="156"/>
      <c r="CY61" s="135"/>
      <c r="CZ61" s="135"/>
      <c r="DA61" s="135"/>
      <c r="DB61" s="156"/>
      <c r="DC61" s="135"/>
      <c r="DD61" s="135"/>
      <c r="DE61" s="135"/>
      <c r="DF61" s="156"/>
      <c r="DG61" s="135"/>
      <c r="DH61" s="135"/>
      <c r="DI61" s="135"/>
      <c r="DJ61" s="156"/>
      <c r="DK61" s="135"/>
      <c r="DL61" s="135"/>
      <c r="DM61" s="135"/>
      <c r="DN61" s="156"/>
      <c r="DO61" s="135"/>
      <c r="DP61" s="135"/>
      <c r="DQ61" s="135"/>
      <c r="DR61" s="156"/>
      <c r="DS61" s="135"/>
      <c r="DT61" s="135"/>
      <c r="DU61" s="135"/>
      <c r="DV61" s="156"/>
      <c r="DW61" s="135"/>
      <c r="DX61" s="135"/>
      <c r="DY61" s="135"/>
      <c r="DZ61" s="156"/>
      <c r="EA61" s="135"/>
      <c r="EB61" s="135"/>
      <c r="EC61" s="135"/>
      <c r="ED61" s="156"/>
      <c r="EE61" s="135"/>
      <c r="EF61" s="135"/>
      <c r="EG61" s="135"/>
      <c r="EH61" s="156"/>
      <c r="EI61" s="135"/>
      <c r="EJ61" s="135"/>
      <c r="EK61" s="135"/>
      <c r="EL61" s="156"/>
      <c r="EM61" s="135"/>
      <c r="EN61" s="135"/>
      <c r="EO61" s="135"/>
      <c r="EP61" s="156"/>
      <c r="EQ61" s="135"/>
      <c r="ER61" s="135"/>
      <c r="ES61" s="135"/>
      <c r="ET61" s="156"/>
      <c r="EU61" s="135"/>
      <c r="EV61" s="135"/>
      <c r="EW61" s="135"/>
      <c r="EX61" s="156"/>
      <c r="EY61" s="135"/>
      <c r="EZ61" s="135"/>
      <c r="FA61" s="135"/>
      <c r="FB61" s="156"/>
      <c r="FC61" s="135"/>
      <c r="FD61" s="135"/>
      <c r="FE61" s="135"/>
      <c r="FF61" s="156"/>
      <c r="FG61" s="135"/>
      <c r="FH61" s="135"/>
      <c r="FI61" s="135"/>
      <c r="FJ61" s="156"/>
      <c r="FK61" s="135"/>
      <c r="FL61" s="135"/>
      <c r="FM61" s="135"/>
      <c r="FN61" s="156"/>
      <c r="FO61" s="135"/>
      <c r="FP61" s="135"/>
      <c r="FQ61" s="135"/>
      <c r="FR61" s="156"/>
      <c r="FS61" s="135"/>
      <c r="FT61" s="135"/>
      <c r="FU61" s="135"/>
      <c r="FV61" s="135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  <c r="GG61" s="135"/>
      <c r="GH61" s="135"/>
      <c r="GI61" s="135"/>
      <c r="GJ61" s="135"/>
      <c r="GK61" s="135"/>
      <c r="GL61" s="135"/>
      <c r="GM61" s="135"/>
      <c r="GN61" s="135"/>
      <c r="GO61" s="135"/>
      <c r="GP61" s="135"/>
      <c r="GQ61" s="135"/>
      <c r="GR61" s="135"/>
      <c r="GS61" s="135"/>
      <c r="GT61" s="135"/>
      <c r="GU61" s="135"/>
      <c r="GV61" s="135"/>
      <c r="GW61" s="135"/>
      <c r="GX61" s="135"/>
      <c r="GY61" s="135"/>
      <c r="GZ61" s="135"/>
      <c r="HA61" s="135"/>
      <c r="HB61" s="135"/>
      <c r="HC61" s="135"/>
      <c r="HD61" s="135"/>
      <c r="HE61" s="135"/>
      <c r="HF61" s="135"/>
      <c r="HG61" s="135"/>
      <c r="HH61" s="135"/>
      <c r="HI61" s="135"/>
      <c r="HJ61" s="135"/>
      <c r="HK61" s="135"/>
      <c r="HL61" s="135"/>
      <c r="HM61" s="135"/>
      <c r="HN61" s="135"/>
      <c r="HO61" s="135"/>
      <c r="HP61" s="135"/>
      <c r="HQ61" s="135"/>
      <c r="HR61" s="135"/>
      <c r="HS61" s="135"/>
      <c r="HT61" s="135"/>
      <c r="HU61" s="135"/>
      <c r="HV61" s="135"/>
      <c r="HW61" s="135"/>
      <c r="HX61" s="145"/>
      <c r="HY61" s="135"/>
      <c r="HZ61" s="135"/>
      <c r="IA61" s="135"/>
      <c r="IB61" s="135"/>
      <c r="IC61" s="135"/>
      <c r="ID61" s="135"/>
      <c r="IE61" s="135"/>
      <c r="IF61" s="135"/>
      <c r="IG61" s="135"/>
      <c r="IH61" s="135"/>
      <c r="II61" s="135"/>
      <c r="IJ61" s="135"/>
      <c r="IK61" s="135"/>
      <c r="IL61" s="135"/>
      <c r="IM61" s="135"/>
      <c r="IN61" s="135"/>
      <c r="IO61" s="135"/>
      <c r="IP61" s="135"/>
      <c r="IQ61" s="135"/>
      <c r="IR61" s="135"/>
      <c r="IS61" s="135"/>
      <c r="IT61" s="135"/>
      <c r="IU61" s="135"/>
      <c r="IV61" s="135"/>
      <c r="IW61" s="135"/>
      <c r="IX61" s="135"/>
      <c r="IY61" s="135"/>
      <c r="IZ61" s="135"/>
      <c r="JA61" s="135"/>
      <c r="JB61" s="135"/>
      <c r="JC61" s="135"/>
      <c r="JD61" s="135"/>
      <c r="JE61" s="135"/>
      <c r="JF61" s="135"/>
      <c r="JG61" s="135"/>
      <c r="JH61" s="135"/>
      <c r="JI61" s="135"/>
      <c r="JJ61" s="135"/>
      <c r="JK61" s="135"/>
      <c r="JL61" s="135"/>
      <c r="JM61" s="135"/>
      <c r="JN61" s="135"/>
      <c r="JO61" s="135"/>
      <c r="JP61" s="135"/>
      <c r="JQ61" s="135"/>
      <c r="JR61" s="135"/>
      <c r="JS61" s="135"/>
    </row>
    <row r="62" spans="1:279" s="144" customFormat="1">
      <c r="A62" s="135"/>
      <c r="B62" s="136"/>
      <c r="C62" s="150"/>
      <c r="D62" s="136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6"/>
      <c r="AV62" s="156"/>
      <c r="AW62" s="156"/>
      <c r="AX62" s="151"/>
      <c r="AY62" s="151"/>
      <c r="AZ62" s="156"/>
      <c r="BA62" s="156"/>
      <c r="BB62" s="156"/>
      <c r="BC62" s="151"/>
      <c r="BD62" s="151"/>
      <c r="BE62" s="156"/>
      <c r="BF62" s="156"/>
      <c r="BG62" s="156"/>
      <c r="BH62" s="151"/>
      <c r="BI62" s="151"/>
      <c r="BJ62" s="156"/>
      <c r="BK62" s="156"/>
      <c r="BL62" s="156"/>
      <c r="BM62" s="151"/>
      <c r="BN62" s="151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35"/>
      <c r="CR62" s="135"/>
      <c r="CS62" s="135"/>
      <c r="CT62" s="156"/>
      <c r="CU62" s="135"/>
      <c r="CV62" s="135"/>
      <c r="CW62" s="135"/>
      <c r="CX62" s="156"/>
      <c r="CY62" s="135"/>
      <c r="CZ62" s="135"/>
      <c r="DA62" s="135"/>
      <c r="DB62" s="156"/>
      <c r="DC62" s="135"/>
      <c r="DD62" s="135"/>
      <c r="DE62" s="135"/>
      <c r="DF62" s="156"/>
      <c r="DG62" s="135"/>
      <c r="DH62" s="135"/>
      <c r="DI62" s="135"/>
      <c r="DJ62" s="156"/>
      <c r="DK62" s="135"/>
      <c r="DL62" s="135"/>
      <c r="DM62" s="135"/>
      <c r="DN62" s="156"/>
      <c r="DO62" s="135"/>
      <c r="DP62" s="135"/>
      <c r="DQ62" s="135"/>
      <c r="DR62" s="156"/>
      <c r="DS62" s="135"/>
      <c r="DT62" s="135"/>
      <c r="DU62" s="135"/>
      <c r="DV62" s="156"/>
      <c r="DW62" s="135"/>
      <c r="DX62" s="135"/>
      <c r="DY62" s="135"/>
      <c r="DZ62" s="156"/>
      <c r="EA62" s="135"/>
      <c r="EB62" s="135"/>
      <c r="EC62" s="135"/>
      <c r="ED62" s="156"/>
      <c r="EE62" s="135"/>
      <c r="EF62" s="135"/>
      <c r="EG62" s="135"/>
      <c r="EH62" s="156"/>
      <c r="EI62" s="135"/>
      <c r="EJ62" s="135"/>
      <c r="EK62" s="135"/>
      <c r="EL62" s="156"/>
      <c r="EM62" s="135"/>
      <c r="EN62" s="135"/>
      <c r="EO62" s="135"/>
      <c r="EP62" s="156"/>
      <c r="EQ62" s="135"/>
      <c r="ER62" s="135"/>
      <c r="ES62" s="135"/>
      <c r="ET62" s="156"/>
      <c r="EU62" s="135"/>
      <c r="EV62" s="135"/>
      <c r="EW62" s="135"/>
      <c r="EX62" s="156"/>
      <c r="EY62" s="135"/>
      <c r="EZ62" s="135"/>
      <c r="FA62" s="135"/>
      <c r="FB62" s="156"/>
      <c r="FC62" s="135"/>
      <c r="FD62" s="135"/>
      <c r="FE62" s="135"/>
      <c r="FF62" s="156"/>
      <c r="FG62" s="135"/>
      <c r="FH62" s="135"/>
      <c r="FI62" s="135"/>
      <c r="FJ62" s="156"/>
      <c r="FK62" s="135"/>
      <c r="FL62" s="135"/>
      <c r="FM62" s="135"/>
      <c r="FN62" s="156"/>
      <c r="FO62" s="135"/>
      <c r="FP62" s="135"/>
      <c r="FQ62" s="135"/>
      <c r="FR62" s="156"/>
      <c r="FS62" s="135"/>
      <c r="FT62" s="135"/>
      <c r="FU62" s="135"/>
      <c r="FV62" s="135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5"/>
      <c r="GI62" s="135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5"/>
      <c r="GV62" s="135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5"/>
      <c r="HI62" s="135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5"/>
      <c r="HV62" s="135"/>
      <c r="HW62" s="135"/>
      <c r="HX62" s="14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5"/>
      <c r="II62" s="135"/>
      <c r="IJ62" s="135"/>
      <c r="IK62" s="135"/>
      <c r="IL62" s="135"/>
      <c r="IM62" s="135"/>
      <c r="IN62" s="135"/>
      <c r="IO62" s="135"/>
      <c r="IP62" s="135"/>
      <c r="IQ62" s="135"/>
      <c r="IR62" s="135"/>
      <c r="IS62" s="135"/>
      <c r="IT62" s="135"/>
      <c r="IU62" s="135"/>
      <c r="IV62" s="135"/>
      <c r="IW62" s="135"/>
      <c r="IX62" s="135"/>
      <c r="IY62" s="135"/>
      <c r="IZ62" s="135"/>
      <c r="JA62" s="135"/>
      <c r="JB62" s="135"/>
      <c r="JC62" s="135"/>
      <c r="JD62" s="135"/>
      <c r="JE62" s="135"/>
      <c r="JF62" s="135"/>
      <c r="JG62" s="135"/>
      <c r="JH62" s="135"/>
      <c r="JI62" s="135"/>
      <c r="JJ62" s="135"/>
      <c r="JK62" s="135"/>
      <c r="JL62" s="135"/>
      <c r="JM62" s="135"/>
      <c r="JN62" s="135"/>
      <c r="JO62" s="135"/>
      <c r="JP62" s="135"/>
      <c r="JQ62" s="135"/>
      <c r="JR62" s="135"/>
      <c r="JS62" s="135"/>
    </row>
    <row r="63" spans="1:279" s="144" customFormat="1">
      <c r="A63" s="135"/>
      <c r="B63" s="136"/>
      <c r="C63" s="150"/>
      <c r="D63" s="136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6"/>
      <c r="AV63" s="156"/>
      <c r="AW63" s="156"/>
      <c r="AX63" s="151"/>
      <c r="AY63" s="151"/>
      <c r="AZ63" s="156"/>
      <c r="BA63" s="156"/>
      <c r="BB63" s="156"/>
      <c r="BC63" s="151"/>
      <c r="BD63" s="151"/>
      <c r="BE63" s="156"/>
      <c r="BF63" s="156"/>
      <c r="BG63" s="156"/>
      <c r="BH63" s="151"/>
      <c r="BI63" s="151"/>
      <c r="BJ63" s="156"/>
      <c r="BK63" s="156"/>
      <c r="BL63" s="156"/>
      <c r="BM63" s="151"/>
      <c r="BN63" s="151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35"/>
      <c r="CR63" s="135"/>
      <c r="CS63" s="135"/>
      <c r="CT63" s="156"/>
      <c r="CU63" s="135"/>
      <c r="CV63" s="135"/>
      <c r="CW63" s="135"/>
      <c r="CX63" s="156"/>
      <c r="CY63" s="135"/>
      <c r="CZ63" s="135"/>
      <c r="DA63" s="135"/>
      <c r="DB63" s="156"/>
      <c r="DC63" s="135"/>
      <c r="DD63" s="135"/>
      <c r="DE63" s="135"/>
      <c r="DF63" s="156"/>
      <c r="DG63" s="135"/>
      <c r="DH63" s="135"/>
      <c r="DI63" s="135"/>
      <c r="DJ63" s="156"/>
      <c r="DK63" s="135"/>
      <c r="DL63" s="135"/>
      <c r="DM63" s="135"/>
      <c r="DN63" s="156"/>
      <c r="DO63" s="135"/>
      <c r="DP63" s="135"/>
      <c r="DQ63" s="135"/>
      <c r="DR63" s="156"/>
      <c r="DS63" s="135"/>
      <c r="DT63" s="135"/>
      <c r="DU63" s="135"/>
      <c r="DV63" s="156"/>
      <c r="DW63" s="135"/>
      <c r="DX63" s="135"/>
      <c r="DY63" s="135"/>
      <c r="DZ63" s="156"/>
      <c r="EA63" s="135"/>
      <c r="EB63" s="135"/>
      <c r="EC63" s="135"/>
      <c r="ED63" s="156"/>
      <c r="EE63" s="135"/>
      <c r="EF63" s="135"/>
      <c r="EG63" s="135"/>
      <c r="EH63" s="156"/>
      <c r="EI63" s="135"/>
      <c r="EJ63" s="135"/>
      <c r="EK63" s="135"/>
      <c r="EL63" s="156"/>
      <c r="EM63" s="135"/>
      <c r="EN63" s="135"/>
      <c r="EO63" s="135"/>
      <c r="EP63" s="156"/>
      <c r="EQ63" s="135"/>
      <c r="ER63" s="135"/>
      <c r="ES63" s="135"/>
      <c r="ET63" s="156"/>
      <c r="EU63" s="135"/>
      <c r="EV63" s="135"/>
      <c r="EW63" s="135"/>
      <c r="EX63" s="156"/>
      <c r="EY63" s="135"/>
      <c r="EZ63" s="135"/>
      <c r="FA63" s="135"/>
      <c r="FB63" s="156"/>
      <c r="FC63" s="135"/>
      <c r="FD63" s="135"/>
      <c r="FE63" s="135"/>
      <c r="FF63" s="156"/>
      <c r="FG63" s="135"/>
      <c r="FH63" s="135"/>
      <c r="FI63" s="135"/>
      <c r="FJ63" s="156"/>
      <c r="FK63" s="135"/>
      <c r="FL63" s="135"/>
      <c r="FM63" s="135"/>
      <c r="FN63" s="156"/>
      <c r="FO63" s="135"/>
      <c r="FP63" s="135"/>
      <c r="FQ63" s="135"/>
      <c r="FR63" s="156"/>
      <c r="FS63" s="135"/>
      <c r="FT63" s="135"/>
      <c r="FU63" s="135"/>
      <c r="FV63" s="135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  <c r="GG63" s="135"/>
      <c r="GH63" s="135"/>
      <c r="GI63" s="135"/>
      <c r="GJ63" s="135"/>
      <c r="GK63" s="135"/>
      <c r="GL63" s="135"/>
      <c r="GM63" s="135"/>
      <c r="GN63" s="135"/>
      <c r="GO63" s="135"/>
      <c r="GP63" s="135"/>
      <c r="GQ63" s="135"/>
      <c r="GR63" s="135"/>
      <c r="GS63" s="135"/>
      <c r="GT63" s="135"/>
      <c r="GU63" s="135"/>
      <c r="GV63" s="135"/>
      <c r="GW63" s="135"/>
      <c r="GX63" s="135"/>
      <c r="GY63" s="135"/>
      <c r="GZ63" s="135"/>
      <c r="HA63" s="135"/>
      <c r="HB63" s="135"/>
      <c r="HC63" s="135"/>
      <c r="HD63" s="135"/>
      <c r="HE63" s="135"/>
      <c r="HF63" s="135"/>
      <c r="HG63" s="135"/>
      <c r="HH63" s="135"/>
      <c r="HI63" s="135"/>
      <c r="HJ63" s="135"/>
      <c r="HK63" s="135"/>
      <c r="HL63" s="135"/>
      <c r="HM63" s="135"/>
      <c r="HN63" s="135"/>
      <c r="HO63" s="135"/>
      <c r="HP63" s="135"/>
      <c r="HQ63" s="135"/>
      <c r="HR63" s="135"/>
      <c r="HS63" s="135"/>
      <c r="HT63" s="135"/>
      <c r="HU63" s="135"/>
      <c r="HV63" s="135"/>
      <c r="HW63" s="135"/>
      <c r="HX63" s="145"/>
      <c r="HY63" s="135"/>
      <c r="HZ63" s="135"/>
      <c r="IA63" s="135"/>
      <c r="IB63" s="135"/>
      <c r="IC63" s="135"/>
      <c r="ID63" s="135"/>
      <c r="IE63" s="135"/>
      <c r="IF63" s="135"/>
      <c r="IG63" s="135"/>
      <c r="IH63" s="135"/>
      <c r="II63" s="135"/>
      <c r="IJ63" s="135"/>
      <c r="IK63" s="135"/>
      <c r="IL63" s="135"/>
      <c r="IM63" s="135"/>
      <c r="IN63" s="135"/>
      <c r="IO63" s="135"/>
      <c r="IP63" s="135"/>
      <c r="IQ63" s="135"/>
      <c r="IR63" s="135"/>
      <c r="IS63" s="135"/>
      <c r="IT63" s="135"/>
      <c r="IU63" s="135"/>
      <c r="IV63" s="135"/>
      <c r="IW63" s="135"/>
      <c r="IX63" s="135"/>
      <c r="IY63" s="135"/>
      <c r="IZ63" s="135"/>
      <c r="JA63" s="135"/>
      <c r="JB63" s="135"/>
      <c r="JC63" s="135"/>
      <c r="JD63" s="135"/>
      <c r="JE63" s="135"/>
      <c r="JF63" s="135"/>
      <c r="JG63" s="135"/>
      <c r="JH63" s="135"/>
      <c r="JI63" s="135"/>
      <c r="JJ63" s="135"/>
      <c r="JK63" s="135"/>
      <c r="JL63" s="135"/>
      <c r="JM63" s="135"/>
      <c r="JN63" s="135"/>
      <c r="JO63" s="135"/>
      <c r="JP63" s="135"/>
      <c r="JQ63" s="135"/>
      <c r="JR63" s="135"/>
      <c r="JS63" s="135"/>
    </row>
    <row r="64" spans="1:279" s="144" customFormat="1">
      <c r="A64" s="135"/>
      <c r="B64" s="136"/>
      <c r="C64" s="150"/>
      <c r="D64" s="136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6"/>
      <c r="AV64" s="156"/>
      <c r="AW64" s="156"/>
      <c r="AX64" s="151"/>
      <c r="AY64" s="151"/>
      <c r="AZ64" s="156"/>
      <c r="BA64" s="156"/>
      <c r="BB64" s="156"/>
      <c r="BC64" s="151"/>
      <c r="BD64" s="151"/>
      <c r="BE64" s="156"/>
      <c r="BF64" s="156"/>
      <c r="BG64" s="156"/>
      <c r="BH64" s="151"/>
      <c r="BI64" s="151"/>
      <c r="BJ64" s="156"/>
      <c r="BK64" s="156"/>
      <c r="BL64" s="156"/>
      <c r="BM64" s="151"/>
      <c r="BN64" s="151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35"/>
      <c r="CR64" s="135"/>
      <c r="CS64" s="135"/>
      <c r="CT64" s="156"/>
      <c r="CU64" s="135"/>
      <c r="CV64" s="135"/>
      <c r="CW64" s="135"/>
      <c r="CX64" s="156"/>
      <c r="CY64" s="135"/>
      <c r="CZ64" s="135"/>
      <c r="DA64" s="135"/>
      <c r="DB64" s="156"/>
      <c r="DC64" s="135"/>
      <c r="DD64" s="135"/>
      <c r="DE64" s="135"/>
      <c r="DF64" s="156"/>
      <c r="DG64" s="135"/>
      <c r="DH64" s="135"/>
      <c r="DI64" s="135"/>
      <c r="DJ64" s="156"/>
      <c r="DK64" s="135"/>
      <c r="DL64" s="135"/>
      <c r="DM64" s="135"/>
      <c r="DN64" s="156"/>
      <c r="DO64" s="135"/>
      <c r="DP64" s="135"/>
      <c r="DQ64" s="135"/>
      <c r="DR64" s="156"/>
      <c r="DS64" s="135"/>
      <c r="DT64" s="135"/>
      <c r="DU64" s="135"/>
      <c r="DV64" s="156"/>
      <c r="DW64" s="135"/>
      <c r="DX64" s="135"/>
      <c r="DY64" s="135"/>
      <c r="DZ64" s="156"/>
      <c r="EA64" s="135"/>
      <c r="EB64" s="135"/>
      <c r="EC64" s="135"/>
      <c r="ED64" s="156"/>
      <c r="EE64" s="135"/>
      <c r="EF64" s="135"/>
      <c r="EG64" s="135"/>
      <c r="EH64" s="156"/>
      <c r="EI64" s="135"/>
      <c r="EJ64" s="135"/>
      <c r="EK64" s="135"/>
      <c r="EL64" s="156"/>
      <c r="EM64" s="135"/>
      <c r="EN64" s="135"/>
      <c r="EO64" s="135"/>
      <c r="EP64" s="156"/>
      <c r="EQ64" s="135"/>
      <c r="ER64" s="135"/>
      <c r="ES64" s="135"/>
      <c r="ET64" s="156"/>
      <c r="EU64" s="135"/>
      <c r="EV64" s="135"/>
      <c r="EW64" s="135"/>
      <c r="EX64" s="156"/>
      <c r="EY64" s="135"/>
      <c r="EZ64" s="135"/>
      <c r="FA64" s="135"/>
      <c r="FB64" s="156"/>
      <c r="FC64" s="135"/>
      <c r="FD64" s="135"/>
      <c r="FE64" s="135"/>
      <c r="FF64" s="156"/>
      <c r="FG64" s="135"/>
      <c r="FH64" s="135"/>
      <c r="FI64" s="135"/>
      <c r="FJ64" s="156"/>
      <c r="FK64" s="135"/>
      <c r="FL64" s="135"/>
      <c r="FM64" s="135"/>
      <c r="FN64" s="156"/>
      <c r="FO64" s="135"/>
      <c r="FP64" s="135"/>
      <c r="FQ64" s="135"/>
      <c r="FR64" s="156"/>
      <c r="FS64" s="135"/>
      <c r="FT64" s="135"/>
      <c r="FU64" s="135"/>
      <c r="FV64" s="135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5"/>
      <c r="GI64" s="135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5"/>
      <c r="GV64" s="135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5"/>
      <c r="HI64" s="135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5"/>
      <c r="HV64" s="135"/>
      <c r="HW64" s="135"/>
      <c r="HX64" s="14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5"/>
      <c r="II64" s="135"/>
      <c r="IJ64" s="135"/>
      <c r="IK64" s="135"/>
      <c r="IL64" s="135"/>
      <c r="IM64" s="135"/>
      <c r="IN64" s="135"/>
      <c r="IO64" s="135"/>
      <c r="IP64" s="135"/>
      <c r="IQ64" s="135"/>
      <c r="IR64" s="135"/>
      <c r="IS64" s="135"/>
      <c r="IT64" s="135"/>
      <c r="IU64" s="135"/>
      <c r="IV64" s="135"/>
      <c r="IW64" s="135"/>
      <c r="IX64" s="135"/>
      <c r="IY64" s="135"/>
      <c r="IZ64" s="135"/>
      <c r="JA64" s="135"/>
      <c r="JB64" s="135"/>
      <c r="JC64" s="135"/>
      <c r="JD64" s="135"/>
      <c r="JE64" s="135"/>
      <c r="JF64" s="135"/>
      <c r="JG64" s="135"/>
      <c r="JH64" s="135"/>
      <c r="JI64" s="135"/>
      <c r="JJ64" s="135"/>
      <c r="JK64" s="135"/>
      <c r="JL64" s="135"/>
      <c r="JM64" s="135"/>
      <c r="JN64" s="135"/>
      <c r="JO64" s="135"/>
      <c r="JP64" s="135"/>
      <c r="JQ64" s="135"/>
      <c r="JR64" s="135"/>
      <c r="JS64" s="135"/>
    </row>
    <row r="65" spans="1:279" s="144" customFormat="1">
      <c r="A65" s="135"/>
      <c r="B65" s="136"/>
      <c r="C65" s="150"/>
      <c r="D65" s="136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6"/>
      <c r="AV65" s="156"/>
      <c r="AW65" s="156"/>
      <c r="AX65" s="151"/>
      <c r="AY65" s="151"/>
      <c r="AZ65" s="156"/>
      <c r="BA65" s="156"/>
      <c r="BB65" s="156"/>
      <c r="BC65" s="151"/>
      <c r="BD65" s="151"/>
      <c r="BE65" s="156"/>
      <c r="BF65" s="156"/>
      <c r="BG65" s="156"/>
      <c r="BH65" s="151"/>
      <c r="BI65" s="151"/>
      <c r="BJ65" s="156"/>
      <c r="BK65" s="156"/>
      <c r="BL65" s="156"/>
      <c r="BM65" s="151"/>
      <c r="BN65" s="151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35"/>
      <c r="CR65" s="135"/>
      <c r="CS65" s="135"/>
      <c r="CT65" s="156"/>
      <c r="CU65" s="135"/>
      <c r="CV65" s="135"/>
      <c r="CW65" s="135"/>
      <c r="CX65" s="156"/>
      <c r="CY65" s="135"/>
      <c r="CZ65" s="135"/>
      <c r="DA65" s="135"/>
      <c r="DB65" s="156"/>
      <c r="DC65" s="135"/>
      <c r="DD65" s="135"/>
      <c r="DE65" s="135"/>
      <c r="DF65" s="156"/>
      <c r="DG65" s="135"/>
      <c r="DH65" s="135"/>
      <c r="DI65" s="135"/>
      <c r="DJ65" s="156"/>
      <c r="DK65" s="135"/>
      <c r="DL65" s="135"/>
      <c r="DM65" s="135"/>
      <c r="DN65" s="156"/>
      <c r="DO65" s="135"/>
      <c r="DP65" s="135"/>
      <c r="DQ65" s="135"/>
      <c r="DR65" s="156"/>
      <c r="DS65" s="135"/>
      <c r="DT65" s="135"/>
      <c r="DU65" s="135"/>
      <c r="DV65" s="156"/>
      <c r="DW65" s="135"/>
      <c r="DX65" s="135"/>
      <c r="DY65" s="135"/>
      <c r="DZ65" s="156"/>
      <c r="EA65" s="135"/>
      <c r="EB65" s="135"/>
      <c r="EC65" s="135"/>
      <c r="ED65" s="156"/>
      <c r="EE65" s="135"/>
      <c r="EF65" s="135"/>
      <c r="EG65" s="135"/>
      <c r="EH65" s="156"/>
      <c r="EI65" s="135"/>
      <c r="EJ65" s="135"/>
      <c r="EK65" s="135"/>
      <c r="EL65" s="156"/>
      <c r="EM65" s="135"/>
      <c r="EN65" s="135"/>
      <c r="EO65" s="135"/>
      <c r="EP65" s="156"/>
      <c r="EQ65" s="135"/>
      <c r="ER65" s="135"/>
      <c r="ES65" s="135"/>
      <c r="ET65" s="156"/>
      <c r="EU65" s="135"/>
      <c r="EV65" s="135"/>
      <c r="EW65" s="135"/>
      <c r="EX65" s="156"/>
      <c r="EY65" s="135"/>
      <c r="EZ65" s="135"/>
      <c r="FA65" s="135"/>
      <c r="FB65" s="156"/>
      <c r="FC65" s="135"/>
      <c r="FD65" s="135"/>
      <c r="FE65" s="135"/>
      <c r="FF65" s="156"/>
      <c r="FG65" s="135"/>
      <c r="FH65" s="135"/>
      <c r="FI65" s="135"/>
      <c r="FJ65" s="156"/>
      <c r="FK65" s="135"/>
      <c r="FL65" s="135"/>
      <c r="FM65" s="135"/>
      <c r="FN65" s="156"/>
      <c r="FO65" s="135"/>
      <c r="FP65" s="135"/>
      <c r="FQ65" s="135"/>
      <c r="FR65" s="156"/>
      <c r="FS65" s="135"/>
      <c r="FT65" s="135"/>
      <c r="FU65" s="135"/>
      <c r="FV65" s="135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  <c r="GG65" s="135"/>
      <c r="GH65" s="135"/>
      <c r="GI65" s="135"/>
      <c r="GJ65" s="135"/>
      <c r="GK65" s="135"/>
      <c r="GL65" s="135"/>
      <c r="GM65" s="135"/>
      <c r="GN65" s="135"/>
      <c r="GO65" s="135"/>
      <c r="GP65" s="135"/>
      <c r="GQ65" s="135"/>
      <c r="GR65" s="135"/>
      <c r="GS65" s="135"/>
      <c r="GT65" s="135"/>
      <c r="GU65" s="135"/>
      <c r="GV65" s="135"/>
      <c r="GW65" s="135"/>
      <c r="GX65" s="135"/>
      <c r="GY65" s="135"/>
      <c r="GZ65" s="135"/>
      <c r="HA65" s="135"/>
      <c r="HB65" s="135"/>
      <c r="HC65" s="135"/>
      <c r="HD65" s="135"/>
      <c r="HE65" s="135"/>
      <c r="HF65" s="135"/>
      <c r="HG65" s="135"/>
      <c r="HH65" s="135"/>
      <c r="HI65" s="135"/>
      <c r="HJ65" s="135"/>
      <c r="HK65" s="135"/>
      <c r="HL65" s="135"/>
      <c r="HM65" s="135"/>
      <c r="HN65" s="135"/>
      <c r="HO65" s="135"/>
      <c r="HP65" s="135"/>
      <c r="HQ65" s="135"/>
      <c r="HR65" s="135"/>
      <c r="HS65" s="135"/>
      <c r="HT65" s="135"/>
      <c r="HU65" s="135"/>
      <c r="HV65" s="135"/>
      <c r="HW65" s="135"/>
      <c r="HX65" s="145"/>
      <c r="HY65" s="135"/>
      <c r="HZ65" s="135"/>
      <c r="IA65" s="135"/>
      <c r="IB65" s="135"/>
      <c r="IC65" s="135"/>
      <c r="ID65" s="135"/>
      <c r="IE65" s="135"/>
      <c r="IF65" s="135"/>
      <c r="IG65" s="135"/>
      <c r="IH65" s="135"/>
      <c r="II65" s="135"/>
      <c r="IJ65" s="135"/>
      <c r="IK65" s="135"/>
      <c r="IL65" s="135"/>
      <c r="IM65" s="135"/>
      <c r="IN65" s="135"/>
      <c r="IO65" s="135"/>
      <c r="IP65" s="135"/>
      <c r="IQ65" s="135"/>
      <c r="IR65" s="135"/>
      <c r="IS65" s="135"/>
      <c r="IT65" s="135"/>
      <c r="IU65" s="135"/>
      <c r="IV65" s="135"/>
      <c r="IW65" s="135"/>
      <c r="IX65" s="135"/>
      <c r="IY65" s="135"/>
      <c r="IZ65" s="135"/>
      <c r="JA65" s="135"/>
      <c r="JB65" s="135"/>
      <c r="JC65" s="135"/>
      <c r="JD65" s="135"/>
      <c r="JE65" s="135"/>
      <c r="JF65" s="135"/>
      <c r="JG65" s="135"/>
      <c r="JH65" s="135"/>
      <c r="JI65" s="135"/>
      <c r="JJ65" s="135"/>
      <c r="JK65" s="135"/>
      <c r="JL65" s="135"/>
      <c r="JM65" s="135"/>
      <c r="JN65" s="135"/>
      <c r="JO65" s="135"/>
      <c r="JP65" s="135"/>
      <c r="JQ65" s="135"/>
      <c r="JR65" s="135"/>
      <c r="JS65" s="135"/>
    </row>
    <row r="66" spans="1:279" s="144" customFormat="1">
      <c r="A66" s="135"/>
      <c r="B66" s="136"/>
      <c r="C66" s="150"/>
      <c r="D66" s="136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6"/>
      <c r="AV66" s="156"/>
      <c r="AW66" s="156"/>
      <c r="AX66" s="151"/>
      <c r="AY66" s="151"/>
      <c r="AZ66" s="156"/>
      <c r="BA66" s="156"/>
      <c r="BB66" s="156"/>
      <c r="BC66" s="151"/>
      <c r="BD66" s="151"/>
      <c r="BE66" s="156"/>
      <c r="BF66" s="156"/>
      <c r="BG66" s="156"/>
      <c r="BH66" s="151"/>
      <c r="BI66" s="151"/>
      <c r="BJ66" s="156"/>
      <c r="BK66" s="156"/>
      <c r="BL66" s="156"/>
      <c r="BM66" s="151"/>
      <c r="BN66" s="151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35"/>
      <c r="CR66" s="135"/>
      <c r="CS66" s="135"/>
      <c r="CT66" s="156"/>
      <c r="CU66" s="135"/>
      <c r="CV66" s="135"/>
      <c r="CW66" s="135"/>
      <c r="CX66" s="156"/>
      <c r="CY66" s="135"/>
      <c r="CZ66" s="135"/>
      <c r="DA66" s="135"/>
      <c r="DB66" s="156"/>
      <c r="DC66" s="135"/>
      <c r="DD66" s="135"/>
      <c r="DE66" s="135"/>
      <c r="DF66" s="156"/>
      <c r="DG66" s="135"/>
      <c r="DH66" s="135"/>
      <c r="DI66" s="135"/>
      <c r="DJ66" s="156"/>
      <c r="DK66" s="135"/>
      <c r="DL66" s="135"/>
      <c r="DM66" s="135"/>
      <c r="DN66" s="156"/>
      <c r="DO66" s="135"/>
      <c r="DP66" s="135"/>
      <c r="DQ66" s="135"/>
      <c r="DR66" s="156"/>
      <c r="DS66" s="135"/>
      <c r="DT66" s="135"/>
      <c r="DU66" s="135"/>
      <c r="DV66" s="156"/>
      <c r="DW66" s="135"/>
      <c r="DX66" s="135"/>
      <c r="DY66" s="135"/>
      <c r="DZ66" s="156"/>
      <c r="EA66" s="135"/>
      <c r="EB66" s="135"/>
      <c r="EC66" s="135"/>
      <c r="ED66" s="156"/>
      <c r="EE66" s="135"/>
      <c r="EF66" s="135"/>
      <c r="EG66" s="135"/>
      <c r="EH66" s="156"/>
      <c r="EI66" s="135"/>
      <c r="EJ66" s="135"/>
      <c r="EK66" s="135"/>
      <c r="EL66" s="156"/>
      <c r="EM66" s="135"/>
      <c r="EN66" s="135"/>
      <c r="EO66" s="135"/>
      <c r="EP66" s="156"/>
      <c r="EQ66" s="135"/>
      <c r="ER66" s="135"/>
      <c r="ES66" s="135"/>
      <c r="ET66" s="156"/>
      <c r="EU66" s="135"/>
      <c r="EV66" s="135"/>
      <c r="EW66" s="135"/>
      <c r="EX66" s="156"/>
      <c r="EY66" s="135"/>
      <c r="EZ66" s="135"/>
      <c r="FA66" s="135"/>
      <c r="FB66" s="156"/>
      <c r="FC66" s="135"/>
      <c r="FD66" s="135"/>
      <c r="FE66" s="135"/>
      <c r="FF66" s="156"/>
      <c r="FG66" s="135"/>
      <c r="FH66" s="135"/>
      <c r="FI66" s="135"/>
      <c r="FJ66" s="156"/>
      <c r="FK66" s="135"/>
      <c r="FL66" s="135"/>
      <c r="FM66" s="135"/>
      <c r="FN66" s="156"/>
      <c r="FO66" s="135"/>
      <c r="FP66" s="135"/>
      <c r="FQ66" s="135"/>
      <c r="FR66" s="156"/>
      <c r="FS66" s="135"/>
      <c r="FT66" s="135"/>
      <c r="FU66" s="135"/>
      <c r="FV66" s="135"/>
      <c r="FW66" s="135"/>
      <c r="FX66" s="135"/>
      <c r="FY66" s="135"/>
      <c r="FZ66" s="135"/>
      <c r="GA66" s="135"/>
      <c r="GB66" s="135"/>
      <c r="GC66" s="135"/>
      <c r="GD66" s="135"/>
      <c r="GE66" s="135"/>
      <c r="GF66" s="135"/>
      <c r="GG66" s="135"/>
      <c r="GH66" s="135"/>
      <c r="GI66" s="135"/>
      <c r="GJ66" s="135"/>
      <c r="GK66" s="135"/>
      <c r="GL66" s="135"/>
      <c r="GM66" s="135"/>
      <c r="GN66" s="135"/>
      <c r="GO66" s="135"/>
      <c r="GP66" s="135"/>
      <c r="GQ66" s="135"/>
      <c r="GR66" s="135"/>
      <c r="GS66" s="135"/>
      <c r="GT66" s="135"/>
      <c r="GU66" s="135"/>
      <c r="GV66" s="135"/>
      <c r="GW66" s="135"/>
      <c r="GX66" s="135"/>
      <c r="GY66" s="135"/>
      <c r="GZ66" s="135"/>
      <c r="HA66" s="135"/>
      <c r="HB66" s="135"/>
      <c r="HC66" s="135"/>
      <c r="HD66" s="135"/>
      <c r="HE66" s="135"/>
      <c r="HF66" s="135"/>
      <c r="HG66" s="135"/>
      <c r="HH66" s="135"/>
      <c r="HI66" s="135"/>
      <c r="HJ66" s="135"/>
      <c r="HK66" s="135"/>
      <c r="HL66" s="135"/>
      <c r="HM66" s="135"/>
      <c r="HN66" s="135"/>
      <c r="HO66" s="135"/>
      <c r="HP66" s="135"/>
      <c r="HQ66" s="135"/>
      <c r="HR66" s="135"/>
      <c r="HS66" s="135"/>
      <c r="HT66" s="135"/>
      <c r="HU66" s="135"/>
      <c r="HV66" s="135"/>
      <c r="HW66" s="135"/>
      <c r="HX66" s="145"/>
      <c r="HY66" s="135"/>
      <c r="HZ66" s="135"/>
      <c r="IA66" s="135"/>
      <c r="IB66" s="135"/>
      <c r="IC66" s="135"/>
      <c r="ID66" s="135"/>
      <c r="IE66" s="135"/>
      <c r="IF66" s="135"/>
      <c r="IG66" s="135"/>
      <c r="IH66" s="135"/>
      <c r="II66" s="135"/>
      <c r="IJ66" s="135"/>
      <c r="IK66" s="135"/>
      <c r="IL66" s="135"/>
      <c r="IM66" s="135"/>
      <c r="IN66" s="135"/>
      <c r="IO66" s="135"/>
      <c r="IP66" s="135"/>
      <c r="IQ66" s="135"/>
      <c r="IR66" s="135"/>
      <c r="IS66" s="135"/>
      <c r="IT66" s="135"/>
      <c r="IU66" s="135"/>
      <c r="IV66" s="135"/>
      <c r="IW66" s="135"/>
      <c r="IX66" s="135"/>
      <c r="IY66" s="135"/>
      <c r="IZ66" s="135"/>
      <c r="JA66" s="135"/>
      <c r="JB66" s="135"/>
      <c r="JC66" s="135"/>
      <c r="JD66" s="135"/>
      <c r="JE66" s="135"/>
      <c r="JF66" s="135"/>
      <c r="JG66" s="135"/>
      <c r="JH66" s="135"/>
      <c r="JI66" s="135"/>
      <c r="JJ66" s="135"/>
      <c r="JK66" s="135"/>
      <c r="JL66" s="135"/>
      <c r="JM66" s="135"/>
      <c r="JN66" s="135"/>
      <c r="JO66" s="135"/>
      <c r="JP66" s="135"/>
      <c r="JQ66" s="135"/>
      <c r="JR66" s="135"/>
      <c r="JS66" s="135"/>
    </row>
    <row r="67" spans="1:279" s="144" customFormat="1">
      <c r="A67" s="135"/>
      <c r="B67" s="136"/>
      <c r="C67" s="150"/>
      <c r="D67" s="136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6"/>
      <c r="AV67" s="156"/>
      <c r="AW67" s="156"/>
      <c r="AX67" s="151"/>
      <c r="AY67" s="151"/>
      <c r="AZ67" s="156"/>
      <c r="BA67" s="156"/>
      <c r="BB67" s="156"/>
      <c r="BC67" s="151"/>
      <c r="BD67" s="151"/>
      <c r="BE67" s="156"/>
      <c r="BF67" s="156"/>
      <c r="BG67" s="156"/>
      <c r="BH67" s="151"/>
      <c r="BI67" s="151"/>
      <c r="BJ67" s="156"/>
      <c r="BK67" s="156"/>
      <c r="BL67" s="156"/>
      <c r="BM67" s="151"/>
      <c r="BN67" s="151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35"/>
      <c r="CR67" s="135"/>
      <c r="CS67" s="135"/>
      <c r="CT67" s="156"/>
      <c r="CU67" s="135"/>
      <c r="CV67" s="135"/>
      <c r="CW67" s="135"/>
      <c r="CX67" s="156"/>
      <c r="CY67" s="135"/>
      <c r="CZ67" s="135"/>
      <c r="DA67" s="135"/>
      <c r="DB67" s="156"/>
      <c r="DC67" s="135"/>
      <c r="DD67" s="135"/>
      <c r="DE67" s="135"/>
      <c r="DF67" s="156"/>
      <c r="DG67" s="135"/>
      <c r="DH67" s="135"/>
      <c r="DI67" s="135"/>
      <c r="DJ67" s="156"/>
      <c r="DK67" s="135"/>
      <c r="DL67" s="135"/>
      <c r="DM67" s="135"/>
      <c r="DN67" s="156"/>
      <c r="DO67" s="135"/>
      <c r="DP67" s="135"/>
      <c r="DQ67" s="135"/>
      <c r="DR67" s="156"/>
      <c r="DS67" s="135"/>
      <c r="DT67" s="135"/>
      <c r="DU67" s="135"/>
      <c r="DV67" s="156"/>
      <c r="DW67" s="135"/>
      <c r="DX67" s="135"/>
      <c r="DY67" s="135"/>
      <c r="DZ67" s="156"/>
      <c r="EA67" s="135"/>
      <c r="EB67" s="135"/>
      <c r="EC67" s="135"/>
      <c r="ED67" s="156"/>
      <c r="EE67" s="135"/>
      <c r="EF67" s="135"/>
      <c r="EG67" s="135"/>
      <c r="EH67" s="156"/>
      <c r="EI67" s="135"/>
      <c r="EJ67" s="135"/>
      <c r="EK67" s="135"/>
      <c r="EL67" s="156"/>
      <c r="EM67" s="135"/>
      <c r="EN67" s="135"/>
      <c r="EO67" s="135"/>
      <c r="EP67" s="156"/>
      <c r="EQ67" s="135"/>
      <c r="ER67" s="135"/>
      <c r="ES67" s="135"/>
      <c r="ET67" s="156"/>
      <c r="EU67" s="135"/>
      <c r="EV67" s="135"/>
      <c r="EW67" s="135"/>
      <c r="EX67" s="156"/>
      <c r="EY67" s="135"/>
      <c r="EZ67" s="135"/>
      <c r="FA67" s="135"/>
      <c r="FB67" s="156"/>
      <c r="FC67" s="135"/>
      <c r="FD67" s="135"/>
      <c r="FE67" s="135"/>
      <c r="FF67" s="156"/>
      <c r="FG67" s="135"/>
      <c r="FH67" s="135"/>
      <c r="FI67" s="135"/>
      <c r="FJ67" s="156"/>
      <c r="FK67" s="135"/>
      <c r="FL67" s="135"/>
      <c r="FM67" s="135"/>
      <c r="FN67" s="156"/>
      <c r="FO67" s="135"/>
      <c r="FP67" s="135"/>
      <c r="FQ67" s="135"/>
      <c r="FR67" s="156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/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/>
      <c r="GW67" s="135"/>
      <c r="GX67" s="135"/>
      <c r="GY67" s="135"/>
      <c r="GZ67" s="135"/>
      <c r="HA67" s="135"/>
      <c r="HB67" s="135"/>
      <c r="HC67" s="135"/>
      <c r="HD67" s="135"/>
      <c r="HE67" s="135"/>
      <c r="HF67" s="135"/>
      <c r="HG67" s="135"/>
      <c r="HH67" s="135"/>
      <c r="HI67" s="135"/>
      <c r="HJ67" s="135"/>
      <c r="HK67" s="135"/>
      <c r="HL67" s="135"/>
      <c r="HM67" s="135"/>
      <c r="HN67" s="135"/>
      <c r="HO67" s="135"/>
      <c r="HP67" s="135"/>
      <c r="HQ67" s="135"/>
      <c r="HR67" s="135"/>
      <c r="HS67" s="135"/>
      <c r="HT67" s="135"/>
      <c r="HU67" s="135"/>
      <c r="HV67" s="135"/>
      <c r="HW67" s="135"/>
      <c r="HX67" s="145"/>
      <c r="HY67" s="135"/>
      <c r="HZ67" s="135"/>
      <c r="IA67" s="135"/>
      <c r="IB67" s="135"/>
      <c r="IC67" s="135"/>
      <c r="ID67" s="135"/>
      <c r="IE67" s="135"/>
      <c r="IF67" s="135"/>
      <c r="IG67" s="135"/>
      <c r="IH67" s="135"/>
      <c r="II67" s="135"/>
      <c r="IJ67" s="135"/>
      <c r="IK67" s="135"/>
      <c r="IL67" s="135"/>
      <c r="IM67" s="135"/>
      <c r="IN67" s="135"/>
      <c r="IO67" s="135"/>
      <c r="IP67" s="135"/>
      <c r="IQ67" s="135"/>
      <c r="IR67" s="135"/>
      <c r="IS67" s="135"/>
      <c r="IT67" s="135"/>
      <c r="IU67" s="135"/>
      <c r="IV67" s="135"/>
      <c r="IW67" s="135"/>
      <c r="IX67" s="135"/>
      <c r="IY67" s="135"/>
      <c r="IZ67" s="135"/>
      <c r="JA67" s="135"/>
      <c r="JB67" s="135"/>
      <c r="JC67" s="135"/>
      <c r="JD67" s="135"/>
      <c r="JE67" s="135"/>
      <c r="JF67" s="135"/>
      <c r="JG67" s="135"/>
      <c r="JH67" s="135"/>
      <c r="JI67" s="135"/>
      <c r="JJ67" s="135"/>
      <c r="JK67" s="135"/>
      <c r="JL67" s="135"/>
      <c r="JM67" s="135"/>
      <c r="JN67" s="135"/>
      <c r="JO67" s="135"/>
      <c r="JP67" s="135"/>
      <c r="JQ67" s="135"/>
      <c r="JR67" s="135"/>
      <c r="JS67" s="135"/>
    </row>
    <row r="68" spans="1:279" s="144" customFormat="1">
      <c r="A68" s="135"/>
      <c r="B68" s="136"/>
      <c r="C68" s="150"/>
      <c r="D68" s="136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6"/>
      <c r="AV68" s="156"/>
      <c r="AW68" s="156"/>
      <c r="AX68" s="151"/>
      <c r="AY68" s="151"/>
      <c r="AZ68" s="156"/>
      <c r="BA68" s="156"/>
      <c r="BB68" s="156"/>
      <c r="BC68" s="151"/>
      <c r="BD68" s="151"/>
      <c r="BE68" s="156"/>
      <c r="BF68" s="156"/>
      <c r="BG68" s="156"/>
      <c r="BH68" s="151"/>
      <c r="BI68" s="151"/>
      <c r="BJ68" s="156"/>
      <c r="BK68" s="156"/>
      <c r="BL68" s="156"/>
      <c r="BM68" s="151"/>
      <c r="BN68" s="151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35"/>
      <c r="CR68" s="135"/>
      <c r="CS68" s="135"/>
      <c r="CT68" s="156"/>
      <c r="CU68" s="135"/>
      <c r="CV68" s="135"/>
      <c r="CW68" s="135"/>
      <c r="CX68" s="156"/>
      <c r="CY68" s="135"/>
      <c r="CZ68" s="135"/>
      <c r="DA68" s="135"/>
      <c r="DB68" s="156"/>
      <c r="DC68" s="135"/>
      <c r="DD68" s="135"/>
      <c r="DE68" s="135"/>
      <c r="DF68" s="156"/>
      <c r="DG68" s="135"/>
      <c r="DH68" s="135"/>
      <c r="DI68" s="135"/>
      <c r="DJ68" s="156"/>
      <c r="DK68" s="135"/>
      <c r="DL68" s="135"/>
      <c r="DM68" s="135"/>
      <c r="DN68" s="156"/>
      <c r="DO68" s="135"/>
      <c r="DP68" s="135"/>
      <c r="DQ68" s="135"/>
      <c r="DR68" s="156"/>
      <c r="DS68" s="135"/>
      <c r="DT68" s="135"/>
      <c r="DU68" s="135"/>
      <c r="DV68" s="156"/>
      <c r="DW68" s="135"/>
      <c r="DX68" s="135"/>
      <c r="DY68" s="135"/>
      <c r="DZ68" s="156"/>
      <c r="EA68" s="135"/>
      <c r="EB68" s="135"/>
      <c r="EC68" s="135"/>
      <c r="ED68" s="156"/>
      <c r="EE68" s="135"/>
      <c r="EF68" s="135"/>
      <c r="EG68" s="135"/>
      <c r="EH68" s="156"/>
      <c r="EI68" s="135"/>
      <c r="EJ68" s="135"/>
      <c r="EK68" s="135"/>
      <c r="EL68" s="156"/>
      <c r="EM68" s="135"/>
      <c r="EN68" s="135"/>
      <c r="EO68" s="135"/>
      <c r="EP68" s="156"/>
      <c r="EQ68" s="135"/>
      <c r="ER68" s="135"/>
      <c r="ES68" s="135"/>
      <c r="ET68" s="156"/>
      <c r="EU68" s="135"/>
      <c r="EV68" s="135"/>
      <c r="EW68" s="135"/>
      <c r="EX68" s="156"/>
      <c r="EY68" s="135"/>
      <c r="EZ68" s="135"/>
      <c r="FA68" s="135"/>
      <c r="FB68" s="156"/>
      <c r="FC68" s="135"/>
      <c r="FD68" s="135"/>
      <c r="FE68" s="135"/>
      <c r="FF68" s="156"/>
      <c r="FG68" s="135"/>
      <c r="FH68" s="135"/>
      <c r="FI68" s="135"/>
      <c r="FJ68" s="156"/>
      <c r="FK68" s="135"/>
      <c r="FL68" s="135"/>
      <c r="FM68" s="135"/>
      <c r="FN68" s="156"/>
      <c r="FO68" s="135"/>
      <c r="FP68" s="135"/>
      <c r="FQ68" s="135"/>
      <c r="FR68" s="156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  <c r="GG68" s="135"/>
      <c r="GH68" s="135"/>
      <c r="GI68" s="135"/>
      <c r="GJ68" s="135"/>
      <c r="GK68" s="135"/>
      <c r="GL68" s="135"/>
      <c r="GM68" s="135"/>
      <c r="GN68" s="135"/>
      <c r="GO68" s="135"/>
      <c r="GP68" s="135"/>
      <c r="GQ68" s="135"/>
      <c r="GR68" s="135"/>
      <c r="GS68" s="135"/>
      <c r="GT68" s="135"/>
      <c r="GU68" s="135"/>
      <c r="GV68" s="135"/>
      <c r="GW68" s="135"/>
      <c r="GX68" s="135"/>
      <c r="GY68" s="135"/>
      <c r="GZ68" s="135"/>
      <c r="HA68" s="135"/>
      <c r="HB68" s="135"/>
      <c r="HC68" s="135"/>
      <c r="HD68" s="135"/>
      <c r="HE68" s="135"/>
      <c r="HF68" s="135"/>
      <c r="HG68" s="135"/>
      <c r="HH68" s="135"/>
      <c r="HI68" s="135"/>
      <c r="HJ68" s="135"/>
      <c r="HK68" s="135"/>
      <c r="HL68" s="135"/>
      <c r="HM68" s="135"/>
      <c r="HN68" s="135"/>
      <c r="HO68" s="135"/>
      <c r="HP68" s="135"/>
      <c r="HQ68" s="135"/>
      <c r="HR68" s="135"/>
      <c r="HS68" s="135"/>
      <c r="HT68" s="135"/>
      <c r="HU68" s="135"/>
      <c r="HV68" s="135"/>
      <c r="HW68" s="135"/>
      <c r="HX68" s="145"/>
      <c r="HY68" s="135"/>
      <c r="HZ68" s="135"/>
      <c r="IA68" s="135"/>
      <c r="IB68" s="135"/>
      <c r="IC68" s="135"/>
      <c r="ID68" s="135"/>
      <c r="IE68" s="135"/>
      <c r="IF68" s="135"/>
      <c r="IG68" s="135"/>
      <c r="IH68" s="135"/>
      <c r="II68" s="135"/>
      <c r="IJ68" s="135"/>
      <c r="IK68" s="135"/>
      <c r="IL68" s="135"/>
      <c r="IM68" s="135"/>
      <c r="IN68" s="135"/>
      <c r="IO68" s="135"/>
      <c r="IP68" s="135"/>
      <c r="IQ68" s="135"/>
      <c r="IR68" s="135"/>
      <c r="IS68" s="135"/>
      <c r="IT68" s="135"/>
      <c r="IU68" s="135"/>
      <c r="IV68" s="135"/>
      <c r="IW68" s="135"/>
      <c r="IX68" s="135"/>
      <c r="IY68" s="135"/>
      <c r="IZ68" s="135"/>
      <c r="JA68" s="135"/>
      <c r="JB68" s="135"/>
      <c r="JC68" s="135"/>
      <c r="JD68" s="135"/>
      <c r="JE68" s="135"/>
      <c r="JF68" s="135"/>
      <c r="JG68" s="135"/>
      <c r="JH68" s="135"/>
      <c r="JI68" s="135"/>
      <c r="JJ68" s="135"/>
      <c r="JK68" s="135"/>
      <c r="JL68" s="135"/>
      <c r="JM68" s="135"/>
      <c r="JN68" s="135"/>
      <c r="JO68" s="135"/>
      <c r="JP68" s="135"/>
      <c r="JQ68" s="135"/>
      <c r="JR68" s="135"/>
      <c r="JS68" s="135"/>
    </row>
    <row r="69" spans="1:279" s="144" customFormat="1">
      <c r="A69" s="135"/>
      <c r="B69" s="136"/>
      <c r="C69" s="150"/>
      <c r="D69" s="136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6"/>
      <c r="AV69" s="156"/>
      <c r="AW69" s="156"/>
      <c r="AX69" s="151"/>
      <c r="AY69" s="151"/>
      <c r="AZ69" s="156"/>
      <c r="BA69" s="156"/>
      <c r="BB69" s="156"/>
      <c r="BC69" s="151"/>
      <c r="BD69" s="151"/>
      <c r="BE69" s="156"/>
      <c r="BF69" s="156"/>
      <c r="BG69" s="156"/>
      <c r="BH69" s="151"/>
      <c r="BI69" s="151"/>
      <c r="BJ69" s="156"/>
      <c r="BK69" s="156"/>
      <c r="BL69" s="156"/>
      <c r="BM69" s="151"/>
      <c r="BN69" s="151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35"/>
      <c r="CR69" s="135"/>
      <c r="CS69" s="135"/>
      <c r="CT69" s="156"/>
      <c r="CU69" s="135"/>
      <c r="CV69" s="135"/>
      <c r="CW69" s="135"/>
      <c r="CX69" s="156"/>
      <c r="CY69" s="135"/>
      <c r="CZ69" s="135"/>
      <c r="DA69" s="135"/>
      <c r="DB69" s="156"/>
      <c r="DC69" s="135"/>
      <c r="DD69" s="135"/>
      <c r="DE69" s="135"/>
      <c r="DF69" s="156"/>
      <c r="DG69" s="135"/>
      <c r="DH69" s="135"/>
      <c r="DI69" s="135"/>
      <c r="DJ69" s="156"/>
      <c r="DK69" s="135"/>
      <c r="DL69" s="135"/>
      <c r="DM69" s="135"/>
      <c r="DN69" s="156"/>
      <c r="DO69" s="135"/>
      <c r="DP69" s="135"/>
      <c r="DQ69" s="135"/>
      <c r="DR69" s="156"/>
      <c r="DS69" s="135"/>
      <c r="DT69" s="135"/>
      <c r="DU69" s="135"/>
      <c r="DV69" s="156"/>
      <c r="DW69" s="135"/>
      <c r="DX69" s="135"/>
      <c r="DY69" s="135"/>
      <c r="DZ69" s="156"/>
      <c r="EA69" s="135"/>
      <c r="EB69" s="135"/>
      <c r="EC69" s="135"/>
      <c r="ED69" s="156"/>
      <c r="EE69" s="135"/>
      <c r="EF69" s="135"/>
      <c r="EG69" s="135"/>
      <c r="EH69" s="156"/>
      <c r="EI69" s="135"/>
      <c r="EJ69" s="135"/>
      <c r="EK69" s="135"/>
      <c r="EL69" s="156"/>
      <c r="EM69" s="135"/>
      <c r="EN69" s="135"/>
      <c r="EO69" s="135"/>
      <c r="EP69" s="156"/>
      <c r="EQ69" s="135"/>
      <c r="ER69" s="135"/>
      <c r="ES69" s="135"/>
      <c r="ET69" s="156"/>
      <c r="EU69" s="135"/>
      <c r="EV69" s="135"/>
      <c r="EW69" s="135"/>
      <c r="EX69" s="156"/>
      <c r="EY69" s="135"/>
      <c r="EZ69" s="135"/>
      <c r="FA69" s="135"/>
      <c r="FB69" s="156"/>
      <c r="FC69" s="135"/>
      <c r="FD69" s="135"/>
      <c r="FE69" s="135"/>
      <c r="FF69" s="156"/>
      <c r="FG69" s="135"/>
      <c r="FH69" s="135"/>
      <c r="FI69" s="135"/>
      <c r="FJ69" s="156"/>
      <c r="FK69" s="135"/>
      <c r="FL69" s="135"/>
      <c r="FM69" s="135"/>
      <c r="FN69" s="156"/>
      <c r="FO69" s="135"/>
      <c r="FP69" s="135"/>
      <c r="FQ69" s="135"/>
      <c r="FR69" s="156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5"/>
      <c r="GI69" s="135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5"/>
      <c r="GV69" s="135"/>
      <c r="GW69" s="135"/>
      <c r="GX69" s="135"/>
      <c r="GY69" s="135"/>
      <c r="GZ69" s="135"/>
      <c r="HA69" s="135"/>
      <c r="HB69" s="135"/>
      <c r="HC69" s="135"/>
      <c r="HD69" s="135"/>
      <c r="HE69" s="135"/>
      <c r="HF69" s="135"/>
      <c r="HG69" s="135"/>
      <c r="HH69" s="135"/>
      <c r="HI69" s="135"/>
      <c r="HJ69" s="135"/>
      <c r="HK69" s="135"/>
      <c r="HL69" s="135"/>
      <c r="HM69" s="135"/>
      <c r="HN69" s="135"/>
      <c r="HO69" s="135"/>
      <c r="HP69" s="135"/>
      <c r="HQ69" s="135"/>
      <c r="HR69" s="135"/>
      <c r="HS69" s="135"/>
      <c r="HT69" s="135"/>
      <c r="HU69" s="135"/>
      <c r="HV69" s="135"/>
      <c r="HW69" s="135"/>
      <c r="HX69" s="145"/>
      <c r="HY69" s="135"/>
      <c r="HZ69" s="135"/>
      <c r="IA69" s="135"/>
      <c r="IB69" s="135"/>
      <c r="IC69" s="135"/>
      <c r="ID69" s="135"/>
      <c r="IE69" s="135"/>
      <c r="IF69" s="135"/>
      <c r="IG69" s="135"/>
      <c r="IH69" s="135"/>
      <c r="II69" s="135"/>
      <c r="IJ69" s="135"/>
      <c r="IK69" s="135"/>
      <c r="IL69" s="135"/>
      <c r="IM69" s="135"/>
      <c r="IN69" s="135"/>
      <c r="IO69" s="135"/>
      <c r="IP69" s="135"/>
      <c r="IQ69" s="135"/>
      <c r="IR69" s="135"/>
      <c r="IS69" s="135"/>
      <c r="IT69" s="135"/>
      <c r="IU69" s="135"/>
      <c r="IV69" s="135"/>
      <c r="IW69" s="135"/>
      <c r="IX69" s="135"/>
      <c r="IY69" s="135"/>
      <c r="IZ69" s="135"/>
      <c r="JA69" s="135"/>
      <c r="JB69" s="135"/>
      <c r="JC69" s="135"/>
      <c r="JD69" s="135"/>
      <c r="JE69" s="135"/>
      <c r="JF69" s="135"/>
      <c r="JG69" s="135"/>
      <c r="JH69" s="135"/>
      <c r="JI69" s="135"/>
      <c r="JJ69" s="135"/>
      <c r="JK69" s="135"/>
      <c r="JL69" s="135"/>
      <c r="JM69" s="135"/>
      <c r="JN69" s="135"/>
      <c r="JO69" s="135"/>
      <c r="JP69" s="135"/>
      <c r="JQ69" s="135"/>
      <c r="JR69" s="135"/>
      <c r="JS69" s="135"/>
    </row>
    <row r="70" spans="1:279" s="144" customFormat="1">
      <c r="A70" s="135"/>
      <c r="B70" s="136"/>
      <c r="C70" s="150"/>
      <c r="D70" s="136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6"/>
      <c r="AV70" s="156"/>
      <c r="AW70" s="156"/>
      <c r="AX70" s="151"/>
      <c r="AY70" s="151"/>
      <c r="AZ70" s="156"/>
      <c r="BA70" s="156"/>
      <c r="BB70" s="156"/>
      <c r="BC70" s="151"/>
      <c r="BD70" s="151"/>
      <c r="BE70" s="156"/>
      <c r="BF70" s="156"/>
      <c r="BG70" s="156"/>
      <c r="BH70" s="151"/>
      <c r="BI70" s="151"/>
      <c r="BJ70" s="156"/>
      <c r="BK70" s="156"/>
      <c r="BL70" s="156"/>
      <c r="BM70" s="151"/>
      <c r="BN70" s="151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35"/>
      <c r="CR70" s="135"/>
      <c r="CS70" s="135"/>
      <c r="CT70" s="156"/>
      <c r="CU70" s="135"/>
      <c r="CV70" s="135"/>
      <c r="CW70" s="135"/>
      <c r="CX70" s="156"/>
      <c r="CY70" s="135"/>
      <c r="CZ70" s="135"/>
      <c r="DA70" s="135"/>
      <c r="DB70" s="156"/>
      <c r="DC70" s="135"/>
      <c r="DD70" s="135"/>
      <c r="DE70" s="135"/>
      <c r="DF70" s="156"/>
      <c r="DG70" s="135"/>
      <c r="DH70" s="135"/>
      <c r="DI70" s="135"/>
      <c r="DJ70" s="156"/>
      <c r="DK70" s="135"/>
      <c r="DL70" s="135"/>
      <c r="DM70" s="135"/>
      <c r="DN70" s="156"/>
      <c r="DO70" s="135"/>
      <c r="DP70" s="135"/>
      <c r="DQ70" s="135"/>
      <c r="DR70" s="156"/>
      <c r="DS70" s="135"/>
      <c r="DT70" s="135"/>
      <c r="DU70" s="135"/>
      <c r="DV70" s="156"/>
      <c r="DW70" s="135"/>
      <c r="DX70" s="135"/>
      <c r="DY70" s="135"/>
      <c r="DZ70" s="156"/>
      <c r="EA70" s="135"/>
      <c r="EB70" s="135"/>
      <c r="EC70" s="135"/>
      <c r="ED70" s="156"/>
      <c r="EE70" s="135"/>
      <c r="EF70" s="135"/>
      <c r="EG70" s="135"/>
      <c r="EH70" s="156"/>
      <c r="EI70" s="135"/>
      <c r="EJ70" s="135"/>
      <c r="EK70" s="135"/>
      <c r="EL70" s="156"/>
      <c r="EM70" s="135"/>
      <c r="EN70" s="135"/>
      <c r="EO70" s="135"/>
      <c r="EP70" s="156"/>
      <c r="EQ70" s="135"/>
      <c r="ER70" s="135"/>
      <c r="ES70" s="135"/>
      <c r="ET70" s="156"/>
      <c r="EU70" s="135"/>
      <c r="EV70" s="135"/>
      <c r="EW70" s="135"/>
      <c r="EX70" s="156"/>
      <c r="EY70" s="135"/>
      <c r="EZ70" s="135"/>
      <c r="FA70" s="135"/>
      <c r="FB70" s="156"/>
      <c r="FC70" s="135"/>
      <c r="FD70" s="135"/>
      <c r="FE70" s="135"/>
      <c r="FF70" s="156"/>
      <c r="FG70" s="135"/>
      <c r="FH70" s="135"/>
      <c r="FI70" s="135"/>
      <c r="FJ70" s="156"/>
      <c r="FK70" s="135"/>
      <c r="FL70" s="135"/>
      <c r="FM70" s="135"/>
      <c r="FN70" s="156"/>
      <c r="FO70" s="135"/>
      <c r="FP70" s="135"/>
      <c r="FQ70" s="135"/>
      <c r="FR70" s="156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5"/>
      <c r="GI70" s="135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5"/>
      <c r="GV70" s="135"/>
      <c r="GW70" s="135"/>
      <c r="GX70" s="135"/>
      <c r="GY70" s="135"/>
      <c r="GZ70" s="135"/>
      <c r="HA70" s="135"/>
      <c r="HB70" s="135"/>
      <c r="HC70" s="135"/>
      <c r="HD70" s="135"/>
      <c r="HE70" s="135"/>
      <c r="HF70" s="135"/>
      <c r="HG70" s="135"/>
      <c r="HH70" s="135"/>
      <c r="HI70" s="135"/>
      <c r="HJ70" s="135"/>
      <c r="HK70" s="135"/>
      <c r="HL70" s="135"/>
      <c r="HM70" s="135"/>
      <c r="HN70" s="135"/>
      <c r="HO70" s="135"/>
      <c r="HP70" s="135"/>
      <c r="HQ70" s="135"/>
      <c r="HR70" s="135"/>
      <c r="HS70" s="135"/>
      <c r="HT70" s="135"/>
      <c r="HU70" s="135"/>
      <c r="HV70" s="135"/>
      <c r="HW70" s="135"/>
      <c r="HX70" s="145"/>
      <c r="HY70" s="135"/>
      <c r="HZ70" s="135"/>
      <c r="IA70" s="135"/>
      <c r="IB70" s="135"/>
      <c r="IC70" s="135"/>
      <c r="ID70" s="135"/>
      <c r="IE70" s="135"/>
      <c r="IF70" s="135"/>
      <c r="IG70" s="135"/>
      <c r="IH70" s="135"/>
      <c r="II70" s="135"/>
      <c r="IJ70" s="135"/>
      <c r="IK70" s="135"/>
      <c r="IL70" s="135"/>
      <c r="IM70" s="135"/>
      <c r="IN70" s="135"/>
      <c r="IO70" s="135"/>
      <c r="IP70" s="135"/>
      <c r="IQ70" s="135"/>
      <c r="IR70" s="135"/>
      <c r="IS70" s="135"/>
      <c r="IT70" s="135"/>
      <c r="IU70" s="135"/>
      <c r="IV70" s="135"/>
      <c r="IW70" s="135"/>
      <c r="IX70" s="135"/>
      <c r="IY70" s="135"/>
      <c r="IZ70" s="135"/>
      <c r="JA70" s="135"/>
      <c r="JB70" s="135"/>
      <c r="JC70" s="135"/>
      <c r="JD70" s="135"/>
      <c r="JE70" s="135"/>
      <c r="JF70" s="135"/>
      <c r="JG70" s="135"/>
      <c r="JH70" s="135"/>
      <c r="JI70" s="135"/>
      <c r="JJ70" s="135"/>
      <c r="JK70" s="135"/>
      <c r="JL70" s="135"/>
      <c r="JM70" s="135"/>
      <c r="JN70" s="135"/>
      <c r="JO70" s="135"/>
      <c r="JP70" s="135"/>
      <c r="JQ70" s="135"/>
      <c r="JR70" s="135"/>
      <c r="JS70" s="135"/>
    </row>
    <row r="71" spans="1:279" s="144" customFormat="1">
      <c r="A71" s="135"/>
      <c r="B71" s="136"/>
      <c r="C71" s="150"/>
      <c r="D71" s="136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6"/>
      <c r="AV71" s="156"/>
      <c r="AW71" s="156"/>
      <c r="AX71" s="151"/>
      <c r="AY71" s="151"/>
      <c r="AZ71" s="156"/>
      <c r="BA71" s="156"/>
      <c r="BB71" s="156"/>
      <c r="BC71" s="151"/>
      <c r="BD71" s="151"/>
      <c r="BE71" s="156"/>
      <c r="BF71" s="156"/>
      <c r="BG71" s="156"/>
      <c r="BH71" s="151"/>
      <c r="BI71" s="151"/>
      <c r="BJ71" s="156"/>
      <c r="BK71" s="156"/>
      <c r="BL71" s="156"/>
      <c r="BM71" s="151"/>
      <c r="BN71" s="151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35"/>
      <c r="CR71" s="135"/>
      <c r="CS71" s="135"/>
      <c r="CT71" s="156"/>
      <c r="CU71" s="135"/>
      <c r="CV71" s="135"/>
      <c r="CW71" s="135"/>
      <c r="CX71" s="156"/>
      <c r="CY71" s="135"/>
      <c r="CZ71" s="135"/>
      <c r="DA71" s="135"/>
      <c r="DB71" s="156"/>
      <c r="DC71" s="135"/>
      <c r="DD71" s="135"/>
      <c r="DE71" s="135"/>
      <c r="DF71" s="156"/>
      <c r="DG71" s="135"/>
      <c r="DH71" s="135"/>
      <c r="DI71" s="135"/>
      <c r="DJ71" s="156"/>
      <c r="DK71" s="135"/>
      <c r="DL71" s="135"/>
      <c r="DM71" s="135"/>
      <c r="DN71" s="156"/>
      <c r="DO71" s="135"/>
      <c r="DP71" s="135"/>
      <c r="DQ71" s="135"/>
      <c r="DR71" s="156"/>
      <c r="DS71" s="135"/>
      <c r="DT71" s="135"/>
      <c r="DU71" s="135"/>
      <c r="DV71" s="156"/>
      <c r="DW71" s="135"/>
      <c r="DX71" s="135"/>
      <c r="DY71" s="135"/>
      <c r="DZ71" s="156"/>
      <c r="EA71" s="135"/>
      <c r="EB71" s="135"/>
      <c r="EC71" s="135"/>
      <c r="ED71" s="156"/>
      <c r="EE71" s="135"/>
      <c r="EF71" s="135"/>
      <c r="EG71" s="135"/>
      <c r="EH71" s="156"/>
      <c r="EI71" s="135"/>
      <c r="EJ71" s="135"/>
      <c r="EK71" s="135"/>
      <c r="EL71" s="156"/>
      <c r="EM71" s="135"/>
      <c r="EN71" s="135"/>
      <c r="EO71" s="135"/>
      <c r="EP71" s="156"/>
      <c r="EQ71" s="135"/>
      <c r="ER71" s="135"/>
      <c r="ES71" s="135"/>
      <c r="ET71" s="156"/>
      <c r="EU71" s="135"/>
      <c r="EV71" s="135"/>
      <c r="EW71" s="135"/>
      <c r="EX71" s="156"/>
      <c r="EY71" s="135"/>
      <c r="EZ71" s="135"/>
      <c r="FA71" s="135"/>
      <c r="FB71" s="156"/>
      <c r="FC71" s="135"/>
      <c r="FD71" s="135"/>
      <c r="FE71" s="135"/>
      <c r="FF71" s="156"/>
      <c r="FG71" s="135"/>
      <c r="FH71" s="135"/>
      <c r="FI71" s="135"/>
      <c r="FJ71" s="156"/>
      <c r="FK71" s="135"/>
      <c r="FL71" s="135"/>
      <c r="FM71" s="135"/>
      <c r="FN71" s="156"/>
      <c r="FO71" s="135"/>
      <c r="FP71" s="135"/>
      <c r="FQ71" s="135"/>
      <c r="FR71" s="156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5"/>
      <c r="GI71" s="135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5"/>
      <c r="GV71" s="135"/>
      <c r="GW71" s="135"/>
      <c r="GX71" s="135"/>
      <c r="GY71" s="135"/>
      <c r="GZ71" s="135"/>
      <c r="HA71" s="135"/>
      <c r="HB71" s="135"/>
      <c r="HC71" s="135"/>
      <c r="HD71" s="135"/>
      <c r="HE71" s="135"/>
      <c r="HF71" s="135"/>
      <c r="HG71" s="135"/>
      <c r="HH71" s="135"/>
      <c r="HI71" s="135"/>
      <c r="HJ71" s="135"/>
      <c r="HK71" s="135"/>
      <c r="HL71" s="135"/>
      <c r="HM71" s="135"/>
      <c r="HN71" s="135"/>
      <c r="HO71" s="135"/>
      <c r="HP71" s="135"/>
      <c r="HQ71" s="135"/>
      <c r="HR71" s="135"/>
      <c r="HS71" s="135"/>
      <c r="HT71" s="135"/>
      <c r="HU71" s="135"/>
      <c r="HV71" s="135"/>
      <c r="HW71" s="135"/>
      <c r="HX71" s="145"/>
      <c r="HY71" s="135"/>
      <c r="HZ71" s="135"/>
      <c r="IA71" s="135"/>
      <c r="IB71" s="135"/>
      <c r="IC71" s="135"/>
      <c r="ID71" s="135"/>
      <c r="IE71" s="135"/>
      <c r="IF71" s="135"/>
      <c r="IG71" s="135"/>
      <c r="IH71" s="135"/>
      <c r="II71" s="135"/>
      <c r="IJ71" s="135"/>
      <c r="IK71" s="135"/>
      <c r="IL71" s="135"/>
      <c r="IM71" s="135"/>
      <c r="IN71" s="135"/>
      <c r="IO71" s="135"/>
      <c r="IP71" s="135"/>
      <c r="IQ71" s="135"/>
      <c r="IR71" s="135"/>
      <c r="IS71" s="135"/>
      <c r="IT71" s="135"/>
      <c r="IU71" s="135"/>
      <c r="IV71" s="135"/>
      <c r="IW71" s="135"/>
      <c r="IX71" s="135"/>
      <c r="IY71" s="135"/>
      <c r="IZ71" s="135"/>
      <c r="JA71" s="135"/>
      <c r="JB71" s="135"/>
      <c r="JC71" s="135"/>
      <c r="JD71" s="135"/>
      <c r="JE71" s="135"/>
      <c r="JF71" s="135"/>
      <c r="JG71" s="135"/>
      <c r="JH71" s="135"/>
      <c r="JI71" s="135"/>
      <c r="JJ71" s="135"/>
      <c r="JK71" s="135"/>
      <c r="JL71" s="135"/>
      <c r="JM71" s="135"/>
      <c r="JN71" s="135"/>
      <c r="JO71" s="135"/>
      <c r="JP71" s="135"/>
      <c r="JQ71" s="135"/>
      <c r="JR71" s="135"/>
      <c r="JS71" s="135"/>
    </row>
    <row r="72" spans="1:279" s="144" customFormat="1">
      <c r="A72" s="135"/>
      <c r="B72" s="136"/>
      <c r="C72" s="150"/>
      <c r="D72" s="136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6"/>
      <c r="AV72" s="156"/>
      <c r="AW72" s="156"/>
      <c r="AX72" s="151"/>
      <c r="AY72" s="151"/>
      <c r="AZ72" s="156"/>
      <c r="BA72" s="156"/>
      <c r="BB72" s="156"/>
      <c r="BC72" s="151"/>
      <c r="BD72" s="151"/>
      <c r="BE72" s="156"/>
      <c r="BF72" s="156"/>
      <c r="BG72" s="156"/>
      <c r="BH72" s="151"/>
      <c r="BI72" s="151"/>
      <c r="BJ72" s="156"/>
      <c r="BK72" s="156"/>
      <c r="BL72" s="156"/>
      <c r="BM72" s="151"/>
      <c r="BN72" s="151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35"/>
      <c r="CR72" s="135"/>
      <c r="CS72" s="135"/>
      <c r="CT72" s="156"/>
      <c r="CU72" s="135"/>
      <c r="CV72" s="135"/>
      <c r="CW72" s="135"/>
      <c r="CX72" s="156"/>
      <c r="CY72" s="135"/>
      <c r="CZ72" s="135"/>
      <c r="DA72" s="135"/>
      <c r="DB72" s="156"/>
      <c r="DC72" s="135"/>
      <c r="DD72" s="135"/>
      <c r="DE72" s="135"/>
      <c r="DF72" s="156"/>
      <c r="DG72" s="135"/>
      <c r="DH72" s="135"/>
      <c r="DI72" s="135"/>
      <c r="DJ72" s="156"/>
      <c r="DK72" s="135"/>
      <c r="DL72" s="135"/>
      <c r="DM72" s="135"/>
      <c r="DN72" s="156"/>
      <c r="DO72" s="135"/>
      <c r="DP72" s="135"/>
      <c r="DQ72" s="135"/>
      <c r="DR72" s="156"/>
      <c r="DS72" s="135"/>
      <c r="DT72" s="135"/>
      <c r="DU72" s="135"/>
      <c r="DV72" s="156"/>
      <c r="DW72" s="135"/>
      <c r="DX72" s="135"/>
      <c r="DY72" s="135"/>
      <c r="DZ72" s="156"/>
      <c r="EA72" s="135"/>
      <c r="EB72" s="135"/>
      <c r="EC72" s="135"/>
      <c r="ED72" s="156"/>
      <c r="EE72" s="135"/>
      <c r="EF72" s="135"/>
      <c r="EG72" s="135"/>
      <c r="EH72" s="156"/>
      <c r="EI72" s="135"/>
      <c r="EJ72" s="135"/>
      <c r="EK72" s="135"/>
      <c r="EL72" s="156"/>
      <c r="EM72" s="135"/>
      <c r="EN72" s="135"/>
      <c r="EO72" s="135"/>
      <c r="EP72" s="156"/>
      <c r="EQ72" s="135"/>
      <c r="ER72" s="135"/>
      <c r="ES72" s="135"/>
      <c r="ET72" s="156"/>
      <c r="EU72" s="135"/>
      <c r="EV72" s="135"/>
      <c r="EW72" s="135"/>
      <c r="EX72" s="156"/>
      <c r="EY72" s="135"/>
      <c r="EZ72" s="135"/>
      <c r="FA72" s="135"/>
      <c r="FB72" s="156"/>
      <c r="FC72" s="135"/>
      <c r="FD72" s="135"/>
      <c r="FE72" s="135"/>
      <c r="FF72" s="156"/>
      <c r="FG72" s="135"/>
      <c r="FH72" s="135"/>
      <c r="FI72" s="135"/>
      <c r="FJ72" s="156"/>
      <c r="FK72" s="135"/>
      <c r="FL72" s="135"/>
      <c r="FM72" s="135"/>
      <c r="FN72" s="156"/>
      <c r="FO72" s="135"/>
      <c r="FP72" s="135"/>
      <c r="FQ72" s="135"/>
      <c r="FR72" s="156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5"/>
      <c r="GI72" s="135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5"/>
      <c r="GV72" s="135"/>
      <c r="GW72" s="135"/>
      <c r="GX72" s="135"/>
      <c r="GY72" s="135"/>
      <c r="GZ72" s="135"/>
      <c r="HA72" s="135"/>
      <c r="HB72" s="135"/>
      <c r="HC72" s="135"/>
      <c r="HD72" s="135"/>
      <c r="HE72" s="135"/>
      <c r="HF72" s="135"/>
      <c r="HG72" s="135"/>
      <c r="HH72" s="135"/>
      <c r="HI72" s="135"/>
      <c r="HJ72" s="135"/>
      <c r="HK72" s="135"/>
      <c r="HL72" s="135"/>
      <c r="HM72" s="135"/>
      <c r="HN72" s="135"/>
      <c r="HO72" s="135"/>
      <c r="HP72" s="135"/>
      <c r="HQ72" s="135"/>
      <c r="HR72" s="135"/>
      <c r="HS72" s="135"/>
      <c r="HT72" s="135"/>
      <c r="HU72" s="135"/>
      <c r="HV72" s="135"/>
      <c r="HW72" s="135"/>
      <c r="HX72" s="145"/>
      <c r="HY72" s="135"/>
      <c r="HZ72" s="135"/>
      <c r="IA72" s="135"/>
      <c r="IB72" s="135"/>
      <c r="IC72" s="135"/>
      <c r="ID72" s="135"/>
      <c r="IE72" s="135"/>
      <c r="IF72" s="135"/>
      <c r="IG72" s="135"/>
      <c r="IH72" s="135"/>
      <c r="II72" s="135"/>
      <c r="IJ72" s="135"/>
      <c r="IK72" s="135"/>
      <c r="IL72" s="135"/>
      <c r="IM72" s="135"/>
      <c r="IN72" s="135"/>
      <c r="IO72" s="135"/>
      <c r="IP72" s="135"/>
      <c r="IQ72" s="135"/>
      <c r="IR72" s="135"/>
      <c r="IS72" s="135"/>
      <c r="IT72" s="135"/>
      <c r="IU72" s="135"/>
      <c r="IV72" s="135"/>
      <c r="IW72" s="135"/>
      <c r="IX72" s="135"/>
      <c r="IY72" s="135"/>
      <c r="IZ72" s="135"/>
      <c r="JA72" s="135"/>
      <c r="JB72" s="135"/>
      <c r="JC72" s="135"/>
      <c r="JD72" s="135"/>
      <c r="JE72" s="135"/>
      <c r="JF72" s="135"/>
      <c r="JG72" s="135"/>
      <c r="JH72" s="135"/>
      <c r="JI72" s="135"/>
      <c r="JJ72" s="135"/>
      <c r="JK72" s="135"/>
      <c r="JL72" s="135"/>
      <c r="JM72" s="135"/>
      <c r="JN72" s="135"/>
      <c r="JO72" s="135"/>
      <c r="JP72" s="135"/>
      <c r="JQ72" s="135"/>
      <c r="JR72" s="135"/>
      <c r="JS72" s="135"/>
    </row>
    <row r="73" spans="1:279" s="144" customFormat="1">
      <c r="A73" s="135"/>
      <c r="B73" s="136"/>
      <c r="C73" s="150"/>
      <c r="D73" s="136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6"/>
      <c r="AV73" s="156"/>
      <c r="AW73" s="156"/>
      <c r="AX73" s="151"/>
      <c r="AY73" s="151"/>
      <c r="AZ73" s="156"/>
      <c r="BA73" s="156"/>
      <c r="BB73" s="156"/>
      <c r="BC73" s="151"/>
      <c r="BD73" s="151"/>
      <c r="BE73" s="156"/>
      <c r="BF73" s="156"/>
      <c r="BG73" s="156"/>
      <c r="BH73" s="151"/>
      <c r="BI73" s="151"/>
      <c r="BJ73" s="156"/>
      <c r="BK73" s="156"/>
      <c r="BL73" s="156"/>
      <c r="BM73" s="151"/>
      <c r="BN73" s="151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35"/>
      <c r="CR73" s="135"/>
      <c r="CS73" s="135"/>
      <c r="CT73" s="156"/>
      <c r="CU73" s="135"/>
      <c r="CV73" s="135"/>
      <c r="CW73" s="135"/>
      <c r="CX73" s="156"/>
      <c r="CY73" s="135"/>
      <c r="CZ73" s="135"/>
      <c r="DA73" s="135"/>
      <c r="DB73" s="156"/>
      <c r="DC73" s="135"/>
      <c r="DD73" s="135"/>
      <c r="DE73" s="135"/>
      <c r="DF73" s="156"/>
      <c r="DG73" s="135"/>
      <c r="DH73" s="135"/>
      <c r="DI73" s="135"/>
      <c r="DJ73" s="156"/>
      <c r="DK73" s="135"/>
      <c r="DL73" s="135"/>
      <c r="DM73" s="135"/>
      <c r="DN73" s="156"/>
      <c r="DO73" s="135"/>
      <c r="DP73" s="135"/>
      <c r="DQ73" s="135"/>
      <c r="DR73" s="156"/>
      <c r="DS73" s="135"/>
      <c r="DT73" s="135"/>
      <c r="DU73" s="135"/>
      <c r="DV73" s="156"/>
      <c r="DW73" s="135"/>
      <c r="DX73" s="135"/>
      <c r="DY73" s="135"/>
      <c r="DZ73" s="156"/>
      <c r="EA73" s="135"/>
      <c r="EB73" s="135"/>
      <c r="EC73" s="135"/>
      <c r="ED73" s="156"/>
      <c r="EE73" s="135"/>
      <c r="EF73" s="135"/>
      <c r="EG73" s="135"/>
      <c r="EH73" s="156"/>
      <c r="EI73" s="135"/>
      <c r="EJ73" s="135"/>
      <c r="EK73" s="135"/>
      <c r="EL73" s="156"/>
      <c r="EM73" s="135"/>
      <c r="EN73" s="135"/>
      <c r="EO73" s="135"/>
      <c r="EP73" s="156"/>
      <c r="EQ73" s="135"/>
      <c r="ER73" s="135"/>
      <c r="ES73" s="135"/>
      <c r="ET73" s="156"/>
      <c r="EU73" s="135"/>
      <c r="EV73" s="135"/>
      <c r="EW73" s="135"/>
      <c r="EX73" s="156"/>
      <c r="EY73" s="135"/>
      <c r="EZ73" s="135"/>
      <c r="FA73" s="135"/>
      <c r="FB73" s="156"/>
      <c r="FC73" s="135"/>
      <c r="FD73" s="135"/>
      <c r="FE73" s="135"/>
      <c r="FF73" s="156"/>
      <c r="FG73" s="135"/>
      <c r="FH73" s="135"/>
      <c r="FI73" s="135"/>
      <c r="FJ73" s="156"/>
      <c r="FK73" s="135"/>
      <c r="FL73" s="135"/>
      <c r="FM73" s="135"/>
      <c r="FN73" s="156"/>
      <c r="FO73" s="135"/>
      <c r="FP73" s="135"/>
      <c r="FQ73" s="135"/>
      <c r="FR73" s="156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5"/>
      <c r="GI73" s="135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5"/>
      <c r="GV73" s="135"/>
      <c r="GW73" s="135"/>
      <c r="GX73" s="135"/>
      <c r="GY73" s="135"/>
      <c r="GZ73" s="135"/>
      <c r="HA73" s="135"/>
      <c r="HB73" s="135"/>
      <c r="HC73" s="135"/>
      <c r="HD73" s="135"/>
      <c r="HE73" s="135"/>
      <c r="HF73" s="135"/>
      <c r="HG73" s="135"/>
      <c r="HH73" s="135"/>
      <c r="HI73" s="135"/>
      <c r="HJ73" s="135"/>
      <c r="HK73" s="135"/>
      <c r="HL73" s="135"/>
      <c r="HM73" s="135"/>
      <c r="HN73" s="135"/>
      <c r="HO73" s="135"/>
      <c r="HP73" s="135"/>
      <c r="HQ73" s="135"/>
      <c r="HR73" s="135"/>
      <c r="HS73" s="135"/>
      <c r="HT73" s="135"/>
      <c r="HU73" s="135"/>
      <c r="HV73" s="135"/>
      <c r="HW73" s="135"/>
      <c r="HX73" s="145"/>
      <c r="HY73" s="135"/>
      <c r="HZ73" s="135"/>
      <c r="IA73" s="135"/>
      <c r="IB73" s="135"/>
      <c r="IC73" s="135"/>
      <c r="ID73" s="135"/>
      <c r="IE73" s="135"/>
      <c r="IF73" s="135"/>
      <c r="IG73" s="135"/>
      <c r="IH73" s="135"/>
      <c r="II73" s="135"/>
      <c r="IJ73" s="135"/>
      <c r="IK73" s="135"/>
      <c r="IL73" s="135"/>
      <c r="IM73" s="135"/>
      <c r="IN73" s="135"/>
      <c r="IO73" s="135"/>
      <c r="IP73" s="135"/>
      <c r="IQ73" s="135"/>
      <c r="IR73" s="135"/>
      <c r="IS73" s="135"/>
      <c r="IT73" s="135"/>
      <c r="IU73" s="135"/>
      <c r="IV73" s="135"/>
      <c r="IW73" s="135"/>
      <c r="IX73" s="135"/>
      <c r="IY73" s="135"/>
      <c r="IZ73" s="135"/>
      <c r="JA73" s="135"/>
      <c r="JB73" s="135"/>
      <c r="JC73" s="135"/>
      <c r="JD73" s="135"/>
      <c r="JE73" s="135"/>
      <c r="JF73" s="135"/>
      <c r="JG73" s="135"/>
      <c r="JH73" s="135"/>
      <c r="JI73" s="135"/>
      <c r="JJ73" s="135"/>
      <c r="JK73" s="135"/>
      <c r="JL73" s="135"/>
      <c r="JM73" s="135"/>
      <c r="JN73" s="135"/>
      <c r="JO73" s="135"/>
      <c r="JP73" s="135"/>
      <c r="JQ73" s="135"/>
      <c r="JR73" s="135"/>
      <c r="JS73" s="135"/>
    </row>
    <row r="74" spans="1:279" s="144" customFormat="1">
      <c r="A74" s="135"/>
      <c r="B74" s="136"/>
      <c r="C74" s="150"/>
      <c r="D74" s="136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6"/>
      <c r="AV74" s="156"/>
      <c r="AW74" s="156"/>
      <c r="AX74" s="151"/>
      <c r="AY74" s="151"/>
      <c r="AZ74" s="156"/>
      <c r="BA74" s="156"/>
      <c r="BB74" s="156"/>
      <c r="BC74" s="151"/>
      <c r="BD74" s="151"/>
      <c r="BE74" s="156"/>
      <c r="BF74" s="156"/>
      <c r="BG74" s="156"/>
      <c r="BH74" s="151"/>
      <c r="BI74" s="151"/>
      <c r="BJ74" s="156"/>
      <c r="BK74" s="156"/>
      <c r="BL74" s="156"/>
      <c r="BM74" s="151"/>
      <c r="BN74" s="151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35"/>
      <c r="CR74" s="135"/>
      <c r="CS74" s="135"/>
      <c r="CT74" s="156"/>
      <c r="CU74" s="135"/>
      <c r="CV74" s="135"/>
      <c r="CW74" s="135"/>
      <c r="CX74" s="156"/>
      <c r="CY74" s="135"/>
      <c r="CZ74" s="135"/>
      <c r="DA74" s="135"/>
      <c r="DB74" s="156"/>
      <c r="DC74" s="135"/>
      <c r="DD74" s="135"/>
      <c r="DE74" s="135"/>
      <c r="DF74" s="156"/>
      <c r="DG74" s="135"/>
      <c r="DH74" s="135"/>
      <c r="DI74" s="135"/>
      <c r="DJ74" s="156"/>
      <c r="DK74" s="135"/>
      <c r="DL74" s="135"/>
      <c r="DM74" s="135"/>
      <c r="DN74" s="156"/>
      <c r="DO74" s="135"/>
      <c r="DP74" s="135"/>
      <c r="DQ74" s="135"/>
      <c r="DR74" s="156"/>
      <c r="DS74" s="135"/>
      <c r="DT74" s="135"/>
      <c r="DU74" s="135"/>
      <c r="DV74" s="156"/>
      <c r="DW74" s="135"/>
      <c r="DX74" s="135"/>
      <c r="DY74" s="135"/>
      <c r="DZ74" s="156"/>
      <c r="EA74" s="135"/>
      <c r="EB74" s="135"/>
      <c r="EC74" s="135"/>
      <c r="ED74" s="156"/>
      <c r="EE74" s="135"/>
      <c r="EF74" s="135"/>
      <c r="EG74" s="135"/>
      <c r="EH74" s="156"/>
      <c r="EI74" s="135"/>
      <c r="EJ74" s="135"/>
      <c r="EK74" s="135"/>
      <c r="EL74" s="156"/>
      <c r="EM74" s="135"/>
      <c r="EN74" s="135"/>
      <c r="EO74" s="135"/>
      <c r="EP74" s="156"/>
      <c r="EQ74" s="135"/>
      <c r="ER74" s="135"/>
      <c r="ES74" s="135"/>
      <c r="ET74" s="156"/>
      <c r="EU74" s="135"/>
      <c r="EV74" s="135"/>
      <c r="EW74" s="135"/>
      <c r="EX74" s="156"/>
      <c r="EY74" s="135"/>
      <c r="EZ74" s="135"/>
      <c r="FA74" s="135"/>
      <c r="FB74" s="156"/>
      <c r="FC74" s="135"/>
      <c r="FD74" s="135"/>
      <c r="FE74" s="135"/>
      <c r="FF74" s="156"/>
      <c r="FG74" s="135"/>
      <c r="FH74" s="135"/>
      <c r="FI74" s="135"/>
      <c r="FJ74" s="156"/>
      <c r="FK74" s="135"/>
      <c r="FL74" s="135"/>
      <c r="FM74" s="135"/>
      <c r="FN74" s="156"/>
      <c r="FO74" s="135"/>
      <c r="FP74" s="135"/>
      <c r="FQ74" s="135"/>
      <c r="FR74" s="156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5"/>
      <c r="GI74" s="135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5"/>
      <c r="GV74" s="135"/>
      <c r="GW74" s="135"/>
      <c r="GX74" s="135"/>
      <c r="GY74" s="135"/>
      <c r="GZ74" s="135"/>
      <c r="HA74" s="135"/>
      <c r="HB74" s="135"/>
      <c r="HC74" s="135"/>
      <c r="HD74" s="135"/>
      <c r="HE74" s="135"/>
      <c r="HF74" s="135"/>
      <c r="HG74" s="135"/>
      <c r="HH74" s="135"/>
      <c r="HI74" s="135"/>
      <c r="HJ74" s="135"/>
      <c r="HK74" s="135"/>
      <c r="HL74" s="135"/>
      <c r="HM74" s="135"/>
      <c r="HN74" s="135"/>
      <c r="HO74" s="135"/>
      <c r="HP74" s="135"/>
      <c r="HQ74" s="135"/>
      <c r="HR74" s="135"/>
      <c r="HS74" s="135"/>
      <c r="HT74" s="135"/>
      <c r="HU74" s="135"/>
      <c r="HV74" s="135"/>
      <c r="HW74" s="135"/>
      <c r="HX74" s="145"/>
      <c r="HY74" s="135"/>
      <c r="HZ74" s="135"/>
      <c r="IA74" s="135"/>
      <c r="IB74" s="135"/>
      <c r="IC74" s="135"/>
      <c r="ID74" s="135"/>
      <c r="IE74" s="135"/>
      <c r="IF74" s="135"/>
      <c r="IG74" s="135"/>
      <c r="IH74" s="135"/>
      <c r="II74" s="135"/>
      <c r="IJ74" s="135"/>
      <c r="IK74" s="135"/>
      <c r="IL74" s="135"/>
      <c r="IM74" s="135"/>
      <c r="IN74" s="135"/>
      <c r="IO74" s="135"/>
      <c r="IP74" s="135"/>
      <c r="IQ74" s="135"/>
      <c r="IR74" s="135"/>
      <c r="IS74" s="135"/>
      <c r="IT74" s="135"/>
      <c r="IU74" s="135"/>
      <c r="IV74" s="135"/>
      <c r="IW74" s="135"/>
      <c r="IX74" s="135"/>
      <c r="IY74" s="135"/>
      <c r="IZ74" s="135"/>
      <c r="JA74" s="135"/>
      <c r="JB74" s="135"/>
      <c r="JC74" s="135"/>
      <c r="JD74" s="135"/>
      <c r="JE74" s="135"/>
      <c r="JF74" s="135"/>
      <c r="JG74" s="135"/>
      <c r="JH74" s="135"/>
      <c r="JI74" s="135"/>
      <c r="JJ74" s="135"/>
      <c r="JK74" s="135"/>
      <c r="JL74" s="135"/>
      <c r="JM74" s="135"/>
      <c r="JN74" s="135"/>
      <c r="JO74" s="135"/>
      <c r="JP74" s="135"/>
      <c r="JQ74" s="135"/>
      <c r="JR74" s="135"/>
      <c r="JS74" s="135"/>
    </row>
    <row r="75" spans="1:279" s="144" customFormat="1">
      <c r="A75" s="135"/>
      <c r="B75" s="136"/>
      <c r="C75" s="150"/>
      <c r="D75" s="136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6"/>
      <c r="AV75" s="156"/>
      <c r="AW75" s="156"/>
      <c r="AX75" s="151"/>
      <c r="AY75" s="151"/>
      <c r="AZ75" s="156"/>
      <c r="BA75" s="156"/>
      <c r="BB75" s="156"/>
      <c r="BC75" s="151"/>
      <c r="BD75" s="151"/>
      <c r="BE75" s="156"/>
      <c r="BF75" s="156"/>
      <c r="BG75" s="156"/>
      <c r="BH75" s="151"/>
      <c r="BI75" s="151"/>
      <c r="BJ75" s="156"/>
      <c r="BK75" s="156"/>
      <c r="BL75" s="156"/>
      <c r="BM75" s="151"/>
      <c r="BN75" s="151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35"/>
      <c r="CR75" s="135"/>
      <c r="CS75" s="135"/>
      <c r="CT75" s="156"/>
      <c r="CU75" s="135"/>
      <c r="CV75" s="135"/>
      <c r="CW75" s="135"/>
      <c r="CX75" s="156"/>
      <c r="CY75" s="135"/>
      <c r="CZ75" s="135"/>
      <c r="DA75" s="135"/>
      <c r="DB75" s="156"/>
      <c r="DC75" s="135"/>
      <c r="DD75" s="135"/>
      <c r="DE75" s="135"/>
      <c r="DF75" s="156"/>
      <c r="DG75" s="135"/>
      <c r="DH75" s="135"/>
      <c r="DI75" s="135"/>
      <c r="DJ75" s="156"/>
      <c r="DK75" s="135"/>
      <c r="DL75" s="135"/>
      <c r="DM75" s="135"/>
      <c r="DN75" s="156"/>
      <c r="DO75" s="135"/>
      <c r="DP75" s="135"/>
      <c r="DQ75" s="135"/>
      <c r="DR75" s="156"/>
      <c r="DS75" s="135"/>
      <c r="DT75" s="135"/>
      <c r="DU75" s="135"/>
      <c r="DV75" s="156"/>
      <c r="DW75" s="135"/>
      <c r="DX75" s="135"/>
      <c r="DY75" s="135"/>
      <c r="DZ75" s="156"/>
      <c r="EA75" s="135"/>
      <c r="EB75" s="135"/>
      <c r="EC75" s="135"/>
      <c r="ED75" s="156"/>
      <c r="EE75" s="135"/>
      <c r="EF75" s="135"/>
      <c r="EG75" s="135"/>
      <c r="EH75" s="156"/>
      <c r="EI75" s="135"/>
      <c r="EJ75" s="135"/>
      <c r="EK75" s="135"/>
      <c r="EL75" s="156"/>
      <c r="EM75" s="135"/>
      <c r="EN75" s="135"/>
      <c r="EO75" s="135"/>
      <c r="EP75" s="156"/>
      <c r="EQ75" s="135"/>
      <c r="ER75" s="135"/>
      <c r="ES75" s="135"/>
      <c r="ET75" s="156"/>
      <c r="EU75" s="135"/>
      <c r="EV75" s="135"/>
      <c r="EW75" s="135"/>
      <c r="EX75" s="156"/>
      <c r="EY75" s="135"/>
      <c r="EZ75" s="135"/>
      <c r="FA75" s="135"/>
      <c r="FB75" s="156"/>
      <c r="FC75" s="135"/>
      <c r="FD75" s="135"/>
      <c r="FE75" s="135"/>
      <c r="FF75" s="156"/>
      <c r="FG75" s="135"/>
      <c r="FH75" s="135"/>
      <c r="FI75" s="135"/>
      <c r="FJ75" s="156"/>
      <c r="FK75" s="135"/>
      <c r="FL75" s="135"/>
      <c r="FM75" s="135"/>
      <c r="FN75" s="156"/>
      <c r="FO75" s="135"/>
      <c r="FP75" s="135"/>
      <c r="FQ75" s="135"/>
      <c r="FR75" s="156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5"/>
      <c r="GI75" s="135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5"/>
      <c r="GV75" s="135"/>
      <c r="GW75" s="135"/>
      <c r="GX75" s="135"/>
      <c r="GY75" s="135"/>
      <c r="GZ75" s="135"/>
      <c r="HA75" s="135"/>
      <c r="HB75" s="135"/>
      <c r="HC75" s="135"/>
      <c r="HD75" s="135"/>
      <c r="HE75" s="135"/>
      <c r="HF75" s="135"/>
      <c r="HG75" s="135"/>
      <c r="HH75" s="135"/>
      <c r="HI75" s="135"/>
      <c r="HJ75" s="135"/>
      <c r="HK75" s="135"/>
      <c r="HL75" s="135"/>
      <c r="HM75" s="135"/>
      <c r="HN75" s="135"/>
      <c r="HO75" s="135"/>
      <c r="HP75" s="135"/>
      <c r="HQ75" s="135"/>
      <c r="HR75" s="135"/>
      <c r="HS75" s="135"/>
      <c r="HT75" s="135"/>
      <c r="HU75" s="135"/>
      <c r="HV75" s="135"/>
      <c r="HW75" s="135"/>
      <c r="HX75" s="145"/>
      <c r="HY75" s="135"/>
      <c r="HZ75" s="135"/>
      <c r="IA75" s="135"/>
      <c r="IB75" s="135"/>
      <c r="IC75" s="135"/>
      <c r="ID75" s="135"/>
      <c r="IE75" s="135"/>
      <c r="IF75" s="135"/>
      <c r="IG75" s="135"/>
      <c r="IH75" s="135"/>
      <c r="II75" s="135"/>
      <c r="IJ75" s="135"/>
      <c r="IK75" s="135"/>
      <c r="IL75" s="135"/>
      <c r="IM75" s="135"/>
      <c r="IN75" s="135"/>
      <c r="IO75" s="135"/>
      <c r="IP75" s="135"/>
      <c r="IQ75" s="135"/>
      <c r="IR75" s="135"/>
      <c r="IS75" s="135"/>
      <c r="IT75" s="135"/>
      <c r="IU75" s="135"/>
      <c r="IV75" s="135"/>
      <c r="IW75" s="135"/>
      <c r="IX75" s="135"/>
      <c r="IY75" s="135"/>
      <c r="IZ75" s="135"/>
      <c r="JA75" s="135"/>
      <c r="JB75" s="135"/>
      <c r="JC75" s="135"/>
      <c r="JD75" s="135"/>
      <c r="JE75" s="135"/>
      <c r="JF75" s="135"/>
      <c r="JG75" s="135"/>
      <c r="JH75" s="135"/>
      <c r="JI75" s="135"/>
      <c r="JJ75" s="135"/>
      <c r="JK75" s="135"/>
      <c r="JL75" s="135"/>
      <c r="JM75" s="135"/>
      <c r="JN75" s="135"/>
      <c r="JO75" s="135"/>
      <c r="JP75" s="135"/>
      <c r="JQ75" s="135"/>
      <c r="JR75" s="135"/>
      <c r="JS75" s="135"/>
    </row>
    <row r="76" spans="1:279" s="144" customFormat="1">
      <c r="A76" s="135"/>
      <c r="B76" s="136"/>
      <c r="C76" s="150"/>
      <c r="D76" s="136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6"/>
      <c r="AV76" s="156"/>
      <c r="AW76" s="156"/>
      <c r="AX76" s="151"/>
      <c r="AY76" s="151"/>
      <c r="AZ76" s="156"/>
      <c r="BA76" s="156"/>
      <c r="BB76" s="156"/>
      <c r="BC76" s="151"/>
      <c r="BD76" s="151"/>
      <c r="BE76" s="156"/>
      <c r="BF76" s="156"/>
      <c r="BG76" s="156"/>
      <c r="BH76" s="151"/>
      <c r="BI76" s="151"/>
      <c r="BJ76" s="156"/>
      <c r="BK76" s="156"/>
      <c r="BL76" s="156"/>
      <c r="BM76" s="151"/>
      <c r="BN76" s="151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35"/>
      <c r="CR76" s="135"/>
      <c r="CS76" s="135"/>
      <c r="CT76" s="156"/>
      <c r="CU76" s="135"/>
      <c r="CV76" s="135"/>
      <c r="CW76" s="135"/>
      <c r="CX76" s="156"/>
      <c r="CY76" s="135"/>
      <c r="CZ76" s="135"/>
      <c r="DA76" s="135"/>
      <c r="DB76" s="156"/>
      <c r="DC76" s="135"/>
      <c r="DD76" s="135"/>
      <c r="DE76" s="135"/>
      <c r="DF76" s="156"/>
      <c r="DG76" s="135"/>
      <c r="DH76" s="135"/>
      <c r="DI76" s="135"/>
      <c r="DJ76" s="156"/>
      <c r="DK76" s="135"/>
      <c r="DL76" s="135"/>
      <c r="DM76" s="135"/>
      <c r="DN76" s="156"/>
      <c r="DO76" s="135"/>
      <c r="DP76" s="135"/>
      <c r="DQ76" s="135"/>
      <c r="DR76" s="156"/>
      <c r="DS76" s="135"/>
      <c r="DT76" s="135"/>
      <c r="DU76" s="135"/>
      <c r="DV76" s="156"/>
      <c r="DW76" s="135"/>
      <c r="DX76" s="135"/>
      <c r="DY76" s="135"/>
      <c r="DZ76" s="156"/>
      <c r="EA76" s="135"/>
      <c r="EB76" s="135"/>
      <c r="EC76" s="135"/>
      <c r="ED76" s="156"/>
      <c r="EE76" s="135"/>
      <c r="EF76" s="135"/>
      <c r="EG76" s="135"/>
      <c r="EH76" s="156"/>
      <c r="EI76" s="135"/>
      <c r="EJ76" s="135"/>
      <c r="EK76" s="135"/>
      <c r="EL76" s="156"/>
      <c r="EM76" s="135"/>
      <c r="EN76" s="135"/>
      <c r="EO76" s="135"/>
      <c r="EP76" s="156"/>
      <c r="EQ76" s="135"/>
      <c r="ER76" s="135"/>
      <c r="ES76" s="135"/>
      <c r="ET76" s="156"/>
      <c r="EU76" s="135"/>
      <c r="EV76" s="135"/>
      <c r="EW76" s="135"/>
      <c r="EX76" s="156"/>
      <c r="EY76" s="135"/>
      <c r="EZ76" s="135"/>
      <c r="FA76" s="135"/>
      <c r="FB76" s="156"/>
      <c r="FC76" s="135"/>
      <c r="FD76" s="135"/>
      <c r="FE76" s="135"/>
      <c r="FF76" s="156"/>
      <c r="FG76" s="135"/>
      <c r="FH76" s="135"/>
      <c r="FI76" s="135"/>
      <c r="FJ76" s="156"/>
      <c r="FK76" s="135"/>
      <c r="FL76" s="135"/>
      <c r="FM76" s="135"/>
      <c r="FN76" s="156"/>
      <c r="FO76" s="135"/>
      <c r="FP76" s="135"/>
      <c r="FQ76" s="135"/>
      <c r="FR76" s="156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5"/>
      <c r="GI76" s="135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  <c r="GZ76" s="135"/>
      <c r="HA76" s="135"/>
      <c r="HB76" s="135"/>
      <c r="HC76" s="135"/>
      <c r="HD76" s="135"/>
      <c r="HE76" s="135"/>
      <c r="HF76" s="135"/>
      <c r="HG76" s="135"/>
      <c r="HH76" s="135"/>
      <c r="HI76" s="135"/>
      <c r="HJ76" s="135"/>
      <c r="HK76" s="135"/>
      <c r="HL76" s="135"/>
      <c r="HM76" s="135"/>
      <c r="HN76" s="135"/>
      <c r="HO76" s="135"/>
      <c r="HP76" s="135"/>
      <c r="HQ76" s="135"/>
      <c r="HR76" s="135"/>
      <c r="HS76" s="135"/>
      <c r="HT76" s="135"/>
      <c r="HU76" s="135"/>
      <c r="HV76" s="135"/>
      <c r="HW76" s="135"/>
      <c r="HX76" s="145"/>
      <c r="HY76" s="135"/>
      <c r="HZ76" s="135"/>
      <c r="IA76" s="135"/>
      <c r="IB76" s="135"/>
      <c r="IC76" s="135"/>
      <c r="ID76" s="135"/>
      <c r="IE76" s="135"/>
      <c r="IF76" s="135"/>
      <c r="IG76" s="135"/>
      <c r="IH76" s="135"/>
      <c r="II76" s="135"/>
      <c r="IJ76" s="135"/>
      <c r="IK76" s="135"/>
      <c r="IL76" s="135"/>
      <c r="IM76" s="135"/>
      <c r="IN76" s="135"/>
      <c r="IO76" s="135"/>
      <c r="IP76" s="135"/>
      <c r="IQ76" s="135"/>
      <c r="IR76" s="135"/>
      <c r="IS76" s="135"/>
      <c r="IT76" s="135"/>
      <c r="IU76" s="135"/>
      <c r="IV76" s="135"/>
      <c r="IW76" s="135"/>
      <c r="IX76" s="135"/>
      <c r="IY76" s="135"/>
      <c r="IZ76" s="135"/>
      <c r="JA76" s="135"/>
      <c r="JB76" s="135"/>
      <c r="JC76" s="135"/>
      <c r="JD76" s="135"/>
      <c r="JE76" s="135"/>
      <c r="JF76" s="135"/>
      <c r="JG76" s="135"/>
      <c r="JH76" s="135"/>
      <c r="JI76" s="135"/>
      <c r="JJ76" s="135"/>
      <c r="JK76" s="135"/>
      <c r="JL76" s="135"/>
      <c r="JM76" s="135"/>
      <c r="JN76" s="135"/>
      <c r="JO76" s="135"/>
      <c r="JP76" s="135"/>
      <c r="JQ76" s="135"/>
      <c r="JR76" s="135"/>
      <c r="JS76" s="135"/>
    </row>
    <row r="77" spans="1:279" s="144" customFormat="1">
      <c r="A77" s="135"/>
      <c r="B77" s="136"/>
      <c r="C77" s="150"/>
      <c r="D77" s="136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6"/>
      <c r="AV77" s="156"/>
      <c r="AW77" s="156"/>
      <c r="AX77" s="151"/>
      <c r="AY77" s="151"/>
      <c r="AZ77" s="156"/>
      <c r="BA77" s="156"/>
      <c r="BB77" s="156"/>
      <c r="BC77" s="151"/>
      <c r="BD77" s="151"/>
      <c r="BE77" s="156"/>
      <c r="BF77" s="156"/>
      <c r="BG77" s="156"/>
      <c r="BH77" s="151"/>
      <c r="BI77" s="151"/>
      <c r="BJ77" s="156"/>
      <c r="BK77" s="156"/>
      <c r="BL77" s="156"/>
      <c r="BM77" s="151"/>
      <c r="BN77" s="151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35"/>
      <c r="CR77" s="135"/>
      <c r="CS77" s="135"/>
      <c r="CT77" s="156"/>
      <c r="CU77" s="135"/>
      <c r="CV77" s="135"/>
      <c r="CW77" s="135"/>
      <c r="CX77" s="156"/>
      <c r="CY77" s="135"/>
      <c r="CZ77" s="135"/>
      <c r="DA77" s="135"/>
      <c r="DB77" s="156"/>
      <c r="DC77" s="135"/>
      <c r="DD77" s="135"/>
      <c r="DE77" s="135"/>
      <c r="DF77" s="156"/>
      <c r="DG77" s="135"/>
      <c r="DH77" s="135"/>
      <c r="DI77" s="135"/>
      <c r="DJ77" s="156"/>
      <c r="DK77" s="135"/>
      <c r="DL77" s="135"/>
      <c r="DM77" s="135"/>
      <c r="DN77" s="156"/>
      <c r="DO77" s="135"/>
      <c r="DP77" s="135"/>
      <c r="DQ77" s="135"/>
      <c r="DR77" s="156"/>
      <c r="DS77" s="135"/>
      <c r="DT77" s="135"/>
      <c r="DU77" s="135"/>
      <c r="DV77" s="156"/>
      <c r="DW77" s="135"/>
      <c r="DX77" s="135"/>
      <c r="DY77" s="135"/>
      <c r="DZ77" s="156"/>
      <c r="EA77" s="135"/>
      <c r="EB77" s="135"/>
      <c r="EC77" s="135"/>
      <c r="ED77" s="156"/>
      <c r="EE77" s="135"/>
      <c r="EF77" s="135"/>
      <c r="EG77" s="135"/>
      <c r="EH77" s="156"/>
      <c r="EI77" s="135"/>
      <c r="EJ77" s="135"/>
      <c r="EK77" s="135"/>
      <c r="EL77" s="156"/>
      <c r="EM77" s="135"/>
      <c r="EN77" s="135"/>
      <c r="EO77" s="135"/>
      <c r="EP77" s="156"/>
      <c r="EQ77" s="135"/>
      <c r="ER77" s="135"/>
      <c r="ES77" s="135"/>
      <c r="ET77" s="156"/>
      <c r="EU77" s="135"/>
      <c r="EV77" s="135"/>
      <c r="EW77" s="135"/>
      <c r="EX77" s="156"/>
      <c r="EY77" s="135"/>
      <c r="EZ77" s="135"/>
      <c r="FA77" s="135"/>
      <c r="FB77" s="156"/>
      <c r="FC77" s="135"/>
      <c r="FD77" s="135"/>
      <c r="FE77" s="135"/>
      <c r="FF77" s="156"/>
      <c r="FG77" s="135"/>
      <c r="FH77" s="135"/>
      <c r="FI77" s="135"/>
      <c r="FJ77" s="156"/>
      <c r="FK77" s="135"/>
      <c r="FL77" s="135"/>
      <c r="FM77" s="135"/>
      <c r="FN77" s="156"/>
      <c r="FO77" s="135"/>
      <c r="FP77" s="135"/>
      <c r="FQ77" s="135"/>
      <c r="FR77" s="156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5"/>
      <c r="GI77" s="135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5"/>
      <c r="GV77" s="135"/>
      <c r="GW77" s="135"/>
      <c r="GX77" s="135"/>
      <c r="GY77" s="135"/>
      <c r="GZ77" s="135"/>
      <c r="HA77" s="135"/>
      <c r="HB77" s="135"/>
      <c r="HC77" s="135"/>
      <c r="HD77" s="135"/>
      <c r="HE77" s="135"/>
      <c r="HF77" s="135"/>
      <c r="HG77" s="135"/>
      <c r="HH77" s="135"/>
      <c r="HI77" s="135"/>
      <c r="HJ77" s="135"/>
      <c r="HK77" s="135"/>
      <c r="HL77" s="135"/>
      <c r="HM77" s="135"/>
      <c r="HN77" s="135"/>
      <c r="HO77" s="135"/>
      <c r="HP77" s="135"/>
      <c r="HQ77" s="135"/>
      <c r="HR77" s="135"/>
      <c r="HS77" s="135"/>
      <c r="HT77" s="135"/>
      <c r="HU77" s="135"/>
      <c r="HV77" s="135"/>
      <c r="HW77" s="135"/>
      <c r="HX77" s="145"/>
      <c r="HY77" s="135"/>
      <c r="HZ77" s="135"/>
      <c r="IA77" s="135"/>
      <c r="IB77" s="135"/>
      <c r="IC77" s="135"/>
      <c r="ID77" s="135"/>
      <c r="IE77" s="135"/>
      <c r="IF77" s="135"/>
      <c r="IG77" s="135"/>
      <c r="IH77" s="135"/>
      <c r="II77" s="135"/>
      <c r="IJ77" s="135"/>
      <c r="IK77" s="135"/>
      <c r="IL77" s="135"/>
      <c r="IM77" s="135"/>
      <c r="IN77" s="135"/>
      <c r="IO77" s="135"/>
      <c r="IP77" s="135"/>
      <c r="IQ77" s="135"/>
      <c r="IR77" s="135"/>
      <c r="IS77" s="135"/>
      <c r="IT77" s="135"/>
      <c r="IU77" s="135"/>
      <c r="IV77" s="135"/>
      <c r="IW77" s="135"/>
      <c r="IX77" s="135"/>
      <c r="IY77" s="135"/>
      <c r="IZ77" s="135"/>
      <c r="JA77" s="135"/>
      <c r="JB77" s="135"/>
      <c r="JC77" s="135"/>
      <c r="JD77" s="135"/>
      <c r="JE77" s="135"/>
      <c r="JF77" s="135"/>
      <c r="JG77" s="135"/>
      <c r="JH77" s="135"/>
      <c r="JI77" s="135"/>
      <c r="JJ77" s="135"/>
      <c r="JK77" s="135"/>
      <c r="JL77" s="135"/>
      <c r="JM77" s="135"/>
      <c r="JN77" s="135"/>
      <c r="JO77" s="135"/>
      <c r="JP77" s="135"/>
      <c r="JQ77" s="135"/>
      <c r="JR77" s="135"/>
      <c r="JS77" s="135"/>
    </row>
    <row r="78" spans="1:279" s="144" customFormat="1">
      <c r="A78" s="135"/>
      <c r="B78" s="136"/>
      <c r="C78" s="150"/>
      <c r="D78" s="136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6"/>
      <c r="AV78" s="156"/>
      <c r="AW78" s="156"/>
      <c r="AX78" s="151"/>
      <c r="AY78" s="151"/>
      <c r="AZ78" s="156"/>
      <c r="BA78" s="156"/>
      <c r="BB78" s="156"/>
      <c r="BC78" s="151"/>
      <c r="BD78" s="151"/>
      <c r="BE78" s="156"/>
      <c r="BF78" s="156"/>
      <c r="BG78" s="156"/>
      <c r="BH78" s="151"/>
      <c r="BI78" s="151"/>
      <c r="BJ78" s="156"/>
      <c r="BK78" s="156"/>
      <c r="BL78" s="156"/>
      <c r="BM78" s="151"/>
      <c r="BN78" s="151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35"/>
      <c r="CR78" s="135"/>
      <c r="CS78" s="135"/>
      <c r="CT78" s="156"/>
      <c r="CU78" s="135"/>
      <c r="CV78" s="135"/>
      <c r="CW78" s="135"/>
      <c r="CX78" s="156"/>
      <c r="CY78" s="135"/>
      <c r="CZ78" s="135"/>
      <c r="DA78" s="135"/>
      <c r="DB78" s="156"/>
      <c r="DC78" s="135"/>
      <c r="DD78" s="135"/>
      <c r="DE78" s="135"/>
      <c r="DF78" s="156"/>
      <c r="DG78" s="135"/>
      <c r="DH78" s="135"/>
      <c r="DI78" s="135"/>
      <c r="DJ78" s="156"/>
      <c r="DK78" s="135"/>
      <c r="DL78" s="135"/>
      <c r="DM78" s="135"/>
      <c r="DN78" s="156"/>
      <c r="DO78" s="135"/>
      <c r="DP78" s="135"/>
      <c r="DQ78" s="135"/>
      <c r="DR78" s="156"/>
      <c r="DS78" s="135"/>
      <c r="DT78" s="135"/>
      <c r="DU78" s="135"/>
      <c r="DV78" s="156"/>
      <c r="DW78" s="135"/>
      <c r="DX78" s="135"/>
      <c r="DY78" s="135"/>
      <c r="DZ78" s="156"/>
      <c r="EA78" s="135"/>
      <c r="EB78" s="135"/>
      <c r="EC78" s="135"/>
      <c r="ED78" s="156"/>
      <c r="EE78" s="135"/>
      <c r="EF78" s="135"/>
      <c r="EG78" s="135"/>
      <c r="EH78" s="156"/>
      <c r="EI78" s="135"/>
      <c r="EJ78" s="135"/>
      <c r="EK78" s="135"/>
      <c r="EL78" s="156"/>
      <c r="EM78" s="135"/>
      <c r="EN78" s="135"/>
      <c r="EO78" s="135"/>
      <c r="EP78" s="156"/>
      <c r="EQ78" s="135"/>
      <c r="ER78" s="135"/>
      <c r="ES78" s="135"/>
      <c r="ET78" s="156"/>
      <c r="EU78" s="135"/>
      <c r="EV78" s="135"/>
      <c r="EW78" s="135"/>
      <c r="EX78" s="156"/>
      <c r="EY78" s="135"/>
      <c r="EZ78" s="135"/>
      <c r="FA78" s="135"/>
      <c r="FB78" s="156"/>
      <c r="FC78" s="135"/>
      <c r="FD78" s="135"/>
      <c r="FE78" s="135"/>
      <c r="FF78" s="156"/>
      <c r="FG78" s="135"/>
      <c r="FH78" s="135"/>
      <c r="FI78" s="135"/>
      <c r="FJ78" s="156"/>
      <c r="FK78" s="135"/>
      <c r="FL78" s="135"/>
      <c r="FM78" s="135"/>
      <c r="FN78" s="156"/>
      <c r="FO78" s="135"/>
      <c r="FP78" s="135"/>
      <c r="FQ78" s="135"/>
      <c r="FR78" s="156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5"/>
      <c r="HI78" s="135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5"/>
      <c r="HV78" s="135"/>
      <c r="HW78" s="135"/>
      <c r="HX78" s="14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5"/>
      <c r="II78" s="135"/>
      <c r="IJ78" s="135"/>
      <c r="IK78" s="135"/>
      <c r="IL78" s="135"/>
      <c r="IM78" s="135"/>
      <c r="IN78" s="135"/>
      <c r="IO78" s="135"/>
      <c r="IP78" s="135"/>
      <c r="IQ78" s="135"/>
      <c r="IR78" s="135"/>
      <c r="IS78" s="135"/>
      <c r="IT78" s="135"/>
      <c r="IU78" s="135"/>
      <c r="IV78" s="135"/>
      <c r="IW78" s="135"/>
      <c r="IX78" s="135"/>
      <c r="IY78" s="135"/>
      <c r="IZ78" s="135"/>
      <c r="JA78" s="135"/>
      <c r="JB78" s="135"/>
      <c r="JC78" s="135"/>
      <c r="JD78" s="135"/>
      <c r="JE78" s="135"/>
      <c r="JF78" s="135"/>
      <c r="JG78" s="135"/>
      <c r="JH78" s="135"/>
      <c r="JI78" s="135"/>
      <c r="JJ78" s="135"/>
      <c r="JK78" s="135"/>
      <c r="JL78" s="135"/>
      <c r="JM78" s="135"/>
      <c r="JN78" s="135"/>
      <c r="JO78" s="135"/>
      <c r="JP78" s="135"/>
      <c r="JQ78" s="135"/>
      <c r="JR78" s="135"/>
      <c r="JS78" s="135"/>
    </row>
    <row r="79" spans="1:279" s="144" customFormat="1">
      <c r="A79" s="135"/>
      <c r="B79" s="136"/>
      <c r="C79" s="150"/>
      <c r="D79" s="136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6"/>
      <c r="AV79" s="156"/>
      <c r="AW79" s="156"/>
      <c r="AX79" s="151"/>
      <c r="AY79" s="151"/>
      <c r="AZ79" s="156"/>
      <c r="BA79" s="156"/>
      <c r="BB79" s="156"/>
      <c r="BC79" s="151"/>
      <c r="BD79" s="151"/>
      <c r="BE79" s="156"/>
      <c r="BF79" s="156"/>
      <c r="BG79" s="156"/>
      <c r="BH79" s="151"/>
      <c r="BI79" s="151"/>
      <c r="BJ79" s="156"/>
      <c r="BK79" s="156"/>
      <c r="BL79" s="156"/>
      <c r="BM79" s="151"/>
      <c r="BN79" s="151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35"/>
      <c r="CR79" s="135"/>
      <c r="CS79" s="135"/>
      <c r="CT79" s="156"/>
      <c r="CU79" s="135"/>
      <c r="CV79" s="135"/>
      <c r="CW79" s="135"/>
      <c r="CX79" s="156"/>
      <c r="CY79" s="135"/>
      <c r="CZ79" s="135"/>
      <c r="DA79" s="135"/>
      <c r="DB79" s="156"/>
      <c r="DC79" s="135"/>
      <c r="DD79" s="135"/>
      <c r="DE79" s="135"/>
      <c r="DF79" s="156"/>
      <c r="DG79" s="135"/>
      <c r="DH79" s="135"/>
      <c r="DI79" s="135"/>
      <c r="DJ79" s="156"/>
      <c r="DK79" s="135"/>
      <c r="DL79" s="135"/>
      <c r="DM79" s="135"/>
      <c r="DN79" s="156"/>
      <c r="DO79" s="135"/>
      <c r="DP79" s="135"/>
      <c r="DQ79" s="135"/>
      <c r="DR79" s="156"/>
      <c r="DS79" s="135"/>
      <c r="DT79" s="135"/>
      <c r="DU79" s="135"/>
      <c r="DV79" s="156"/>
      <c r="DW79" s="135"/>
      <c r="DX79" s="135"/>
      <c r="DY79" s="135"/>
      <c r="DZ79" s="156"/>
      <c r="EA79" s="135"/>
      <c r="EB79" s="135"/>
      <c r="EC79" s="135"/>
      <c r="ED79" s="156"/>
      <c r="EE79" s="135"/>
      <c r="EF79" s="135"/>
      <c r="EG79" s="135"/>
      <c r="EH79" s="156"/>
      <c r="EI79" s="135"/>
      <c r="EJ79" s="135"/>
      <c r="EK79" s="135"/>
      <c r="EL79" s="156"/>
      <c r="EM79" s="135"/>
      <c r="EN79" s="135"/>
      <c r="EO79" s="135"/>
      <c r="EP79" s="156"/>
      <c r="EQ79" s="135"/>
      <c r="ER79" s="135"/>
      <c r="ES79" s="135"/>
      <c r="ET79" s="156"/>
      <c r="EU79" s="135"/>
      <c r="EV79" s="135"/>
      <c r="EW79" s="135"/>
      <c r="EX79" s="156"/>
      <c r="EY79" s="135"/>
      <c r="EZ79" s="135"/>
      <c r="FA79" s="135"/>
      <c r="FB79" s="156"/>
      <c r="FC79" s="135"/>
      <c r="FD79" s="135"/>
      <c r="FE79" s="135"/>
      <c r="FF79" s="156"/>
      <c r="FG79" s="135"/>
      <c r="FH79" s="135"/>
      <c r="FI79" s="135"/>
      <c r="FJ79" s="156"/>
      <c r="FK79" s="135"/>
      <c r="FL79" s="135"/>
      <c r="FM79" s="135"/>
      <c r="FN79" s="156"/>
      <c r="FO79" s="135"/>
      <c r="FP79" s="135"/>
      <c r="FQ79" s="135"/>
      <c r="FR79" s="156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5"/>
      <c r="GV79" s="135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5"/>
      <c r="HI79" s="135"/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5"/>
      <c r="HV79" s="135"/>
      <c r="HW79" s="135"/>
      <c r="HX79" s="145"/>
      <c r="HY79" s="135"/>
      <c r="HZ79" s="135"/>
      <c r="IA79" s="135"/>
      <c r="IB79" s="135"/>
      <c r="IC79" s="135"/>
      <c r="ID79" s="135"/>
      <c r="IE79" s="135"/>
      <c r="IF79" s="135"/>
      <c r="IG79" s="135"/>
      <c r="IH79" s="135"/>
      <c r="II79" s="135"/>
      <c r="IJ79" s="135"/>
      <c r="IK79" s="135"/>
      <c r="IL79" s="135"/>
      <c r="IM79" s="135"/>
      <c r="IN79" s="135"/>
      <c r="IO79" s="135"/>
      <c r="IP79" s="135"/>
      <c r="IQ79" s="135"/>
      <c r="IR79" s="135"/>
      <c r="IS79" s="135"/>
      <c r="IT79" s="135"/>
      <c r="IU79" s="135"/>
      <c r="IV79" s="135"/>
      <c r="IW79" s="135"/>
      <c r="IX79" s="135"/>
      <c r="IY79" s="135"/>
      <c r="IZ79" s="135"/>
      <c r="JA79" s="135"/>
      <c r="JB79" s="135"/>
      <c r="JC79" s="135"/>
      <c r="JD79" s="135"/>
      <c r="JE79" s="135"/>
      <c r="JF79" s="135"/>
      <c r="JG79" s="135"/>
      <c r="JH79" s="135"/>
      <c r="JI79" s="135"/>
      <c r="JJ79" s="135"/>
      <c r="JK79" s="135"/>
      <c r="JL79" s="135"/>
      <c r="JM79" s="135"/>
      <c r="JN79" s="135"/>
      <c r="JO79" s="135"/>
      <c r="JP79" s="135"/>
      <c r="JQ79" s="135"/>
      <c r="JR79" s="135"/>
      <c r="JS79" s="135"/>
    </row>
    <row r="80" spans="1:279" s="144" customFormat="1">
      <c r="A80" s="135"/>
      <c r="B80" s="136"/>
      <c r="C80" s="150"/>
      <c r="D80" s="136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6"/>
      <c r="AV80" s="156"/>
      <c r="AW80" s="156"/>
      <c r="AX80" s="151"/>
      <c r="AY80" s="151"/>
      <c r="AZ80" s="156"/>
      <c r="BA80" s="156"/>
      <c r="BB80" s="156"/>
      <c r="BC80" s="151"/>
      <c r="BD80" s="151"/>
      <c r="BE80" s="156"/>
      <c r="BF80" s="156"/>
      <c r="BG80" s="156"/>
      <c r="BH80" s="151"/>
      <c r="BI80" s="151"/>
      <c r="BJ80" s="156"/>
      <c r="BK80" s="156"/>
      <c r="BL80" s="156"/>
      <c r="BM80" s="151"/>
      <c r="BN80" s="151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35"/>
      <c r="CR80" s="135"/>
      <c r="CS80" s="135"/>
      <c r="CT80" s="156"/>
      <c r="CU80" s="135"/>
      <c r="CV80" s="135"/>
      <c r="CW80" s="135"/>
      <c r="CX80" s="156"/>
      <c r="CY80" s="135"/>
      <c r="CZ80" s="135"/>
      <c r="DA80" s="135"/>
      <c r="DB80" s="156"/>
      <c r="DC80" s="135"/>
      <c r="DD80" s="135"/>
      <c r="DE80" s="135"/>
      <c r="DF80" s="156"/>
      <c r="DG80" s="135"/>
      <c r="DH80" s="135"/>
      <c r="DI80" s="135"/>
      <c r="DJ80" s="156"/>
      <c r="DK80" s="135"/>
      <c r="DL80" s="135"/>
      <c r="DM80" s="135"/>
      <c r="DN80" s="156"/>
      <c r="DO80" s="135"/>
      <c r="DP80" s="135"/>
      <c r="DQ80" s="135"/>
      <c r="DR80" s="156"/>
      <c r="DS80" s="135"/>
      <c r="DT80" s="135"/>
      <c r="DU80" s="135"/>
      <c r="DV80" s="156"/>
      <c r="DW80" s="135"/>
      <c r="DX80" s="135"/>
      <c r="DY80" s="135"/>
      <c r="DZ80" s="156"/>
      <c r="EA80" s="135"/>
      <c r="EB80" s="135"/>
      <c r="EC80" s="135"/>
      <c r="ED80" s="156"/>
      <c r="EE80" s="135"/>
      <c r="EF80" s="135"/>
      <c r="EG80" s="135"/>
      <c r="EH80" s="156"/>
      <c r="EI80" s="135"/>
      <c r="EJ80" s="135"/>
      <c r="EK80" s="135"/>
      <c r="EL80" s="156"/>
      <c r="EM80" s="135"/>
      <c r="EN80" s="135"/>
      <c r="EO80" s="135"/>
      <c r="EP80" s="156"/>
      <c r="EQ80" s="135"/>
      <c r="ER80" s="135"/>
      <c r="ES80" s="135"/>
      <c r="ET80" s="156"/>
      <c r="EU80" s="135"/>
      <c r="EV80" s="135"/>
      <c r="EW80" s="135"/>
      <c r="EX80" s="156"/>
      <c r="EY80" s="135"/>
      <c r="EZ80" s="135"/>
      <c r="FA80" s="135"/>
      <c r="FB80" s="156"/>
      <c r="FC80" s="135"/>
      <c r="FD80" s="135"/>
      <c r="FE80" s="135"/>
      <c r="FF80" s="156"/>
      <c r="FG80" s="135"/>
      <c r="FH80" s="135"/>
      <c r="FI80" s="135"/>
      <c r="FJ80" s="156"/>
      <c r="FK80" s="135"/>
      <c r="FL80" s="135"/>
      <c r="FM80" s="135"/>
      <c r="FN80" s="156"/>
      <c r="FO80" s="135"/>
      <c r="FP80" s="135"/>
      <c r="FQ80" s="135"/>
      <c r="FR80" s="156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5"/>
      <c r="GV80" s="135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5"/>
      <c r="HI80" s="135"/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5"/>
      <c r="HV80" s="135"/>
      <c r="HW80" s="135"/>
      <c r="HX80" s="145"/>
      <c r="HY80" s="135"/>
      <c r="HZ80" s="135"/>
      <c r="IA80" s="135"/>
      <c r="IB80" s="135"/>
      <c r="IC80" s="135"/>
      <c r="ID80" s="135"/>
      <c r="IE80" s="135"/>
      <c r="IF80" s="135"/>
      <c r="IG80" s="135"/>
      <c r="IH80" s="135"/>
      <c r="II80" s="135"/>
      <c r="IJ80" s="135"/>
      <c r="IK80" s="135"/>
      <c r="IL80" s="135"/>
      <c r="IM80" s="135"/>
      <c r="IN80" s="135"/>
      <c r="IO80" s="135"/>
      <c r="IP80" s="135"/>
      <c r="IQ80" s="135"/>
      <c r="IR80" s="135"/>
      <c r="IS80" s="135"/>
      <c r="IT80" s="135"/>
      <c r="IU80" s="135"/>
      <c r="IV80" s="135"/>
      <c r="IW80" s="135"/>
      <c r="IX80" s="135"/>
      <c r="IY80" s="135"/>
      <c r="IZ80" s="135"/>
      <c r="JA80" s="135"/>
      <c r="JB80" s="135"/>
      <c r="JC80" s="135"/>
      <c r="JD80" s="135"/>
      <c r="JE80" s="135"/>
      <c r="JF80" s="135"/>
      <c r="JG80" s="135"/>
      <c r="JH80" s="135"/>
      <c r="JI80" s="135"/>
      <c r="JJ80" s="135"/>
      <c r="JK80" s="135"/>
      <c r="JL80" s="135"/>
      <c r="JM80" s="135"/>
      <c r="JN80" s="135"/>
      <c r="JO80" s="135"/>
      <c r="JP80" s="135"/>
      <c r="JQ80" s="135"/>
      <c r="JR80" s="135"/>
      <c r="JS80" s="135"/>
    </row>
    <row r="81" spans="1:279" s="144" customFormat="1">
      <c r="A81" s="135"/>
      <c r="B81" s="136"/>
      <c r="C81" s="150"/>
      <c r="D81" s="136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6"/>
      <c r="AV81" s="156"/>
      <c r="AW81" s="156"/>
      <c r="AX81" s="151"/>
      <c r="AY81" s="151"/>
      <c r="AZ81" s="156"/>
      <c r="BA81" s="156"/>
      <c r="BB81" s="156"/>
      <c r="BC81" s="151"/>
      <c r="BD81" s="151"/>
      <c r="BE81" s="156"/>
      <c r="BF81" s="156"/>
      <c r="BG81" s="156"/>
      <c r="BH81" s="151"/>
      <c r="BI81" s="151"/>
      <c r="BJ81" s="156"/>
      <c r="BK81" s="156"/>
      <c r="BL81" s="156"/>
      <c r="BM81" s="151"/>
      <c r="BN81" s="151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35"/>
      <c r="CR81" s="135"/>
      <c r="CS81" s="135"/>
      <c r="CT81" s="156"/>
      <c r="CU81" s="135"/>
      <c r="CV81" s="135"/>
      <c r="CW81" s="135"/>
      <c r="CX81" s="156"/>
      <c r="CY81" s="135"/>
      <c r="CZ81" s="135"/>
      <c r="DA81" s="135"/>
      <c r="DB81" s="156"/>
      <c r="DC81" s="135"/>
      <c r="DD81" s="135"/>
      <c r="DE81" s="135"/>
      <c r="DF81" s="156"/>
      <c r="DG81" s="135"/>
      <c r="DH81" s="135"/>
      <c r="DI81" s="135"/>
      <c r="DJ81" s="156"/>
      <c r="DK81" s="135"/>
      <c r="DL81" s="135"/>
      <c r="DM81" s="135"/>
      <c r="DN81" s="156"/>
      <c r="DO81" s="135"/>
      <c r="DP81" s="135"/>
      <c r="DQ81" s="135"/>
      <c r="DR81" s="156"/>
      <c r="DS81" s="135"/>
      <c r="DT81" s="135"/>
      <c r="DU81" s="135"/>
      <c r="DV81" s="156"/>
      <c r="DW81" s="135"/>
      <c r="DX81" s="135"/>
      <c r="DY81" s="135"/>
      <c r="DZ81" s="156"/>
      <c r="EA81" s="135"/>
      <c r="EB81" s="135"/>
      <c r="EC81" s="135"/>
      <c r="ED81" s="156"/>
      <c r="EE81" s="135"/>
      <c r="EF81" s="135"/>
      <c r="EG81" s="135"/>
      <c r="EH81" s="156"/>
      <c r="EI81" s="135"/>
      <c r="EJ81" s="135"/>
      <c r="EK81" s="135"/>
      <c r="EL81" s="156"/>
      <c r="EM81" s="135"/>
      <c r="EN81" s="135"/>
      <c r="EO81" s="135"/>
      <c r="EP81" s="156"/>
      <c r="EQ81" s="135"/>
      <c r="ER81" s="135"/>
      <c r="ES81" s="135"/>
      <c r="ET81" s="156"/>
      <c r="EU81" s="135"/>
      <c r="EV81" s="135"/>
      <c r="EW81" s="135"/>
      <c r="EX81" s="156"/>
      <c r="EY81" s="135"/>
      <c r="EZ81" s="135"/>
      <c r="FA81" s="135"/>
      <c r="FB81" s="156"/>
      <c r="FC81" s="135"/>
      <c r="FD81" s="135"/>
      <c r="FE81" s="135"/>
      <c r="FF81" s="156"/>
      <c r="FG81" s="135"/>
      <c r="FH81" s="135"/>
      <c r="FI81" s="135"/>
      <c r="FJ81" s="156"/>
      <c r="FK81" s="135"/>
      <c r="FL81" s="135"/>
      <c r="FM81" s="135"/>
      <c r="FN81" s="156"/>
      <c r="FO81" s="135"/>
      <c r="FP81" s="135"/>
      <c r="FQ81" s="135"/>
      <c r="FR81" s="156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5"/>
      <c r="GV81" s="135"/>
      <c r="GW81" s="135"/>
      <c r="GX81" s="135"/>
      <c r="GY81" s="135"/>
      <c r="GZ81" s="135"/>
      <c r="HA81" s="135"/>
      <c r="HB81" s="135"/>
      <c r="HC81" s="135"/>
      <c r="HD81" s="135"/>
      <c r="HE81" s="135"/>
      <c r="HF81" s="135"/>
      <c r="HG81" s="135"/>
      <c r="HH81" s="135"/>
      <c r="HI81" s="135"/>
      <c r="HJ81" s="135"/>
      <c r="HK81" s="135"/>
      <c r="HL81" s="135"/>
      <c r="HM81" s="135"/>
      <c r="HN81" s="135"/>
      <c r="HO81" s="135"/>
      <c r="HP81" s="135"/>
      <c r="HQ81" s="135"/>
      <c r="HR81" s="135"/>
      <c r="HS81" s="135"/>
      <c r="HT81" s="135"/>
      <c r="HU81" s="135"/>
      <c r="HV81" s="135"/>
      <c r="HW81" s="135"/>
      <c r="HX81" s="145"/>
      <c r="HY81" s="135"/>
      <c r="HZ81" s="135"/>
      <c r="IA81" s="135"/>
      <c r="IB81" s="135"/>
      <c r="IC81" s="135"/>
      <c r="ID81" s="135"/>
      <c r="IE81" s="135"/>
      <c r="IF81" s="135"/>
      <c r="IG81" s="135"/>
      <c r="IH81" s="135"/>
      <c r="II81" s="135"/>
      <c r="IJ81" s="135"/>
      <c r="IK81" s="135"/>
      <c r="IL81" s="135"/>
      <c r="IM81" s="135"/>
      <c r="IN81" s="135"/>
      <c r="IO81" s="135"/>
      <c r="IP81" s="135"/>
      <c r="IQ81" s="135"/>
      <c r="IR81" s="135"/>
      <c r="IS81" s="135"/>
      <c r="IT81" s="135"/>
      <c r="IU81" s="135"/>
      <c r="IV81" s="135"/>
      <c r="IW81" s="135"/>
      <c r="IX81" s="135"/>
      <c r="IY81" s="135"/>
      <c r="IZ81" s="135"/>
      <c r="JA81" s="135"/>
      <c r="JB81" s="135"/>
      <c r="JC81" s="135"/>
      <c r="JD81" s="135"/>
      <c r="JE81" s="135"/>
      <c r="JF81" s="135"/>
      <c r="JG81" s="135"/>
      <c r="JH81" s="135"/>
      <c r="JI81" s="135"/>
      <c r="JJ81" s="135"/>
      <c r="JK81" s="135"/>
      <c r="JL81" s="135"/>
      <c r="JM81" s="135"/>
      <c r="JN81" s="135"/>
      <c r="JO81" s="135"/>
      <c r="JP81" s="135"/>
      <c r="JQ81" s="135"/>
      <c r="JR81" s="135"/>
      <c r="JS81" s="135"/>
    </row>
    <row r="82" spans="1:279" s="144" customFormat="1">
      <c r="A82" s="135"/>
      <c r="B82" s="136"/>
      <c r="C82" s="150"/>
      <c r="D82" s="136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6"/>
      <c r="AV82" s="156"/>
      <c r="AW82" s="156"/>
      <c r="AX82" s="151"/>
      <c r="AY82" s="151"/>
      <c r="AZ82" s="156"/>
      <c r="BA82" s="156"/>
      <c r="BB82" s="156"/>
      <c r="BC82" s="151"/>
      <c r="BD82" s="151"/>
      <c r="BE82" s="156"/>
      <c r="BF82" s="156"/>
      <c r="BG82" s="156"/>
      <c r="BH82" s="151"/>
      <c r="BI82" s="151"/>
      <c r="BJ82" s="156"/>
      <c r="BK82" s="156"/>
      <c r="BL82" s="156"/>
      <c r="BM82" s="151"/>
      <c r="BN82" s="151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35"/>
      <c r="CR82" s="135"/>
      <c r="CS82" s="135"/>
      <c r="CT82" s="156"/>
      <c r="CU82" s="135"/>
      <c r="CV82" s="135"/>
      <c r="CW82" s="135"/>
      <c r="CX82" s="156"/>
      <c r="CY82" s="135"/>
      <c r="CZ82" s="135"/>
      <c r="DA82" s="135"/>
      <c r="DB82" s="156"/>
      <c r="DC82" s="135"/>
      <c r="DD82" s="135"/>
      <c r="DE82" s="135"/>
      <c r="DF82" s="156"/>
      <c r="DG82" s="135"/>
      <c r="DH82" s="135"/>
      <c r="DI82" s="135"/>
      <c r="DJ82" s="156"/>
      <c r="DK82" s="135"/>
      <c r="DL82" s="135"/>
      <c r="DM82" s="135"/>
      <c r="DN82" s="156"/>
      <c r="DO82" s="135"/>
      <c r="DP82" s="135"/>
      <c r="DQ82" s="135"/>
      <c r="DR82" s="156"/>
      <c r="DS82" s="135"/>
      <c r="DT82" s="135"/>
      <c r="DU82" s="135"/>
      <c r="DV82" s="156"/>
      <c r="DW82" s="135"/>
      <c r="DX82" s="135"/>
      <c r="DY82" s="135"/>
      <c r="DZ82" s="156"/>
      <c r="EA82" s="135"/>
      <c r="EB82" s="135"/>
      <c r="EC82" s="135"/>
      <c r="ED82" s="156"/>
      <c r="EE82" s="135"/>
      <c r="EF82" s="135"/>
      <c r="EG82" s="135"/>
      <c r="EH82" s="156"/>
      <c r="EI82" s="135"/>
      <c r="EJ82" s="135"/>
      <c r="EK82" s="135"/>
      <c r="EL82" s="156"/>
      <c r="EM82" s="135"/>
      <c r="EN82" s="135"/>
      <c r="EO82" s="135"/>
      <c r="EP82" s="156"/>
      <c r="EQ82" s="135"/>
      <c r="ER82" s="135"/>
      <c r="ES82" s="135"/>
      <c r="ET82" s="156"/>
      <c r="EU82" s="135"/>
      <c r="EV82" s="135"/>
      <c r="EW82" s="135"/>
      <c r="EX82" s="156"/>
      <c r="EY82" s="135"/>
      <c r="EZ82" s="135"/>
      <c r="FA82" s="135"/>
      <c r="FB82" s="156"/>
      <c r="FC82" s="135"/>
      <c r="FD82" s="135"/>
      <c r="FE82" s="135"/>
      <c r="FF82" s="156"/>
      <c r="FG82" s="135"/>
      <c r="FH82" s="135"/>
      <c r="FI82" s="135"/>
      <c r="FJ82" s="156"/>
      <c r="FK82" s="135"/>
      <c r="FL82" s="135"/>
      <c r="FM82" s="135"/>
      <c r="FN82" s="156"/>
      <c r="FO82" s="135"/>
      <c r="FP82" s="135"/>
      <c r="FQ82" s="135"/>
      <c r="FR82" s="156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5"/>
      <c r="GV82" s="135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5"/>
      <c r="HI82" s="135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5"/>
      <c r="HV82" s="135"/>
      <c r="HW82" s="135"/>
      <c r="HX82" s="14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5"/>
      <c r="II82" s="135"/>
      <c r="IJ82" s="135"/>
      <c r="IK82" s="135"/>
      <c r="IL82" s="135"/>
      <c r="IM82" s="135"/>
      <c r="IN82" s="135"/>
      <c r="IO82" s="135"/>
      <c r="IP82" s="135"/>
      <c r="IQ82" s="135"/>
      <c r="IR82" s="135"/>
      <c r="IS82" s="135"/>
      <c r="IT82" s="135"/>
      <c r="IU82" s="135"/>
      <c r="IV82" s="135"/>
      <c r="IW82" s="135"/>
      <c r="IX82" s="135"/>
      <c r="IY82" s="135"/>
      <c r="IZ82" s="135"/>
      <c r="JA82" s="135"/>
      <c r="JB82" s="135"/>
      <c r="JC82" s="135"/>
      <c r="JD82" s="135"/>
      <c r="JE82" s="135"/>
      <c r="JF82" s="135"/>
      <c r="JG82" s="135"/>
      <c r="JH82" s="135"/>
      <c r="JI82" s="135"/>
      <c r="JJ82" s="135"/>
      <c r="JK82" s="135"/>
      <c r="JL82" s="135"/>
      <c r="JM82" s="135"/>
      <c r="JN82" s="135"/>
      <c r="JO82" s="135"/>
      <c r="JP82" s="135"/>
      <c r="JQ82" s="135"/>
      <c r="JR82" s="135"/>
      <c r="JS82" s="135"/>
    </row>
    <row r="83" spans="1:279" s="144" customFormat="1">
      <c r="A83" s="135"/>
      <c r="B83" s="136"/>
      <c r="C83" s="150"/>
      <c r="D83" s="136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6"/>
      <c r="AV83" s="156"/>
      <c r="AW83" s="156"/>
      <c r="AX83" s="151"/>
      <c r="AY83" s="151"/>
      <c r="AZ83" s="156"/>
      <c r="BA83" s="156"/>
      <c r="BB83" s="156"/>
      <c r="BC83" s="151"/>
      <c r="BD83" s="151"/>
      <c r="BE83" s="156"/>
      <c r="BF83" s="156"/>
      <c r="BG83" s="156"/>
      <c r="BH83" s="151"/>
      <c r="BI83" s="151"/>
      <c r="BJ83" s="156"/>
      <c r="BK83" s="156"/>
      <c r="BL83" s="156"/>
      <c r="BM83" s="151"/>
      <c r="BN83" s="151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35"/>
      <c r="CR83" s="135"/>
      <c r="CS83" s="135"/>
      <c r="CT83" s="156"/>
      <c r="CU83" s="135"/>
      <c r="CV83" s="135"/>
      <c r="CW83" s="135"/>
      <c r="CX83" s="156"/>
      <c r="CY83" s="135"/>
      <c r="CZ83" s="135"/>
      <c r="DA83" s="135"/>
      <c r="DB83" s="156"/>
      <c r="DC83" s="135"/>
      <c r="DD83" s="135"/>
      <c r="DE83" s="135"/>
      <c r="DF83" s="156"/>
      <c r="DG83" s="135"/>
      <c r="DH83" s="135"/>
      <c r="DI83" s="135"/>
      <c r="DJ83" s="156"/>
      <c r="DK83" s="135"/>
      <c r="DL83" s="135"/>
      <c r="DM83" s="135"/>
      <c r="DN83" s="156"/>
      <c r="DO83" s="135"/>
      <c r="DP83" s="135"/>
      <c r="DQ83" s="135"/>
      <c r="DR83" s="156"/>
      <c r="DS83" s="135"/>
      <c r="DT83" s="135"/>
      <c r="DU83" s="135"/>
      <c r="DV83" s="156"/>
      <c r="DW83" s="135"/>
      <c r="DX83" s="135"/>
      <c r="DY83" s="135"/>
      <c r="DZ83" s="156"/>
      <c r="EA83" s="135"/>
      <c r="EB83" s="135"/>
      <c r="EC83" s="135"/>
      <c r="ED83" s="156"/>
      <c r="EE83" s="135"/>
      <c r="EF83" s="135"/>
      <c r="EG83" s="135"/>
      <c r="EH83" s="156"/>
      <c r="EI83" s="135"/>
      <c r="EJ83" s="135"/>
      <c r="EK83" s="135"/>
      <c r="EL83" s="156"/>
      <c r="EM83" s="135"/>
      <c r="EN83" s="135"/>
      <c r="EO83" s="135"/>
      <c r="EP83" s="156"/>
      <c r="EQ83" s="135"/>
      <c r="ER83" s="135"/>
      <c r="ES83" s="135"/>
      <c r="ET83" s="156"/>
      <c r="EU83" s="135"/>
      <c r="EV83" s="135"/>
      <c r="EW83" s="135"/>
      <c r="EX83" s="156"/>
      <c r="EY83" s="135"/>
      <c r="EZ83" s="135"/>
      <c r="FA83" s="135"/>
      <c r="FB83" s="156"/>
      <c r="FC83" s="135"/>
      <c r="FD83" s="135"/>
      <c r="FE83" s="135"/>
      <c r="FF83" s="156"/>
      <c r="FG83" s="135"/>
      <c r="FH83" s="135"/>
      <c r="FI83" s="135"/>
      <c r="FJ83" s="156"/>
      <c r="FK83" s="135"/>
      <c r="FL83" s="135"/>
      <c r="FM83" s="135"/>
      <c r="FN83" s="156"/>
      <c r="FO83" s="135"/>
      <c r="FP83" s="135"/>
      <c r="FQ83" s="135"/>
      <c r="FR83" s="156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5"/>
      <c r="GI83" s="135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5"/>
      <c r="GV83" s="135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5"/>
      <c r="HI83" s="135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5"/>
      <c r="HV83" s="135"/>
      <c r="HW83" s="135"/>
      <c r="HX83" s="145"/>
      <c r="HY83" s="135"/>
      <c r="HZ83" s="135"/>
      <c r="IA83" s="135"/>
      <c r="IB83" s="135"/>
      <c r="IC83" s="135"/>
      <c r="ID83" s="135"/>
      <c r="IE83" s="135"/>
      <c r="IF83" s="135"/>
      <c r="IG83" s="135"/>
      <c r="IH83" s="135"/>
      <c r="II83" s="135"/>
      <c r="IJ83" s="135"/>
      <c r="IK83" s="135"/>
      <c r="IL83" s="135"/>
      <c r="IM83" s="135"/>
      <c r="IN83" s="135"/>
      <c r="IO83" s="135"/>
      <c r="IP83" s="135"/>
      <c r="IQ83" s="135"/>
      <c r="IR83" s="135"/>
      <c r="IS83" s="135"/>
      <c r="IT83" s="135"/>
      <c r="IU83" s="135"/>
      <c r="IV83" s="135"/>
      <c r="IW83" s="135"/>
      <c r="IX83" s="135"/>
      <c r="IY83" s="135"/>
      <c r="IZ83" s="135"/>
      <c r="JA83" s="135"/>
      <c r="JB83" s="135"/>
      <c r="JC83" s="135"/>
      <c r="JD83" s="135"/>
      <c r="JE83" s="135"/>
      <c r="JF83" s="135"/>
      <c r="JG83" s="135"/>
      <c r="JH83" s="135"/>
      <c r="JI83" s="135"/>
      <c r="JJ83" s="135"/>
      <c r="JK83" s="135"/>
      <c r="JL83" s="135"/>
      <c r="JM83" s="135"/>
      <c r="JN83" s="135"/>
      <c r="JO83" s="135"/>
      <c r="JP83" s="135"/>
      <c r="JQ83" s="135"/>
      <c r="JR83" s="135"/>
      <c r="JS83" s="135"/>
    </row>
    <row r="84" spans="1:279" s="144" customFormat="1">
      <c r="A84" s="135"/>
      <c r="B84" s="136"/>
      <c r="C84" s="150"/>
      <c r="D84" s="136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6"/>
      <c r="AV84" s="156"/>
      <c r="AW84" s="156"/>
      <c r="AX84" s="151"/>
      <c r="AY84" s="151"/>
      <c r="AZ84" s="156"/>
      <c r="BA84" s="156"/>
      <c r="BB84" s="156"/>
      <c r="BC84" s="151"/>
      <c r="BD84" s="151"/>
      <c r="BE84" s="156"/>
      <c r="BF84" s="156"/>
      <c r="BG84" s="156"/>
      <c r="BH84" s="151"/>
      <c r="BI84" s="151"/>
      <c r="BJ84" s="156"/>
      <c r="BK84" s="156"/>
      <c r="BL84" s="156"/>
      <c r="BM84" s="151"/>
      <c r="BN84" s="151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35"/>
      <c r="CR84" s="135"/>
      <c r="CS84" s="135"/>
      <c r="CT84" s="156"/>
      <c r="CU84" s="135"/>
      <c r="CV84" s="135"/>
      <c r="CW84" s="135"/>
      <c r="CX84" s="156"/>
      <c r="CY84" s="135"/>
      <c r="CZ84" s="135"/>
      <c r="DA84" s="135"/>
      <c r="DB84" s="156"/>
      <c r="DC84" s="135"/>
      <c r="DD84" s="135"/>
      <c r="DE84" s="135"/>
      <c r="DF84" s="156"/>
      <c r="DG84" s="135"/>
      <c r="DH84" s="135"/>
      <c r="DI84" s="135"/>
      <c r="DJ84" s="156"/>
      <c r="DK84" s="135"/>
      <c r="DL84" s="135"/>
      <c r="DM84" s="135"/>
      <c r="DN84" s="156"/>
      <c r="DO84" s="135"/>
      <c r="DP84" s="135"/>
      <c r="DQ84" s="135"/>
      <c r="DR84" s="156"/>
      <c r="DS84" s="135"/>
      <c r="DT84" s="135"/>
      <c r="DU84" s="135"/>
      <c r="DV84" s="156"/>
      <c r="DW84" s="135"/>
      <c r="DX84" s="135"/>
      <c r="DY84" s="135"/>
      <c r="DZ84" s="156"/>
      <c r="EA84" s="135"/>
      <c r="EB84" s="135"/>
      <c r="EC84" s="135"/>
      <c r="ED84" s="156"/>
      <c r="EE84" s="135"/>
      <c r="EF84" s="135"/>
      <c r="EG84" s="135"/>
      <c r="EH84" s="156"/>
      <c r="EI84" s="135"/>
      <c r="EJ84" s="135"/>
      <c r="EK84" s="135"/>
      <c r="EL84" s="156"/>
      <c r="EM84" s="135"/>
      <c r="EN84" s="135"/>
      <c r="EO84" s="135"/>
      <c r="EP84" s="156"/>
      <c r="EQ84" s="135"/>
      <c r="ER84" s="135"/>
      <c r="ES84" s="135"/>
      <c r="ET84" s="156"/>
      <c r="EU84" s="135"/>
      <c r="EV84" s="135"/>
      <c r="EW84" s="135"/>
      <c r="EX84" s="156"/>
      <c r="EY84" s="135"/>
      <c r="EZ84" s="135"/>
      <c r="FA84" s="135"/>
      <c r="FB84" s="156"/>
      <c r="FC84" s="135"/>
      <c r="FD84" s="135"/>
      <c r="FE84" s="135"/>
      <c r="FF84" s="156"/>
      <c r="FG84" s="135"/>
      <c r="FH84" s="135"/>
      <c r="FI84" s="135"/>
      <c r="FJ84" s="156"/>
      <c r="FK84" s="135"/>
      <c r="FL84" s="135"/>
      <c r="FM84" s="135"/>
      <c r="FN84" s="156"/>
      <c r="FO84" s="135"/>
      <c r="FP84" s="135"/>
      <c r="FQ84" s="135"/>
      <c r="FR84" s="156"/>
      <c r="FS84" s="135"/>
      <c r="FT84" s="135"/>
      <c r="FU84" s="135"/>
      <c r="FV84" s="135"/>
      <c r="FW84" s="135"/>
      <c r="FX84" s="135"/>
      <c r="FY84" s="135"/>
      <c r="FZ84" s="135"/>
      <c r="GA84" s="135"/>
      <c r="GB84" s="135"/>
      <c r="GC84" s="135"/>
      <c r="GD84" s="135"/>
      <c r="GE84" s="135"/>
      <c r="GF84" s="135"/>
      <c r="GG84" s="135"/>
      <c r="GH84" s="135"/>
      <c r="GI84" s="135"/>
      <c r="GJ84" s="135"/>
      <c r="GK84" s="135"/>
      <c r="GL84" s="135"/>
      <c r="GM84" s="135"/>
      <c r="GN84" s="135"/>
      <c r="GO84" s="135"/>
      <c r="GP84" s="135"/>
      <c r="GQ84" s="135"/>
      <c r="GR84" s="135"/>
      <c r="GS84" s="135"/>
      <c r="GT84" s="135"/>
      <c r="GU84" s="135"/>
      <c r="GV84" s="135"/>
      <c r="GW84" s="135"/>
      <c r="GX84" s="135"/>
      <c r="GY84" s="135"/>
      <c r="GZ84" s="135"/>
      <c r="HA84" s="135"/>
      <c r="HB84" s="135"/>
      <c r="HC84" s="135"/>
      <c r="HD84" s="135"/>
      <c r="HE84" s="135"/>
      <c r="HF84" s="135"/>
      <c r="HG84" s="135"/>
      <c r="HH84" s="135"/>
      <c r="HI84" s="135"/>
      <c r="HJ84" s="135"/>
      <c r="HK84" s="135"/>
      <c r="HL84" s="135"/>
      <c r="HM84" s="135"/>
      <c r="HN84" s="135"/>
      <c r="HO84" s="135"/>
      <c r="HP84" s="135"/>
      <c r="HQ84" s="135"/>
      <c r="HR84" s="135"/>
      <c r="HS84" s="135"/>
      <c r="HT84" s="135"/>
      <c r="HU84" s="135"/>
      <c r="HV84" s="135"/>
      <c r="HW84" s="135"/>
      <c r="HX84" s="145"/>
      <c r="HY84" s="135"/>
      <c r="HZ84" s="135"/>
      <c r="IA84" s="135"/>
      <c r="IB84" s="135"/>
      <c r="IC84" s="135"/>
      <c r="ID84" s="135"/>
      <c r="IE84" s="135"/>
      <c r="IF84" s="135"/>
      <c r="IG84" s="135"/>
      <c r="IH84" s="135"/>
      <c r="II84" s="135"/>
      <c r="IJ84" s="135"/>
      <c r="IK84" s="135"/>
      <c r="IL84" s="135"/>
      <c r="IM84" s="135"/>
      <c r="IN84" s="135"/>
      <c r="IO84" s="135"/>
      <c r="IP84" s="135"/>
      <c r="IQ84" s="135"/>
      <c r="IR84" s="135"/>
      <c r="IS84" s="135"/>
      <c r="IT84" s="135"/>
      <c r="IU84" s="135"/>
      <c r="IV84" s="135"/>
      <c r="IW84" s="135"/>
      <c r="IX84" s="135"/>
      <c r="IY84" s="135"/>
      <c r="IZ84" s="135"/>
      <c r="JA84" s="135"/>
      <c r="JB84" s="135"/>
      <c r="JC84" s="135"/>
      <c r="JD84" s="135"/>
      <c r="JE84" s="135"/>
      <c r="JF84" s="135"/>
      <c r="JG84" s="135"/>
      <c r="JH84" s="135"/>
      <c r="JI84" s="135"/>
      <c r="JJ84" s="135"/>
      <c r="JK84" s="135"/>
      <c r="JL84" s="135"/>
      <c r="JM84" s="135"/>
      <c r="JN84" s="135"/>
      <c r="JO84" s="135"/>
      <c r="JP84" s="135"/>
      <c r="JQ84" s="135"/>
      <c r="JR84" s="135"/>
      <c r="JS84" s="135"/>
    </row>
    <row r="85" spans="1:279" s="144" customFormat="1">
      <c r="A85" s="135"/>
      <c r="B85" s="136"/>
      <c r="C85" s="150"/>
      <c r="D85" s="136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6"/>
      <c r="AV85" s="156"/>
      <c r="AW85" s="156"/>
      <c r="AX85" s="151"/>
      <c r="AY85" s="151"/>
      <c r="AZ85" s="156"/>
      <c r="BA85" s="156"/>
      <c r="BB85" s="156"/>
      <c r="BC85" s="151"/>
      <c r="BD85" s="151"/>
      <c r="BE85" s="156"/>
      <c r="BF85" s="156"/>
      <c r="BG85" s="156"/>
      <c r="BH85" s="151"/>
      <c r="BI85" s="151"/>
      <c r="BJ85" s="156"/>
      <c r="BK85" s="156"/>
      <c r="BL85" s="156"/>
      <c r="BM85" s="151"/>
      <c r="BN85" s="151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35"/>
      <c r="CR85" s="135"/>
      <c r="CS85" s="135"/>
      <c r="CT85" s="156"/>
      <c r="CU85" s="135"/>
      <c r="CV85" s="135"/>
      <c r="CW85" s="135"/>
      <c r="CX85" s="156"/>
      <c r="CY85" s="135"/>
      <c r="CZ85" s="135"/>
      <c r="DA85" s="135"/>
      <c r="DB85" s="156"/>
      <c r="DC85" s="135"/>
      <c r="DD85" s="135"/>
      <c r="DE85" s="135"/>
      <c r="DF85" s="156"/>
      <c r="DG85" s="135"/>
      <c r="DH85" s="135"/>
      <c r="DI85" s="135"/>
      <c r="DJ85" s="156"/>
      <c r="DK85" s="135"/>
      <c r="DL85" s="135"/>
      <c r="DM85" s="135"/>
      <c r="DN85" s="156"/>
      <c r="DO85" s="135"/>
      <c r="DP85" s="135"/>
      <c r="DQ85" s="135"/>
      <c r="DR85" s="156"/>
      <c r="DS85" s="135"/>
      <c r="DT85" s="135"/>
      <c r="DU85" s="135"/>
      <c r="DV85" s="156"/>
      <c r="DW85" s="135"/>
      <c r="DX85" s="135"/>
      <c r="DY85" s="135"/>
      <c r="DZ85" s="156"/>
      <c r="EA85" s="135"/>
      <c r="EB85" s="135"/>
      <c r="EC85" s="135"/>
      <c r="ED85" s="156"/>
      <c r="EE85" s="135"/>
      <c r="EF85" s="135"/>
      <c r="EG85" s="135"/>
      <c r="EH85" s="156"/>
      <c r="EI85" s="135"/>
      <c r="EJ85" s="135"/>
      <c r="EK85" s="135"/>
      <c r="EL85" s="156"/>
      <c r="EM85" s="135"/>
      <c r="EN85" s="135"/>
      <c r="EO85" s="135"/>
      <c r="EP85" s="156"/>
      <c r="EQ85" s="135"/>
      <c r="ER85" s="135"/>
      <c r="ES85" s="135"/>
      <c r="ET85" s="156"/>
      <c r="EU85" s="135"/>
      <c r="EV85" s="135"/>
      <c r="EW85" s="135"/>
      <c r="EX85" s="156"/>
      <c r="EY85" s="135"/>
      <c r="EZ85" s="135"/>
      <c r="FA85" s="135"/>
      <c r="FB85" s="156"/>
      <c r="FC85" s="135"/>
      <c r="FD85" s="135"/>
      <c r="FE85" s="135"/>
      <c r="FF85" s="156"/>
      <c r="FG85" s="135"/>
      <c r="FH85" s="135"/>
      <c r="FI85" s="135"/>
      <c r="FJ85" s="156"/>
      <c r="FK85" s="135"/>
      <c r="FL85" s="135"/>
      <c r="FM85" s="135"/>
      <c r="FN85" s="156"/>
      <c r="FO85" s="135"/>
      <c r="FP85" s="135"/>
      <c r="FQ85" s="135"/>
      <c r="FR85" s="156"/>
      <c r="FS85" s="135"/>
      <c r="FT85" s="135"/>
      <c r="FU85" s="135"/>
      <c r="FV85" s="135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5"/>
      <c r="GI85" s="135"/>
      <c r="GJ85" s="135"/>
      <c r="GK85" s="135"/>
      <c r="GL85" s="135"/>
      <c r="GM85" s="135"/>
      <c r="GN85" s="135"/>
      <c r="GO85" s="135"/>
      <c r="GP85" s="135"/>
      <c r="GQ85" s="135"/>
      <c r="GR85" s="135"/>
      <c r="GS85" s="135"/>
      <c r="GT85" s="135"/>
      <c r="GU85" s="135"/>
      <c r="GV85" s="135"/>
      <c r="GW85" s="135"/>
      <c r="GX85" s="135"/>
      <c r="GY85" s="135"/>
      <c r="GZ85" s="135"/>
      <c r="HA85" s="135"/>
      <c r="HB85" s="135"/>
      <c r="HC85" s="135"/>
      <c r="HD85" s="135"/>
      <c r="HE85" s="135"/>
      <c r="HF85" s="135"/>
      <c r="HG85" s="135"/>
      <c r="HH85" s="135"/>
      <c r="HI85" s="135"/>
      <c r="HJ85" s="135"/>
      <c r="HK85" s="135"/>
      <c r="HL85" s="135"/>
      <c r="HM85" s="135"/>
      <c r="HN85" s="135"/>
      <c r="HO85" s="135"/>
      <c r="HP85" s="135"/>
      <c r="HQ85" s="135"/>
      <c r="HR85" s="135"/>
      <c r="HS85" s="135"/>
      <c r="HT85" s="135"/>
      <c r="HU85" s="135"/>
      <c r="HV85" s="135"/>
      <c r="HW85" s="135"/>
      <c r="HX85" s="145"/>
      <c r="HY85" s="135"/>
      <c r="HZ85" s="135"/>
      <c r="IA85" s="135"/>
      <c r="IB85" s="135"/>
      <c r="IC85" s="135"/>
      <c r="ID85" s="135"/>
      <c r="IE85" s="135"/>
      <c r="IF85" s="135"/>
      <c r="IG85" s="135"/>
      <c r="IH85" s="135"/>
      <c r="II85" s="135"/>
      <c r="IJ85" s="135"/>
      <c r="IK85" s="135"/>
      <c r="IL85" s="135"/>
      <c r="IM85" s="135"/>
      <c r="IN85" s="135"/>
      <c r="IO85" s="135"/>
      <c r="IP85" s="135"/>
      <c r="IQ85" s="135"/>
      <c r="IR85" s="135"/>
      <c r="IS85" s="135"/>
      <c r="IT85" s="135"/>
      <c r="IU85" s="135"/>
      <c r="IV85" s="135"/>
      <c r="IW85" s="135"/>
      <c r="IX85" s="135"/>
      <c r="IY85" s="135"/>
      <c r="IZ85" s="135"/>
      <c r="JA85" s="135"/>
      <c r="JB85" s="135"/>
      <c r="JC85" s="135"/>
      <c r="JD85" s="135"/>
      <c r="JE85" s="135"/>
      <c r="JF85" s="135"/>
      <c r="JG85" s="135"/>
      <c r="JH85" s="135"/>
      <c r="JI85" s="135"/>
      <c r="JJ85" s="135"/>
      <c r="JK85" s="135"/>
      <c r="JL85" s="135"/>
      <c r="JM85" s="135"/>
      <c r="JN85" s="135"/>
      <c r="JO85" s="135"/>
      <c r="JP85" s="135"/>
      <c r="JQ85" s="135"/>
      <c r="JR85" s="135"/>
      <c r="JS85" s="135"/>
    </row>
    <row r="86" spans="1:279" s="144" customFormat="1">
      <c r="A86" s="135"/>
      <c r="B86" s="136"/>
      <c r="C86" s="150"/>
      <c r="D86" s="136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6"/>
      <c r="AV86" s="156"/>
      <c r="AW86" s="156"/>
      <c r="AX86" s="151"/>
      <c r="AY86" s="151"/>
      <c r="AZ86" s="156"/>
      <c r="BA86" s="156"/>
      <c r="BB86" s="156"/>
      <c r="BC86" s="151"/>
      <c r="BD86" s="151"/>
      <c r="BE86" s="156"/>
      <c r="BF86" s="156"/>
      <c r="BG86" s="156"/>
      <c r="BH86" s="151"/>
      <c r="BI86" s="151"/>
      <c r="BJ86" s="156"/>
      <c r="BK86" s="156"/>
      <c r="BL86" s="156"/>
      <c r="BM86" s="151"/>
      <c r="BN86" s="151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6"/>
      <c r="CI86" s="156"/>
      <c r="CJ86" s="156"/>
      <c r="CK86" s="156"/>
      <c r="CL86" s="156"/>
      <c r="CM86" s="156"/>
      <c r="CN86" s="156"/>
      <c r="CO86" s="156"/>
      <c r="CP86" s="156"/>
      <c r="CQ86" s="135"/>
      <c r="CR86" s="135"/>
      <c r="CS86" s="135"/>
      <c r="CT86" s="156"/>
      <c r="CU86" s="135"/>
      <c r="CV86" s="135"/>
      <c r="CW86" s="135"/>
      <c r="CX86" s="156"/>
      <c r="CY86" s="135"/>
      <c r="CZ86" s="135"/>
      <c r="DA86" s="135"/>
      <c r="DB86" s="156"/>
      <c r="DC86" s="135"/>
      <c r="DD86" s="135"/>
      <c r="DE86" s="135"/>
      <c r="DF86" s="156"/>
      <c r="DG86" s="135"/>
      <c r="DH86" s="135"/>
      <c r="DI86" s="135"/>
      <c r="DJ86" s="156"/>
      <c r="DK86" s="135"/>
      <c r="DL86" s="135"/>
      <c r="DM86" s="135"/>
      <c r="DN86" s="156"/>
      <c r="DO86" s="135"/>
      <c r="DP86" s="135"/>
      <c r="DQ86" s="135"/>
      <c r="DR86" s="156"/>
      <c r="DS86" s="135"/>
      <c r="DT86" s="135"/>
      <c r="DU86" s="135"/>
      <c r="DV86" s="156"/>
      <c r="DW86" s="135"/>
      <c r="DX86" s="135"/>
      <c r="DY86" s="135"/>
      <c r="DZ86" s="156"/>
      <c r="EA86" s="135"/>
      <c r="EB86" s="135"/>
      <c r="EC86" s="135"/>
      <c r="ED86" s="156"/>
      <c r="EE86" s="135"/>
      <c r="EF86" s="135"/>
      <c r="EG86" s="135"/>
      <c r="EH86" s="156"/>
      <c r="EI86" s="135"/>
      <c r="EJ86" s="135"/>
      <c r="EK86" s="135"/>
      <c r="EL86" s="156"/>
      <c r="EM86" s="135"/>
      <c r="EN86" s="135"/>
      <c r="EO86" s="135"/>
      <c r="EP86" s="156"/>
      <c r="EQ86" s="135"/>
      <c r="ER86" s="135"/>
      <c r="ES86" s="135"/>
      <c r="ET86" s="156"/>
      <c r="EU86" s="135"/>
      <c r="EV86" s="135"/>
      <c r="EW86" s="135"/>
      <c r="EX86" s="156"/>
      <c r="EY86" s="135"/>
      <c r="EZ86" s="135"/>
      <c r="FA86" s="135"/>
      <c r="FB86" s="156"/>
      <c r="FC86" s="135"/>
      <c r="FD86" s="135"/>
      <c r="FE86" s="135"/>
      <c r="FF86" s="156"/>
      <c r="FG86" s="135"/>
      <c r="FH86" s="135"/>
      <c r="FI86" s="135"/>
      <c r="FJ86" s="156"/>
      <c r="FK86" s="135"/>
      <c r="FL86" s="135"/>
      <c r="FM86" s="135"/>
      <c r="FN86" s="156"/>
      <c r="FO86" s="135"/>
      <c r="FP86" s="135"/>
      <c r="FQ86" s="135"/>
      <c r="FR86" s="156"/>
      <c r="FS86" s="135"/>
      <c r="FT86" s="135"/>
      <c r="FU86" s="135"/>
      <c r="FV86" s="135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5"/>
      <c r="GI86" s="135"/>
      <c r="GJ86" s="135"/>
      <c r="GK86" s="135"/>
      <c r="GL86" s="135"/>
      <c r="GM86" s="135"/>
      <c r="GN86" s="135"/>
      <c r="GO86" s="135"/>
      <c r="GP86" s="135"/>
      <c r="GQ86" s="135"/>
      <c r="GR86" s="135"/>
      <c r="GS86" s="135"/>
      <c r="GT86" s="135"/>
      <c r="GU86" s="135"/>
      <c r="GV86" s="135"/>
      <c r="GW86" s="135"/>
      <c r="GX86" s="135"/>
      <c r="GY86" s="135"/>
      <c r="GZ86" s="135"/>
      <c r="HA86" s="135"/>
      <c r="HB86" s="135"/>
      <c r="HC86" s="135"/>
      <c r="HD86" s="135"/>
      <c r="HE86" s="135"/>
      <c r="HF86" s="135"/>
      <c r="HG86" s="135"/>
      <c r="HH86" s="135"/>
      <c r="HI86" s="135"/>
      <c r="HJ86" s="135"/>
      <c r="HK86" s="135"/>
      <c r="HL86" s="135"/>
      <c r="HM86" s="135"/>
      <c r="HN86" s="135"/>
      <c r="HO86" s="135"/>
      <c r="HP86" s="135"/>
      <c r="HQ86" s="135"/>
      <c r="HR86" s="135"/>
      <c r="HS86" s="135"/>
      <c r="HT86" s="135"/>
      <c r="HU86" s="135"/>
      <c r="HV86" s="135"/>
      <c r="HW86" s="135"/>
      <c r="HX86" s="145"/>
      <c r="HY86" s="135"/>
      <c r="HZ86" s="135"/>
      <c r="IA86" s="135"/>
      <c r="IB86" s="135"/>
      <c r="IC86" s="135"/>
      <c r="ID86" s="135"/>
      <c r="IE86" s="135"/>
      <c r="IF86" s="135"/>
      <c r="IG86" s="135"/>
      <c r="IH86" s="135"/>
      <c r="II86" s="135"/>
      <c r="IJ86" s="135"/>
      <c r="IK86" s="135"/>
      <c r="IL86" s="135"/>
      <c r="IM86" s="135"/>
      <c r="IN86" s="135"/>
      <c r="IO86" s="135"/>
      <c r="IP86" s="135"/>
      <c r="IQ86" s="135"/>
      <c r="IR86" s="135"/>
      <c r="IS86" s="135"/>
      <c r="IT86" s="135"/>
      <c r="IU86" s="135"/>
      <c r="IV86" s="135"/>
      <c r="IW86" s="135"/>
      <c r="IX86" s="135"/>
      <c r="IY86" s="135"/>
      <c r="IZ86" s="135"/>
      <c r="JA86" s="135"/>
      <c r="JB86" s="135"/>
      <c r="JC86" s="135"/>
      <c r="JD86" s="135"/>
      <c r="JE86" s="135"/>
      <c r="JF86" s="135"/>
      <c r="JG86" s="135"/>
      <c r="JH86" s="135"/>
      <c r="JI86" s="135"/>
      <c r="JJ86" s="135"/>
      <c r="JK86" s="135"/>
      <c r="JL86" s="135"/>
      <c r="JM86" s="135"/>
      <c r="JN86" s="135"/>
      <c r="JO86" s="135"/>
      <c r="JP86" s="135"/>
      <c r="JQ86" s="135"/>
      <c r="JR86" s="135"/>
      <c r="JS86" s="135"/>
    </row>
    <row r="87" spans="1:279" s="144" customFormat="1">
      <c r="A87" s="135"/>
      <c r="B87" s="136"/>
      <c r="C87" s="150"/>
      <c r="D87" s="136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6"/>
      <c r="AV87" s="156"/>
      <c r="AW87" s="156"/>
      <c r="AX87" s="151"/>
      <c r="AY87" s="151"/>
      <c r="AZ87" s="156"/>
      <c r="BA87" s="156"/>
      <c r="BB87" s="156"/>
      <c r="BC87" s="151"/>
      <c r="BD87" s="151"/>
      <c r="BE87" s="156"/>
      <c r="BF87" s="156"/>
      <c r="BG87" s="156"/>
      <c r="BH87" s="151"/>
      <c r="BI87" s="151"/>
      <c r="BJ87" s="156"/>
      <c r="BK87" s="156"/>
      <c r="BL87" s="156"/>
      <c r="BM87" s="151"/>
      <c r="BN87" s="151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35"/>
      <c r="CR87" s="135"/>
      <c r="CS87" s="135"/>
      <c r="CT87" s="156"/>
      <c r="CU87" s="135"/>
      <c r="CV87" s="135"/>
      <c r="CW87" s="135"/>
      <c r="CX87" s="156"/>
      <c r="CY87" s="135"/>
      <c r="CZ87" s="135"/>
      <c r="DA87" s="135"/>
      <c r="DB87" s="156"/>
      <c r="DC87" s="135"/>
      <c r="DD87" s="135"/>
      <c r="DE87" s="135"/>
      <c r="DF87" s="156"/>
      <c r="DG87" s="135"/>
      <c r="DH87" s="135"/>
      <c r="DI87" s="135"/>
      <c r="DJ87" s="156"/>
      <c r="DK87" s="135"/>
      <c r="DL87" s="135"/>
      <c r="DM87" s="135"/>
      <c r="DN87" s="156"/>
      <c r="DO87" s="135"/>
      <c r="DP87" s="135"/>
      <c r="DQ87" s="135"/>
      <c r="DR87" s="156"/>
      <c r="DS87" s="135"/>
      <c r="DT87" s="135"/>
      <c r="DU87" s="135"/>
      <c r="DV87" s="156"/>
      <c r="DW87" s="135"/>
      <c r="DX87" s="135"/>
      <c r="DY87" s="135"/>
      <c r="DZ87" s="156"/>
      <c r="EA87" s="135"/>
      <c r="EB87" s="135"/>
      <c r="EC87" s="135"/>
      <c r="ED87" s="156"/>
      <c r="EE87" s="135"/>
      <c r="EF87" s="135"/>
      <c r="EG87" s="135"/>
      <c r="EH87" s="156"/>
      <c r="EI87" s="135"/>
      <c r="EJ87" s="135"/>
      <c r="EK87" s="135"/>
      <c r="EL87" s="156"/>
      <c r="EM87" s="135"/>
      <c r="EN87" s="135"/>
      <c r="EO87" s="135"/>
      <c r="EP87" s="156"/>
      <c r="EQ87" s="135"/>
      <c r="ER87" s="135"/>
      <c r="ES87" s="135"/>
      <c r="ET87" s="156"/>
      <c r="EU87" s="135"/>
      <c r="EV87" s="135"/>
      <c r="EW87" s="135"/>
      <c r="EX87" s="156"/>
      <c r="EY87" s="135"/>
      <c r="EZ87" s="135"/>
      <c r="FA87" s="135"/>
      <c r="FB87" s="156"/>
      <c r="FC87" s="135"/>
      <c r="FD87" s="135"/>
      <c r="FE87" s="135"/>
      <c r="FF87" s="156"/>
      <c r="FG87" s="135"/>
      <c r="FH87" s="135"/>
      <c r="FI87" s="135"/>
      <c r="FJ87" s="156"/>
      <c r="FK87" s="135"/>
      <c r="FL87" s="135"/>
      <c r="FM87" s="135"/>
      <c r="FN87" s="156"/>
      <c r="FO87" s="135"/>
      <c r="FP87" s="135"/>
      <c r="FQ87" s="135"/>
      <c r="FR87" s="156"/>
      <c r="FS87" s="135"/>
      <c r="FT87" s="135"/>
      <c r="FU87" s="135"/>
      <c r="FV87" s="135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5"/>
      <c r="GI87" s="135"/>
      <c r="GJ87" s="135"/>
      <c r="GK87" s="135"/>
      <c r="GL87" s="135"/>
      <c r="GM87" s="135"/>
      <c r="GN87" s="135"/>
      <c r="GO87" s="135"/>
      <c r="GP87" s="135"/>
      <c r="GQ87" s="135"/>
      <c r="GR87" s="135"/>
      <c r="GS87" s="135"/>
      <c r="GT87" s="135"/>
      <c r="GU87" s="135"/>
      <c r="GV87" s="135"/>
      <c r="GW87" s="135"/>
      <c r="GX87" s="135"/>
      <c r="GY87" s="135"/>
      <c r="GZ87" s="135"/>
      <c r="HA87" s="135"/>
      <c r="HB87" s="135"/>
      <c r="HC87" s="135"/>
      <c r="HD87" s="135"/>
      <c r="HE87" s="135"/>
      <c r="HF87" s="135"/>
      <c r="HG87" s="135"/>
      <c r="HH87" s="135"/>
      <c r="HI87" s="135"/>
      <c r="HJ87" s="135"/>
      <c r="HK87" s="135"/>
      <c r="HL87" s="135"/>
      <c r="HM87" s="135"/>
      <c r="HN87" s="135"/>
      <c r="HO87" s="135"/>
      <c r="HP87" s="135"/>
      <c r="HQ87" s="135"/>
      <c r="HR87" s="135"/>
      <c r="HS87" s="135"/>
      <c r="HT87" s="135"/>
      <c r="HU87" s="135"/>
      <c r="HV87" s="135"/>
      <c r="HW87" s="135"/>
      <c r="HX87" s="145"/>
      <c r="HY87" s="135"/>
      <c r="HZ87" s="135"/>
      <c r="IA87" s="135"/>
      <c r="IB87" s="135"/>
      <c r="IC87" s="135"/>
      <c r="ID87" s="135"/>
      <c r="IE87" s="135"/>
      <c r="IF87" s="135"/>
      <c r="IG87" s="135"/>
      <c r="IH87" s="135"/>
      <c r="II87" s="135"/>
      <c r="IJ87" s="135"/>
      <c r="IK87" s="135"/>
      <c r="IL87" s="135"/>
      <c r="IM87" s="135"/>
      <c r="IN87" s="135"/>
      <c r="IO87" s="135"/>
      <c r="IP87" s="135"/>
      <c r="IQ87" s="135"/>
      <c r="IR87" s="135"/>
      <c r="IS87" s="135"/>
      <c r="IT87" s="135"/>
      <c r="IU87" s="135"/>
      <c r="IV87" s="135"/>
      <c r="IW87" s="135"/>
      <c r="IX87" s="135"/>
      <c r="IY87" s="135"/>
      <c r="IZ87" s="135"/>
      <c r="JA87" s="135"/>
      <c r="JB87" s="135"/>
      <c r="JC87" s="135"/>
      <c r="JD87" s="135"/>
      <c r="JE87" s="135"/>
      <c r="JF87" s="135"/>
      <c r="JG87" s="135"/>
      <c r="JH87" s="135"/>
      <c r="JI87" s="135"/>
      <c r="JJ87" s="135"/>
      <c r="JK87" s="135"/>
      <c r="JL87" s="135"/>
      <c r="JM87" s="135"/>
      <c r="JN87" s="135"/>
      <c r="JO87" s="135"/>
      <c r="JP87" s="135"/>
      <c r="JQ87" s="135"/>
      <c r="JR87" s="135"/>
      <c r="JS87" s="135"/>
    </row>
    <row r="88" spans="1:279" s="144" customFormat="1">
      <c r="A88" s="135"/>
      <c r="B88" s="136"/>
      <c r="C88" s="150"/>
      <c r="D88" s="136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6"/>
      <c r="AV88" s="156"/>
      <c r="AW88" s="156"/>
      <c r="AX88" s="151"/>
      <c r="AY88" s="151"/>
      <c r="AZ88" s="156"/>
      <c r="BA88" s="156"/>
      <c r="BB88" s="156"/>
      <c r="BC88" s="151"/>
      <c r="BD88" s="151"/>
      <c r="BE88" s="156"/>
      <c r="BF88" s="156"/>
      <c r="BG88" s="156"/>
      <c r="BH88" s="151"/>
      <c r="BI88" s="151"/>
      <c r="BJ88" s="156"/>
      <c r="BK88" s="156"/>
      <c r="BL88" s="156"/>
      <c r="BM88" s="151"/>
      <c r="BN88" s="151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35"/>
      <c r="CR88" s="135"/>
      <c r="CS88" s="135"/>
      <c r="CT88" s="156"/>
      <c r="CU88" s="135"/>
      <c r="CV88" s="135"/>
      <c r="CW88" s="135"/>
      <c r="CX88" s="156"/>
      <c r="CY88" s="135"/>
      <c r="CZ88" s="135"/>
      <c r="DA88" s="135"/>
      <c r="DB88" s="156"/>
      <c r="DC88" s="135"/>
      <c r="DD88" s="135"/>
      <c r="DE88" s="135"/>
      <c r="DF88" s="156"/>
      <c r="DG88" s="135"/>
      <c r="DH88" s="135"/>
      <c r="DI88" s="135"/>
      <c r="DJ88" s="156"/>
      <c r="DK88" s="135"/>
      <c r="DL88" s="135"/>
      <c r="DM88" s="135"/>
      <c r="DN88" s="156"/>
      <c r="DO88" s="135"/>
      <c r="DP88" s="135"/>
      <c r="DQ88" s="135"/>
      <c r="DR88" s="156"/>
      <c r="DS88" s="135"/>
      <c r="DT88" s="135"/>
      <c r="DU88" s="135"/>
      <c r="DV88" s="156"/>
      <c r="DW88" s="135"/>
      <c r="DX88" s="135"/>
      <c r="DY88" s="135"/>
      <c r="DZ88" s="156"/>
      <c r="EA88" s="135"/>
      <c r="EB88" s="135"/>
      <c r="EC88" s="135"/>
      <c r="ED88" s="156"/>
      <c r="EE88" s="135"/>
      <c r="EF88" s="135"/>
      <c r="EG88" s="135"/>
      <c r="EH88" s="156"/>
      <c r="EI88" s="135"/>
      <c r="EJ88" s="135"/>
      <c r="EK88" s="135"/>
      <c r="EL88" s="156"/>
      <c r="EM88" s="135"/>
      <c r="EN88" s="135"/>
      <c r="EO88" s="135"/>
      <c r="EP88" s="156"/>
      <c r="EQ88" s="135"/>
      <c r="ER88" s="135"/>
      <c r="ES88" s="135"/>
      <c r="ET88" s="156"/>
      <c r="EU88" s="135"/>
      <c r="EV88" s="135"/>
      <c r="EW88" s="135"/>
      <c r="EX88" s="156"/>
      <c r="EY88" s="135"/>
      <c r="EZ88" s="135"/>
      <c r="FA88" s="135"/>
      <c r="FB88" s="156"/>
      <c r="FC88" s="135"/>
      <c r="FD88" s="135"/>
      <c r="FE88" s="135"/>
      <c r="FF88" s="156"/>
      <c r="FG88" s="135"/>
      <c r="FH88" s="135"/>
      <c r="FI88" s="135"/>
      <c r="FJ88" s="156"/>
      <c r="FK88" s="135"/>
      <c r="FL88" s="135"/>
      <c r="FM88" s="135"/>
      <c r="FN88" s="156"/>
      <c r="FO88" s="135"/>
      <c r="FP88" s="135"/>
      <c r="FQ88" s="135"/>
      <c r="FR88" s="156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5"/>
      <c r="GI88" s="135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5"/>
      <c r="GV88" s="135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5"/>
      <c r="HI88" s="135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5"/>
      <c r="HV88" s="135"/>
      <c r="HW88" s="135"/>
      <c r="HX88" s="14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5"/>
      <c r="II88" s="135"/>
      <c r="IJ88" s="135"/>
      <c r="IK88" s="135"/>
      <c r="IL88" s="135"/>
      <c r="IM88" s="135"/>
      <c r="IN88" s="135"/>
      <c r="IO88" s="135"/>
      <c r="IP88" s="135"/>
      <c r="IQ88" s="135"/>
      <c r="IR88" s="135"/>
      <c r="IS88" s="135"/>
      <c r="IT88" s="135"/>
      <c r="IU88" s="135"/>
      <c r="IV88" s="135"/>
      <c r="IW88" s="135"/>
      <c r="IX88" s="135"/>
      <c r="IY88" s="135"/>
      <c r="IZ88" s="135"/>
      <c r="JA88" s="135"/>
      <c r="JB88" s="135"/>
      <c r="JC88" s="135"/>
      <c r="JD88" s="135"/>
      <c r="JE88" s="135"/>
      <c r="JF88" s="135"/>
      <c r="JG88" s="135"/>
      <c r="JH88" s="135"/>
      <c r="JI88" s="135"/>
      <c r="JJ88" s="135"/>
      <c r="JK88" s="135"/>
      <c r="JL88" s="135"/>
      <c r="JM88" s="135"/>
      <c r="JN88" s="135"/>
      <c r="JO88" s="135"/>
      <c r="JP88" s="135"/>
      <c r="JQ88" s="135"/>
      <c r="JR88" s="135"/>
      <c r="JS88" s="135"/>
    </row>
    <row r="89" spans="1:279" s="144" customFormat="1">
      <c r="A89" s="135"/>
      <c r="B89" s="136"/>
      <c r="C89" s="150"/>
      <c r="D89" s="136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6"/>
      <c r="AV89" s="156"/>
      <c r="AW89" s="156"/>
      <c r="AX89" s="151"/>
      <c r="AY89" s="151"/>
      <c r="AZ89" s="156"/>
      <c r="BA89" s="156"/>
      <c r="BB89" s="156"/>
      <c r="BC89" s="151"/>
      <c r="BD89" s="151"/>
      <c r="BE89" s="156"/>
      <c r="BF89" s="156"/>
      <c r="BG89" s="156"/>
      <c r="BH89" s="151"/>
      <c r="BI89" s="151"/>
      <c r="BJ89" s="156"/>
      <c r="BK89" s="156"/>
      <c r="BL89" s="156"/>
      <c r="BM89" s="151"/>
      <c r="BN89" s="151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35"/>
      <c r="CR89" s="135"/>
      <c r="CS89" s="135"/>
      <c r="CT89" s="156"/>
      <c r="CU89" s="135"/>
      <c r="CV89" s="135"/>
      <c r="CW89" s="135"/>
      <c r="CX89" s="156"/>
      <c r="CY89" s="135"/>
      <c r="CZ89" s="135"/>
      <c r="DA89" s="135"/>
      <c r="DB89" s="156"/>
      <c r="DC89" s="135"/>
      <c r="DD89" s="135"/>
      <c r="DE89" s="135"/>
      <c r="DF89" s="156"/>
      <c r="DG89" s="135"/>
      <c r="DH89" s="135"/>
      <c r="DI89" s="135"/>
      <c r="DJ89" s="156"/>
      <c r="DK89" s="135"/>
      <c r="DL89" s="135"/>
      <c r="DM89" s="135"/>
      <c r="DN89" s="156"/>
      <c r="DO89" s="135"/>
      <c r="DP89" s="135"/>
      <c r="DQ89" s="135"/>
      <c r="DR89" s="156"/>
      <c r="DS89" s="135"/>
      <c r="DT89" s="135"/>
      <c r="DU89" s="135"/>
      <c r="DV89" s="156"/>
      <c r="DW89" s="135"/>
      <c r="DX89" s="135"/>
      <c r="DY89" s="135"/>
      <c r="DZ89" s="156"/>
      <c r="EA89" s="135"/>
      <c r="EB89" s="135"/>
      <c r="EC89" s="135"/>
      <c r="ED89" s="156"/>
      <c r="EE89" s="135"/>
      <c r="EF89" s="135"/>
      <c r="EG89" s="135"/>
      <c r="EH89" s="156"/>
      <c r="EI89" s="135"/>
      <c r="EJ89" s="135"/>
      <c r="EK89" s="135"/>
      <c r="EL89" s="156"/>
      <c r="EM89" s="135"/>
      <c r="EN89" s="135"/>
      <c r="EO89" s="135"/>
      <c r="EP89" s="156"/>
      <c r="EQ89" s="135"/>
      <c r="ER89" s="135"/>
      <c r="ES89" s="135"/>
      <c r="ET89" s="156"/>
      <c r="EU89" s="135"/>
      <c r="EV89" s="135"/>
      <c r="EW89" s="135"/>
      <c r="EX89" s="156"/>
      <c r="EY89" s="135"/>
      <c r="EZ89" s="135"/>
      <c r="FA89" s="135"/>
      <c r="FB89" s="156"/>
      <c r="FC89" s="135"/>
      <c r="FD89" s="135"/>
      <c r="FE89" s="135"/>
      <c r="FF89" s="156"/>
      <c r="FG89" s="135"/>
      <c r="FH89" s="135"/>
      <c r="FI89" s="135"/>
      <c r="FJ89" s="156"/>
      <c r="FK89" s="135"/>
      <c r="FL89" s="135"/>
      <c r="FM89" s="135"/>
      <c r="FN89" s="156"/>
      <c r="FO89" s="135"/>
      <c r="FP89" s="135"/>
      <c r="FQ89" s="135"/>
      <c r="FR89" s="156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5"/>
      <c r="GV89" s="135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5"/>
      <c r="HI89" s="135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5"/>
      <c r="HV89" s="135"/>
      <c r="HW89" s="135"/>
      <c r="HX89" s="14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5"/>
      <c r="II89" s="135"/>
      <c r="IJ89" s="135"/>
      <c r="IK89" s="135"/>
      <c r="IL89" s="135"/>
      <c r="IM89" s="135"/>
      <c r="IN89" s="135"/>
      <c r="IO89" s="135"/>
      <c r="IP89" s="135"/>
      <c r="IQ89" s="135"/>
      <c r="IR89" s="135"/>
      <c r="IS89" s="135"/>
      <c r="IT89" s="135"/>
      <c r="IU89" s="135"/>
      <c r="IV89" s="135"/>
      <c r="IW89" s="135"/>
      <c r="IX89" s="135"/>
      <c r="IY89" s="135"/>
      <c r="IZ89" s="135"/>
      <c r="JA89" s="135"/>
      <c r="JB89" s="135"/>
      <c r="JC89" s="135"/>
      <c r="JD89" s="135"/>
      <c r="JE89" s="135"/>
      <c r="JF89" s="135"/>
      <c r="JG89" s="135"/>
      <c r="JH89" s="135"/>
      <c r="JI89" s="135"/>
      <c r="JJ89" s="135"/>
      <c r="JK89" s="135"/>
      <c r="JL89" s="135"/>
      <c r="JM89" s="135"/>
      <c r="JN89" s="135"/>
      <c r="JO89" s="135"/>
      <c r="JP89" s="135"/>
      <c r="JQ89" s="135"/>
      <c r="JR89" s="135"/>
      <c r="JS89" s="135"/>
    </row>
    <row r="90" spans="1:279" s="144" customFormat="1">
      <c r="A90" s="135"/>
      <c r="B90" s="136"/>
      <c r="C90" s="150"/>
      <c r="D90" s="136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6"/>
      <c r="AV90" s="156"/>
      <c r="AW90" s="156"/>
      <c r="AX90" s="151"/>
      <c r="AY90" s="151"/>
      <c r="AZ90" s="156"/>
      <c r="BA90" s="156"/>
      <c r="BB90" s="156"/>
      <c r="BC90" s="151"/>
      <c r="BD90" s="151"/>
      <c r="BE90" s="156"/>
      <c r="BF90" s="156"/>
      <c r="BG90" s="156"/>
      <c r="BH90" s="151"/>
      <c r="BI90" s="151"/>
      <c r="BJ90" s="156"/>
      <c r="BK90" s="156"/>
      <c r="BL90" s="156"/>
      <c r="BM90" s="151"/>
      <c r="BN90" s="151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35"/>
      <c r="CR90" s="135"/>
      <c r="CS90" s="135"/>
      <c r="CT90" s="156"/>
      <c r="CU90" s="135"/>
      <c r="CV90" s="135"/>
      <c r="CW90" s="135"/>
      <c r="CX90" s="156"/>
      <c r="CY90" s="135"/>
      <c r="CZ90" s="135"/>
      <c r="DA90" s="135"/>
      <c r="DB90" s="156"/>
      <c r="DC90" s="135"/>
      <c r="DD90" s="135"/>
      <c r="DE90" s="135"/>
      <c r="DF90" s="156"/>
      <c r="DG90" s="135"/>
      <c r="DH90" s="135"/>
      <c r="DI90" s="135"/>
      <c r="DJ90" s="156"/>
      <c r="DK90" s="135"/>
      <c r="DL90" s="135"/>
      <c r="DM90" s="135"/>
      <c r="DN90" s="156"/>
      <c r="DO90" s="135"/>
      <c r="DP90" s="135"/>
      <c r="DQ90" s="135"/>
      <c r="DR90" s="156"/>
      <c r="DS90" s="135"/>
      <c r="DT90" s="135"/>
      <c r="DU90" s="135"/>
      <c r="DV90" s="156"/>
      <c r="DW90" s="135"/>
      <c r="DX90" s="135"/>
      <c r="DY90" s="135"/>
      <c r="DZ90" s="156"/>
      <c r="EA90" s="135"/>
      <c r="EB90" s="135"/>
      <c r="EC90" s="135"/>
      <c r="ED90" s="156"/>
      <c r="EE90" s="135"/>
      <c r="EF90" s="135"/>
      <c r="EG90" s="135"/>
      <c r="EH90" s="156"/>
      <c r="EI90" s="135"/>
      <c r="EJ90" s="135"/>
      <c r="EK90" s="135"/>
      <c r="EL90" s="156"/>
      <c r="EM90" s="135"/>
      <c r="EN90" s="135"/>
      <c r="EO90" s="135"/>
      <c r="EP90" s="156"/>
      <c r="EQ90" s="135"/>
      <c r="ER90" s="135"/>
      <c r="ES90" s="135"/>
      <c r="ET90" s="156"/>
      <c r="EU90" s="135"/>
      <c r="EV90" s="135"/>
      <c r="EW90" s="135"/>
      <c r="EX90" s="156"/>
      <c r="EY90" s="135"/>
      <c r="EZ90" s="135"/>
      <c r="FA90" s="135"/>
      <c r="FB90" s="156"/>
      <c r="FC90" s="135"/>
      <c r="FD90" s="135"/>
      <c r="FE90" s="135"/>
      <c r="FF90" s="156"/>
      <c r="FG90" s="135"/>
      <c r="FH90" s="135"/>
      <c r="FI90" s="135"/>
      <c r="FJ90" s="156"/>
      <c r="FK90" s="135"/>
      <c r="FL90" s="135"/>
      <c r="FM90" s="135"/>
      <c r="FN90" s="156"/>
      <c r="FO90" s="135"/>
      <c r="FP90" s="135"/>
      <c r="FQ90" s="135"/>
      <c r="FR90" s="156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5"/>
      <c r="GV90" s="135"/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5"/>
      <c r="HI90" s="135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5"/>
      <c r="HV90" s="135"/>
      <c r="HW90" s="135"/>
      <c r="HX90" s="14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5"/>
      <c r="II90" s="135"/>
      <c r="IJ90" s="135"/>
      <c r="IK90" s="135"/>
      <c r="IL90" s="135"/>
      <c r="IM90" s="135"/>
      <c r="IN90" s="135"/>
      <c r="IO90" s="135"/>
      <c r="IP90" s="135"/>
      <c r="IQ90" s="135"/>
      <c r="IR90" s="135"/>
      <c r="IS90" s="135"/>
      <c r="IT90" s="135"/>
      <c r="IU90" s="135"/>
      <c r="IV90" s="135"/>
      <c r="IW90" s="135"/>
      <c r="IX90" s="135"/>
      <c r="IY90" s="135"/>
      <c r="IZ90" s="135"/>
      <c r="JA90" s="135"/>
      <c r="JB90" s="135"/>
      <c r="JC90" s="135"/>
      <c r="JD90" s="135"/>
      <c r="JE90" s="135"/>
      <c r="JF90" s="135"/>
      <c r="JG90" s="135"/>
      <c r="JH90" s="135"/>
      <c r="JI90" s="135"/>
      <c r="JJ90" s="135"/>
      <c r="JK90" s="135"/>
      <c r="JL90" s="135"/>
      <c r="JM90" s="135"/>
      <c r="JN90" s="135"/>
      <c r="JO90" s="135"/>
      <c r="JP90" s="135"/>
      <c r="JQ90" s="135"/>
      <c r="JR90" s="135"/>
      <c r="JS90" s="135"/>
    </row>
    <row r="91" spans="1:279" s="144" customFormat="1">
      <c r="A91" s="135"/>
      <c r="B91" s="136"/>
      <c r="C91" s="150"/>
      <c r="D91" s="136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6"/>
      <c r="AV91" s="156"/>
      <c r="AW91" s="156"/>
      <c r="AX91" s="151"/>
      <c r="AY91" s="151"/>
      <c r="AZ91" s="156"/>
      <c r="BA91" s="156"/>
      <c r="BB91" s="156"/>
      <c r="BC91" s="151"/>
      <c r="BD91" s="151"/>
      <c r="BE91" s="156"/>
      <c r="BF91" s="156"/>
      <c r="BG91" s="156"/>
      <c r="BH91" s="151"/>
      <c r="BI91" s="151"/>
      <c r="BJ91" s="156"/>
      <c r="BK91" s="156"/>
      <c r="BL91" s="156"/>
      <c r="BM91" s="151"/>
      <c r="BN91" s="151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35"/>
      <c r="CR91" s="135"/>
      <c r="CS91" s="135"/>
      <c r="CT91" s="156"/>
      <c r="CU91" s="135"/>
      <c r="CV91" s="135"/>
      <c r="CW91" s="135"/>
      <c r="CX91" s="156"/>
      <c r="CY91" s="135"/>
      <c r="CZ91" s="135"/>
      <c r="DA91" s="135"/>
      <c r="DB91" s="156"/>
      <c r="DC91" s="135"/>
      <c r="DD91" s="135"/>
      <c r="DE91" s="135"/>
      <c r="DF91" s="156"/>
      <c r="DG91" s="135"/>
      <c r="DH91" s="135"/>
      <c r="DI91" s="135"/>
      <c r="DJ91" s="156"/>
      <c r="DK91" s="135"/>
      <c r="DL91" s="135"/>
      <c r="DM91" s="135"/>
      <c r="DN91" s="156"/>
      <c r="DO91" s="135"/>
      <c r="DP91" s="135"/>
      <c r="DQ91" s="135"/>
      <c r="DR91" s="156"/>
      <c r="DS91" s="135"/>
      <c r="DT91" s="135"/>
      <c r="DU91" s="135"/>
      <c r="DV91" s="156"/>
      <c r="DW91" s="135"/>
      <c r="DX91" s="135"/>
      <c r="DY91" s="135"/>
      <c r="DZ91" s="156"/>
      <c r="EA91" s="135"/>
      <c r="EB91" s="135"/>
      <c r="EC91" s="135"/>
      <c r="ED91" s="156"/>
      <c r="EE91" s="135"/>
      <c r="EF91" s="135"/>
      <c r="EG91" s="135"/>
      <c r="EH91" s="156"/>
      <c r="EI91" s="135"/>
      <c r="EJ91" s="135"/>
      <c r="EK91" s="135"/>
      <c r="EL91" s="156"/>
      <c r="EM91" s="135"/>
      <c r="EN91" s="135"/>
      <c r="EO91" s="135"/>
      <c r="EP91" s="156"/>
      <c r="EQ91" s="135"/>
      <c r="ER91" s="135"/>
      <c r="ES91" s="135"/>
      <c r="ET91" s="156"/>
      <c r="EU91" s="135"/>
      <c r="EV91" s="135"/>
      <c r="EW91" s="135"/>
      <c r="EX91" s="156"/>
      <c r="EY91" s="135"/>
      <c r="EZ91" s="135"/>
      <c r="FA91" s="135"/>
      <c r="FB91" s="156"/>
      <c r="FC91" s="135"/>
      <c r="FD91" s="135"/>
      <c r="FE91" s="135"/>
      <c r="FF91" s="156"/>
      <c r="FG91" s="135"/>
      <c r="FH91" s="135"/>
      <c r="FI91" s="135"/>
      <c r="FJ91" s="156"/>
      <c r="FK91" s="135"/>
      <c r="FL91" s="135"/>
      <c r="FM91" s="135"/>
      <c r="FN91" s="156"/>
      <c r="FO91" s="135"/>
      <c r="FP91" s="135"/>
      <c r="FQ91" s="135"/>
      <c r="FR91" s="156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5"/>
      <c r="GI91" s="135"/>
      <c r="GJ91" s="135"/>
      <c r="GK91" s="135"/>
      <c r="GL91" s="135"/>
      <c r="GM91" s="135"/>
      <c r="GN91" s="135"/>
      <c r="GO91" s="135"/>
      <c r="GP91" s="135"/>
      <c r="GQ91" s="135"/>
      <c r="GR91" s="135"/>
      <c r="GS91" s="135"/>
      <c r="GT91" s="135"/>
      <c r="GU91" s="135"/>
      <c r="GV91" s="135"/>
      <c r="GW91" s="135"/>
      <c r="GX91" s="135"/>
      <c r="GY91" s="135"/>
      <c r="GZ91" s="135"/>
      <c r="HA91" s="135"/>
      <c r="HB91" s="135"/>
      <c r="HC91" s="135"/>
      <c r="HD91" s="135"/>
      <c r="HE91" s="135"/>
      <c r="HF91" s="135"/>
      <c r="HG91" s="135"/>
      <c r="HH91" s="135"/>
      <c r="HI91" s="135"/>
      <c r="HJ91" s="135"/>
      <c r="HK91" s="135"/>
      <c r="HL91" s="135"/>
      <c r="HM91" s="135"/>
      <c r="HN91" s="135"/>
      <c r="HO91" s="135"/>
      <c r="HP91" s="135"/>
      <c r="HQ91" s="135"/>
      <c r="HR91" s="135"/>
      <c r="HS91" s="135"/>
      <c r="HT91" s="135"/>
      <c r="HU91" s="135"/>
      <c r="HV91" s="135"/>
      <c r="HW91" s="135"/>
      <c r="HX91" s="145"/>
      <c r="HY91" s="135"/>
      <c r="HZ91" s="135"/>
      <c r="IA91" s="135"/>
      <c r="IB91" s="135"/>
      <c r="IC91" s="135"/>
      <c r="ID91" s="135"/>
      <c r="IE91" s="135"/>
      <c r="IF91" s="135"/>
      <c r="IG91" s="135"/>
      <c r="IH91" s="135"/>
      <c r="II91" s="135"/>
      <c r="IJ91" s="135"/>
      <c r="IK91" s="135"/>
      <c r="IL91" s="135"/>
      <c r="IM91" s="135"/>
      <c r="IN91" s="135"/>
      <c r="IO91" s="135"/>
      <c r="IP91" s="135"/>
      <c r="IQ91" s="135"/>
      <c r="IR91" s="135"/>
      <c r="IS91" s="135"/>
      <c r="IT91" s="135"/>
      <c r="IU91" s="135"/>
      <c r="IV91" s="135"/>
      <c r="IW91" s="135"/>
      <c r="IX91" s="135"/>
      <c r="IY91" s="135"/>
      <c r="IZ91" s="135"/>
      <c r="JA91" s="135"/>
      <c r="JB91" s="135"/>
      <c r="JC91" s="135"/>
      <c r="JD91" s="135"/>
      <c r="JE91" s="135"/>
      <c r="JF91" s="135"/>
      <c r="JG91" s="135"/>
      <c r="JH91" s="135"/>
      <c r="JI91" s="135"/>
      <c r="JJ91" s="135"/>
      <c r="JK91" s="135"/>
      <c r="JL91" s="135"/>
      <c r="JM91" s="135"/>
      <c r="JN91" s="135"/>
      <c r="JO91" s="135"/>
      <c r="JP91" s="135"/>
      <c r="JQ91" s="135"/>
      <c r="JR91" s="135"/>
      <c r="JS91" s="135"/>
    </row>
    <row r="92" spans="1:279" s="144" customFormat="1">
      <c r="A92" s="135"/>
      <c r="B92" s="136"/>
      <c r="C92" s="150"/>
      <c r="D92" s="136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6"/>
      <c r="AV92" s="156"/>
      <c r="AW92" s="156"/>
      <c r="AX92" s="151"/>
      <c r="AY92" s="151"/>
      <c r="AZ92" s="156"/>
      <c r="BA92" s="156"/>
      <c r="BB92" s="156"/>
      <c r="BC92" s="151"/>
      <c r="BD92" s="151"/>
      <c r="BE92" s="156"/>
      <c r="BF92" s="156"/>
      <c r="BG92" s="156"/>
      <c r="BH92" s="151"/>
      <c r="BI92" s="151"/>
      <c r="BJ92" s="156"/>
      <c r="BK92" s="156"/>
      <c r="BL92" s="156"/>
      <c r="BM92" s="151"/>
      <c r="BN92" s="151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156"/>
      <c r="CM92" s="156"/>
      <c r="CN92" s="156"/>
      <c r="CO92" s="156"/>
      <c r="CP92" s="156"/>
      <c r="CQ92" s="135"/>
      <c r="CR92" s="135"/>
      <c r="CS92" s="135"/>
      <c r="CT92" s="156"/>
      <c r="CU92" s="135"/>
      <c r="CV92" s="135"/>
      <c r="CW92" s="135"/>
      <c r="CX92" s="156"/>
      <c r="CY92" s="135"/>
      <c r="CZ92" s="135"/>
      <c r="DA92" s="135"/>
      <c r="DB92" s="156"/>
      <c r="DC92" s="135"/>
      <c r="DD92" s="135"/>
      <c r="DE92" s="135"/>
      <c r="DF92" s="156"/>
      <c r="DG92" s="135"/>
      <c r="DH92" s="135"/>
      <c r="DI92" s="135"/>
      <c r="DJ92" s="156"/>
      <c r="DK92" s="135"/>
      <c r="DL92" s="135"/>
      <c r="DM92" s="135"/>
      <c r="DN92" s="156"/>
      <c r="DO92" s="135"/>
      <c r="DP92" s="135"/>
      <c r="DQ92" s="135"/>
      <c r="DR92" s="156"/>
      <c r="DS92" s="135"/>
      <c r="DT92" s="135"/>
      <c r="DU92" s="135"/>
      <c r="DV92" s="156"/>
      <c r="DW92" s="135"/>
      <c r="DX92" s="135"/>
      <c r="DY92" s="135"/>
      <c r="DZ92" s="156"/>
      <c r="EA92" s="135"/>
      <c r="EB92" s="135"/>
      <c r="EC92" s="135"/>
      <c r="ED92" s="156"/>
      <c r="EE92" s="135"/>
      <c r="EF92" s="135"/>
      <c r="EG92" s="135"/>
      <c r="EH92" s="156"/>
      <c r="EI92" s="135"/>
      <c r="EJ92" s="135"/>
      <c r="EK92" s="135"/>
      <c r="EL92" s="156"/>
      <c r="EM92" s="135"/>
      <c r="EN92" s="135"/>
      <c r="EO92" s="135"/>
      <c r="EP92" s="156"/>
      <c r="EQ92" s="135"/>
      <c r="ER92" s="135"/>
      <c r="ES92" s="135"/>
      <c r="ET92" s="156"/>
      <c r="EU92" s="135"/>
      <c r="EV92" s="135"/>
      <c r="EW92" s="135"/>
      <c r="EX92" s="156"/>
      <c r="EY92" s="135"/>
      <c r="EZ92" s="135"/>
      <c r="FA92" s="135"/>
      <c r="FB92" s="156"/>
      <c r="FC92" s="135"/>
      <c r="FD92" s="135"/>
      <c r="FE92" s="135"/>
      <c r="FF92" s="156"/>
      <c r="FG92" s="135"/>
      <c r="FH92" s="135"/>
      <c r="FI92" s="135"/>
      <c r="FJ92" s="156"/>
      <c r="FK92" s="135"/>
      <c r="FL92" s="135"/>
      <c r="FM92" s="135"/>
      <c r="FN92" s="156"/>
      <c r="FO92" s="135"/>
      <c r="FP92" s="135"/>
      <c r="FQ92" s="135"/>
      <c r="FR92" s="156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5"/>
      <c r="GV92" s="135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5"/>
      <c r="HI92" s="135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5"/>
      <c r="HV92" s="135"/>
      <c r="HW92" s="135"/>
      <c r="HX92" s="14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5"/>
      <c r="II92" s="135"/>
      <c r="IJ92" s="135"/>
      <c r="IK92" s="135"/>
      <c r="IL92" s="135"/>
      <c r="IM92" s="135"/>
      <c r="IN92" s="135"/>
      <c r="IO92" s="135"/>
      <c r="IP92" s="135"/>
      <c r="IQ92" s="135"/>
      <c r="IR92" s="135"/>
      <c r="IS92" s="135"/>
      <c r="IT92" s="135"/>
      <c r="IU92" s="135"/>
      <c r="IV92" s="135"/>
      <c r="IW92" s="135"/>
      <c r="IX92" s="135"/>
      <c r="IY92" s="135"/>
      <c r="IZ92" s="135"/>
      <c r="JA92" s="135"/>
      <c r="JB92" s="135"/>
      <c r="JC92" s="135"/>
      <c r="JD92" s="135"/>
      <c r="JE92" s="135"/>
      <c r="JF92" s="135"/>
      <c r="JG92" s="135"/>
      <c r="JH92" s="135"/>
      <c r="JI92" s="135"/>
      <c r="JJ92" s="135"/>
      <c r="JK92" s="135"/>
      <c r="JL92" s="135"/>
      <c r="JM92" s="135"/>
      <c r="JN92" s="135"/>
      <c r="JO92" s="135"/>
      <c r="JP92" s="135"/>
      <c r="JQ92" s="135"/>
      <c r="JR92" s="135"/>
      <c r="JS92" s="135"/>
    </row>
    <row r="93" spans="1:279" s="144" customFormat="1">
      <c r="A93" s="135"/>
      <c r="B93" s="136"/>
      <c r="C93" s="150"/>
      <c r="D93" s="136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6"/>
      <c r="AV93" s="156"/>
      <c r="AW93" s="156"/>
      <c r="AX93" s="151"/>
      <c r="AY93" s="151"/>
      <c r="AZ93" s="156"/>
      <c r="BA93" s="156"/>
      <c r="BB93" s="156"/>
      <c r="BC93" s="151"/>
      <c r="BD93" s="151"/>
      <c r="BE93" s="156"/>
      <c r="BF93" s="156"/>
      <c r="BG93" s="156"/>
      <c r="BH93" s="151"/>
      <c r="BI93" s="151"/>
      <c r="BJ93" s="156"/>
      <c r="BK93" s="156"/>
      <c r="BL93" s="156"/>
      <c r="BM93" s="151"/>
      <c r="BN93" s="151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35"/>
      <c r="CR93" s="135"/>
      <c r="CS93" s="135"/>
      <c r="CT93" s="156"/>
      <c r="CU93" s="135"/>
      <c r="CV93" s="135"/>
      <c r="CW93" s="135"/>
      <c r="CX93" s="156"/>
      <c r="CY93" s="135"/>
      <c r="CZ93" s="135"/>
      <c r="DA93" s="135"/>
      <c r="DB93" s="156"/>
      <c r="DC93" s="135"/>
      <c r="DD93" s="135"/>
      <c r="DE93" s="135"/>
      <c r="DF93" s="156"/>
      <c r="DG93" s="135"/>
      <c r="DH93" s="135"/>
      <c r="DI93" s="135"/>
      <c r="DJ93" s="156"/>
      <c r="DK93" s="135"/>
      <c r="DL93" s="135"/>
      <c r="DM93" s="135"/>
      <c r="DN93" s="156"/>
      <c r="DO93" s="135"/>
      <c r="DP93" s="135"/>
      <c r="DQ93" s="135"/>
      <c r="DR93" s="156"/>
      <c r="DS93" s="135"/>
      <c r="DT93" s="135"/>
      <c r="DU93" s="135"/>
      <c r="DV93" s="156"/>
      <c r="DW93" s="135"/>
      <c r="DX93" s="135"/>
      <c r="DY93" s="135"/>
      <c r="DZ93" s="156"/>
      <c r="EA93" s="135"/>
      <c r="EB93" s="135"/>
      <c r="EC93" s="135"/>
      <c r="ED93" s="156"/>
      <c r="EE93" s="135"/>
      <c r="EF93" s="135"/>
      <c r="EG93" s="135"/>
      <c r="EH93" s="156"/>
      <c r="EI93" s="135"/>
      <c r="EJ93" s="135"/>
      <c r="EK93" s="135"/>
      <c r="EL93" s="156"/>
      <c r="EM93" s="135"/>
      <c r="EN93" s="135"/>
      <c r="EO93" s="135"/>
      <c r="EP93" s="156"/>
      <c r="EQ93" s="135"/>
      <c r="ER93" s="135"/>
      <c r="ES93" s="135"/>
      <c r="ET93" s="156"/>
      <c r="EU93" s="135"/>
      <c r="EV93" s="135"/>
      <c r="EW93" s="135"/>
      <c r="EX93" s="156"/>
      <c r="EY93" s="135"/>
      <c r="EZ93" s="135"/>
      <c r="FA93" s="135"/>
      <c r="FB93" s="156"/>
      <c r="FC93" s="135"/>
      <c r="FD93" s="135"/>
      <c r="FE93" s="135"/>
      <c r="FF93" s="156"/>
      <c r="FG93" s="135"/>
      <c r="FH93" s="135"/>
      <c r="FI93" s="135"/>
      <c r="FJ93" s="156"/>
      <c r="FK93" s="135"/>
      <c r="FL93" s="135"/>
      <c r="FM93" s="135"/>
      <c r="FN93" s="156"/>
      <c r="FO93" s="135"/>
      <c r="FP93" s="135"/>
      <c r="FQ93" s="135"/>
      <c r="FR93" s="156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5"/>
      <c r="GV93" s="135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5"/>
      <c r="HI93" s="135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5"/>
      <c r="HV93" s="135"/>
      <c r="HW93" s="135"/>
      <c r="HX93" s="14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5"/>
      <c r="II93" s="135"/>
      <c r="IJ93" s="135"/>
      <c r="IK93" s="135"/>
      <c r="IL93" s="135"/>
      <c r="IM93" s="135"/>
      <c r="IN93" s="135"/>
      <c r="IO93" s="135"/>
      <c r="IP93" s="135"/>
      <c r="IQ93" s="135"/>
      <c r="IR93" s="135"/>
      <c r="IS93" s="135"/>
      <c r="IT93" s="135"/>
      <c r="IU93" s="135"/>
      <c r="IV93" s="135"/>
      <c r="IW93" s="135"/>
      <c r="IX93" s="135"/>
      <c r="IY93" s="135"/>
      <c r="IZ93" s="135"/>
      <c r="JA93" s="135"/>
      <c r="JB93" s="135"/>
      <c r="JC93" s="135"/>
      <c r="JD93" s="135"/>
      <c r="JE93" s="135"/>
      <c r="JF93" s="135"/>
      <c r="JG93" s="135"/>
      <c r="JH93" s="135"/>
      <c r="JI93" s="135"/>
      <c r="JJ93" s="135"/>
      <c r="JK93" s="135"/>
      <c r="JL93" s="135"/>
      <c r="JM93" s="135"/>
      <c r="JN93" s="135"/>
      <c r="JO93" s="135"/>
      <c r="JP93" s="135"/>
      <c r="JQ93" s="135"/>
      <c r="JR93" s="135"/>
      <c r="JS93" s="135"/>
    </row>
  </sheetData>
  <pageMargins left="0.33" right="0.26" top="0.32" bottom="0.26" header="0.2" footer="0.2"/>
  <pageSetup scale="4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0416-F09B-4984-BEDF-A5936DECB745}">
  <sheetPr>
    <tabColor rgb="FFFFC000"/>
  </sheetPr>
  <dimension ref="B1:BG133"/>
  <sheetViews>
    <sheetView workbookViewId="0"/>
  </sheetViews>
  <sheetFormatPr defaultRowHeight="12.75"/>
  <cols>
    <col min="1" max="1" width="3.7109375" style="563" customWidth="1"/>
    <col min="2" max="2" width="42.42578125" style="563" customWidth="1"/>
    <col min="3" max="3" width="12.28515625" style="563" customWidth="1"/>
    <col min="4" max="4" width="9.7109375" style="563" bestFit="1" customWidth="1"/>
    <col min="5" max="6" width="9.140625" style="563"/>
    <col min="7" max="7" width="12.7109375" style="563" customWidth="1"/>
    <col min="8" max="12" width="11" style="563" customWidth="1"/>
    <col min="13" max="16" width="9.140625" style="563"/>
    <col min="17" max="17" width="11" style="563" customWidth="1"/>
    <col min="18" max="24" width="9.140625" style="563"/>
    <col min="25" max="25" width="11.28515625" style="563" bestFit="1" customWidth="1"/>
    <col min="26" max="26" width="9.140625" style="563"/>
    <col min="27" max="27" width="10" style="563" customWidth="1"/>
    <col min="28" max="28" width="9.140625" style="563"/>
    <col min="29" max="29" width="9.7109375" style="563" bestFit="1" customWidth="1"/>
    <col min="30" max="34" width="9.140625" style="563"/>
    <col min="35" max="35" width="9.5703125" style="563" bestFit="1" customWidth="1"/>
    <col min="36" max="36" width="9.140625" style="563"/>
    <col min="37" max="37" width="10.5703125" style="563" customWidth="1"/>
    <col min="38" max="57" width="9.140625" style="563"/>
    <col min="58" max="58" width="11.7109375" style="563" customWidth="1"/>
    <col min="59" max="59" width="10.28515625" style="563" customWidth="1"/>
    <col min="60" max="16384" width="9.140625" style="563"/>
  </cols>
  <sheetData>
    <row r="1" spans="2:59">
      <c r="AN1" s="564"/>
      <c r="AS1" s="565"/>
      <c r="AU1" s="565"/>
      <c r="AV1" s="565"/>
      <c r="AW1" s="565"/>
    </row>
    <row r="3" spans="2:59">
      <c r="C3" s="566">
        <v>2024.4</v>
      </c>
      <c r="D3" s="566">
        <v>2024.4</v>
      </c>
      <c r="E3" s="566">
        <v>2024.4</v>
      </c>
      <c r="F3" s="566">
        <v>2024.4</v>
      </c>
      <c r="H3" s="563" t="s">
        <v>216</v>
      </c>
      <c r="I3" s="563" t="s">
        <v>647</v>
      </c>
      <c r="J3" s="563" t="s">
        <v>648</v>
      </c>
      <c r="K3" s="563" t="s">
        <v>649</v>
      </c>
      <c r="L3" s="563" t="s">
        <v>650</v>
      </c>
      <c r="M3" s="567">
        <v>2023.4</v>
      </c>
      <c r="N3" s="567">
        <v>2023.4</v>
      </c>
      <c r="O3" s="567">
        <v>2023.4</v>
      </c>
      <c r="R3" s="563" t="s">
        <v>216</v>
      </c>
      <c r="S3" s="563" t="s">
        <v>643</v>
      </c>
      <c r="T3" s="563" t="s">
        <v>639</v>
      </c>
      <c r="U3" s="563" t="s">
        <v>616</v>
      </c>
      <c r="V3" s="567">
        <v>2023.1</v>
      </c>
      <c r="W3" s="567">
        <v>2022.4</v>
      </c>
      <c r="X3" s="567">
        <v>2022.4</v>
      </c>
      <c r="Y3" s="567">
        <v>2022.4</v>
      </c>
      <c r="AB3" s="563" t="s">
        <v>217</v>
      </c>
      <c r="AC3" s="563" t="s">
        <v>592</v>
      </c>
      <c r="AD3" s="563" t="s">
        <v>586</v>
      </c>
      <c r="AE3" s="563" t="s">
        <v>585</v>
      </c>
      <c r="AF3" s="563" t="s">
        <v>651</v>
      </c>
      <c r="AG3" s="563">
        <v>2021.4</v>
      </c>
      <c r="AH3" s="563">
        <v>2021.4</v>
      </c>
      <c r="AI3" s="563">
        <v>2021.4</v>
      </c>
      <c r="AL3" s="563" t="s">
        <v>217</v>
      </c>
      <c r="AM3" s="563" t="s">
        <v>581</v>
      </c>
      <c r="AN3" s="563" t="s">
        <v>579</v>
      </c>
      <c r="AO3" s="563" t="s">
        <v>576</v>
      </c>
      <c r="AP3" s="563" t="s">
        <v>597</v>
      </c>
      <c r="AQ3" s="566">
        <v>2020.4</v>
      </c>
      <c r="AR3" s="566">
        <v>2020.4</v>
      </c>
      <c r="AS3" s="566">
        <v>2020.4</v>
      </c>
      <c r="AV3" s="563" t="s">
        <v>217</v>
      </c>
      <c r="AW3" s="563" t="s">
        <v>573</v>
      </c>
      <c r="AX3" s="563" t="s">
        <v>571</v>
      </c>
      <c r="AY3" s="563" t="s">
        <v>569</v>
      </c>
      <c r="AZ3" s="563" t="s">
        <v>583</v>
      </c>
      <c r="BD3" s="568">
        <v>2019.4</v>
      </c>
      <c r="BE3" s="568">
        <v>2019.4</v>
      </c>
      <c r="BF3" s="568">
        <v>2019.4</v>
      </c>
      <c r="BG3" s="568" t="s">
        <v>652</v>
      </c>
    </row>
    <row r="4" spans="2:59">
      <c r="B4" s="563" t="s">
        <v>196</v>
      </c>
      <c r="C4" s="563" t="s">
        <v>104</v>
      </c>
      <c r="D4" s="569"/>
      <c r="E4" s="563" t="s">
        <v>105</v>
      </c>
      <c r="F4" s="566" t="s">
        <v>106</v>
      </c>
      <c r="G4" s="566">
        <v>2024.4</v>
      </c>
      <c r="H4" s="563" t="s">
        <v>218</v>
      </c>
      <c r="I4" s="563" t="s">
        <v>219</v>
      </c>
      <c r="J4" s="563" t="s">
        <v>219</v>
      </c>
      <c r="K4" s="563" t="s">
        <v>219</v>
      </c>
      <c r="L4" s="563" t="s">
        <v>219</v>
      </c>
      <c r="M4" s="563" t="s">
        <v>104</v>
      </c>
      <c r="N4" s="569"/>
      <c r="O4" s="563" t="s">
        <v>105</v>
      </c>
      <c r="P4" s="567">
        <v>2023.4</v>
      </c>
      <c r="Q4" s="567">
        <v>2023.4</v>
      </c>
      <c r="R4" s="563" t="s">
        <v>218</v>
      </c>
      <c r="S4" s="563" t="s">
        <v>219</v>
      </c>
      <c r="T4" s="563" t="s">
        <v>219</v>
      </c>
      <c r="U4" s="563" t="s">
        <v>219</v>
      </c>
      <c r="V4" s="563" t="s">
        <v>219</v>
      </c>
      <c r="W4" s="563" t="s">
        <v>104</v>
      </c>
      <c r="Y4" s="563" t="s">
        <v>105</v>
      </c>
      <c r="Z4" s="567">
        <v>2022.4</v>
      </c>
      <c r="AA4" s="567">
        <v>2022.4</v>
      </c>
      <c r="AB4" s="563" t="s">
        <v>218</v>
      </c>
      <c r="AC4" s="563" t="s">
        <v>219</v>
      </c>
      <c r="AD4" s="563" t="s">
        <v>219</v>
      </c>
      <c r="AE4" s="563" t="s">
        <v>219</v>
      </c>
      <c r="AF4" s="563" t="s">
        <v>219</v>
      </c>
      <c r="AG4" s="563" t="s">
        <v>104</v>
      </c>
      <c r="AI4" s="563" t="s">
        <v>105</v>
      </c>
      <c r="AJ4" s="563">
        <v>2021.4</v>
      </c>
      <c r="AK4" s="563">
        <v>2021.4</v>
      </c>
      <c r="AL4" s="563" t="s">
        <v>218</v>
      </c>
      <c r="AM4" s="563" t="s">
        <v>219</v>
      </c>
      <c r="AN4" s="563" t="s">
        <v>219</v>
      </c>
      <c r="AO4" s="563" t="s">
        <v>219</v>
      </c>
      <c r="AP4" s="563" t="s">
        <v>219</v>
      </c>
      <c r="AQ4" s="563" t="s">
        <v>104</v>
      </c>
      <c r="AS4" s="563" t="s">
        <v>105</v>
      </c>
      <c r="AT4" s="566">
        <v>2020.4</v>
      </c>
      <c r="AU4" s="566">
        <v>2020.4</v>
      </c>
      <c r="AV4" s="563" t="s">
        <v>218</v>
      </c>
      <c r="AW4" s="563" t="s">
        <v>219</v>
      </c>
      <c r="AX4" s="563" t="s">
        <v>219</v>
      </c>
      <c r="AY4" s="563" t="s">
        <v>219</v>
      </c>
      <c r="AZ4" s="563" t="s">
        <v>219</v>
      </c>
      <c r="BD4" s="568" t="s">
        <v>220</v>
      </c>
      <c r="BE4" s="568" t="s">
        <v>221</v>
      </c>
      <c r="BF4" s="568" t="s">
        <v>51</v>
      </c>
      <c r="BG4" s="568" t="s">
        <v>514</v>
      </c>
    </row>
    <row r="5" spans="2:59">
      <c r="C5" s="563" t="s">
        <v>72</v>
      </c>
      <c r="D5" s="569" t="s">
        <v>72</v>
      </c>
      <c r="E5" s="563" t="s">
        <v>107</v>
      </c>
      <c r="F5" s="566" t="s">
        <v>108</v>
      </c>
      <c r="G5" s="563" t="s">
        <v>109</v>
      </c>
      <c r="H5" s="563" t="s">
        <v>222</v>
      </c>
      <c r="I5" s="563" t="s">
        <v>218</v>
      </c>
      <c r="J5" s="563" t="s">
        <v>218</v>
      </c>
      <c r="K5" s="563" t="s">
        <v>218</v>
      </c>
      <c r="L5" s="563" t="s">
        <v>218</v>
      </c>
      <c r="M5" s="563" t="s">
        <v>72</v>
      </c>
      <c r="N5" s="569" t="s">
        <v>72</v>
      </c>
      <c r="O5" s="563" t="s">
        <v>107</v>
      </c>
      <c r="P5" s="563" t="s">
        <v>104</v>
      </c>
      <c r="Q5" s="563" t="s">
        <v>109</v>
      </c>
      <c r="R5" s="563" t="s">
        <v>222</v>
      </c>
      <c r="S5" s="563" t="s">
        <v>223</v>
      </c>
      <c r="T5" s="563" t="s">
        <v>223</v>
      </c>
      <c r="U5" s="563" t="s">
        <v>223</v>
      </c>
      <c r="V5" s="563" t="s">
        <v>218</v>
      </c>
      <c r="W5" s="563" t="s">
        <v>72</v>
      </c>
      <c r="X5" s="563" t="s">
        <v>72</v>
      </c>
      <c r="Y5" s="563" t="s">
        <v>107</v>
      </c>
      <c r="Z5" s="563" t="s">
        <v>104</v>
      </c>
      <c r="AA5" s="563" t="s">
        <v>109</v>
      </c>
      <c r="AB5" s="563" t="s">
        <v>222</v>
      </c>
      <c r="AC5" s="563" t="s">
        <v>218</v>
      </c>
      <c r="AD5" s="563" t="s">
        <v>218</v>
      </c>
      <c r="AE5" s="563" t="s">
        <v>218</v>
      </c>
      <c r="AF5" s="563" t="s">
        <v>218</v>
      </c>
      <c r="AG5" s="563" t="s">
        <v>72</v>
      </c>
      <c r="AH5" s="563" t="s">
        <v>72</v>
      </c>
      <c r="AI5" s="563" t="s">
        <v>107</v>
      </c>
      <c r="AJ5" s="563" t="s">
        <v>104</v>
      </c>
      <c r="AK5" s="563" t="s">
        <v>109</v>
      </c>
      <c r="AL5" s="563" t="s">
        <v>222</v>
      </c>
      <c r="AM5" s="563" t="s">
        <v>218</v>
      </c>
      <c r="AN5" s="563" t="s">
        <v>218</v>
      </c>
      <c r="AO5" s="563" t="s">
        <v>218</v>
      </c>
      <c r="AP5" s="563" t="s">
        <v>218</v>
      </c>
      <c r="AQ5" s="563" t="s">
        <v>72</v>
      </c>
      <c r="AR5" s="563" t="s">
        <v>72</v>
      </c>
      <c r="AS5" s="563" t="s">
        <v>107</v>
      </c>
      <c r="AT5" s="563" t="s">
        <v>104</v>
      </c>
      <c r="AU5" s="566" t="s">
        <v>109</v>
      </c>
      <c r="AV5" s="563" t="s">
        <v>222</v>
      </c>
      <c r="AW5" s="563" t="s">
        <v>218</v>
      </c>
      <c r="AX5" s="563" t="s">
        <v>218</v>
      </c>
      <c r="AY5" s="563" t="s">
        <v>218</v>
      </c>
      <c r="AZ5" s="563" t="s">
        <v>218</v>
      </c>
      <c r="BD5" s="566"/>
      <c r="BE5" s="566"/>
      <c r="BF5" s="568"/>
      <c r="BG5" s="568" t="s">
        <v>515</v>
      </c>
    </row>
    <row r="6" spans="2:59">
      <c r="C6" s="563" t="s">
        <v>110</v>
      </c>
      <c r="D6" s="569" t="s">
        <v>110</v>
      </c>
      <c r="E6" s="563" t="s">
        <v>111</v>
      </c>
      <c r="F6" s="566" t="s">
        <v>112</v>
      </c>
      <c r="G6" s="563" t="s">
        <v>108</v>
      </c>
      <c r="M6" s="563" t="s">
        <v>110</v>
      </c>
      <c r="N6" s="569" t="s">
        <v>110</v>
      </c>
      <c r="O6" s="563" t="s">
        <v>111</v>
      </c>
      <c r="P6" s="563" t="s">
        <v>224</v>
      </c>
      <c r="Q6" s="563" t="s">
        <v>108</v>
      </c>
      <c r="W6" s="563" t="s">
        <v>110</v>
      </c>
      <c r="X6" s="563" t="s">
        <v>110</v>
      </c>
      <c r="Y6" s="563" t="s">
        <v>111</v>
      </c>
      <c r="Z6" s="563" t="s">
        <v>224</v>
      </c>
      <c r="AA6" s="563" t="s">
        <v>108</v>
      </c>
      <c r="AG6" s="563" t="s">
        <v>110</v>
      </c>
      <c r="AH6" s="563" t="s">
        <v>110</v>
      </c>
      <c r="AI6" s="563" t="s">
        <v>111</v>
      </c>
      <c r="AJ6" s="563" t="s">
        <v>224</v>
      </c>
      <c r="AK6" s="563" t="s">
        <v>108</v>
      </c>
      <c r="AQ6" s="563" t="s">
        <v>110</v>
      </c>
      <c r="AR6" s="563" t="s">
        <v>110</v>
      </c>
      <c r="AS6" s="563" t="s">
        <v>111</v>
      </c>
      <c r="AT6" s="563" t="s">
        <v>224</v>
      </c>
      <c r="AU6" s="566" t="s">
        <v>108</v>
      </c>
      <c r="BD6" s="566"/>
      <c r="BE6" s="566"/>
      <c r="BF6" s="568"/>
      <c r="BG6" s="568"/>
    </row>
    <row r="7" spans="2:59">
      <c r="B7" s="563" t="s">
        <v>225</v>
      </c>
      <c r="C7" s="570"/>
      <c r="D7" s="569"/>
      <c r="E7" s="571" t="e">
        <v>#DIV/0!</v>
      </c>
      <c r="F7" s="563">
        <f>G7/G$112</f>
        <v>0</v>
      </c>
      <c r="G7" s="571">
        <v>0</v>
      </c>
      <c r="H7" s="563" t="e">
        <f>I7+J7+K7+L7+R7</f>
        <v>#DIV/0!</v>
      </c>
      <c r="I7" s="563" t="e">
        <v>#DIV/0!</v>
      </c>
      <c r="J7" s="563" t="e">
        <v>#DIV/0!</v>
      </c>
      <c r="K7" s="563" t="e">
        <v>#DIV/0!</v>
      </c>
      <c r="L7" s="572" t="e">
        <v>#DIV/0!</v>
      </c>
      <c r="M7" s="570" t="e">
        <f>N7*Z7</f>
        <v>#DIV/0!</v>
      </c>
      <c r="N7" s="569" t="e">
        <f>((O7/Y7)-1)*100</f>
        <v>#DIV/0!</v>
      </c>
      <c r="O7" s="571" t="e">
        <v>#DIV/0!</v>
      </c>
      <c r="Q7" s="571">
        <v>0</v>
      </c>
      <c r="R7" s="563" t="e">
        <f>(S7+T7+U7+V7+AB7)</f>
        <v>#DIV/0!</v>
      </c>
      <c r="S7" s="572" t="e">
        <v>#DIV/0!</v>
      </c>
      <c r="T7" s="563" t="e">
        <v>#DIV/0!</v>
      </c>
      <c r="U7" s="563" t="e">
        <v>#DIV/0!</v>
      </c>
      <c r="V7" s="563" t="e">
        <v>#DIV/0!</v>
      </c>
      <c r="W7" s="570" t="e">
        <f>X7*AJ7</f>
        <v>#DIV/0!</v>
      </c>
      <c r="X7" s="573" t="e">
        <f>((Y7/AI7)-1)*100</f>
        <v>#DIV/0!</v>
      </c>
      <c r="Y7" s="574" t="e">
        <v>#DIV/0!</v>
      </c>
      <c r="Z7" s="563">
        <f t="shared" ref="Z7:Z13" si="0">AA7/$AA$112</f>
        <v>0</v>
      </c>
      <c r="AA7" s="571">
        <v>0</v>
      </c>
      <c r="AB7" s="563" t="e">
        <f>(AC7+AD7+AE7+AF7+AL7)</f>
        <v>#DIV/0!</v>
      </c>
      <c r="AC7" s="563" t="e">
        <v>#DIV/0!</v>
      </c>
      <c r="AD7" s="563" t="e">
        <v>#DIV/0!</v>
      </c>
      <c r="AE7" s="571" t="e">
        <v>#DIV/0!</v>
      </c>
      <c r="AF7" s="563" t="e">
        <v>#DIV/0!</v>
      </c>
      <c r="AG7" s="575" t="e">
        <f>AH7*AT7</f>
        <v>#DIV/0!</v>
      </c>
      <c r="AH7" s="573" t="e">
        <f>((AI7/AS7)-1)*100</f>
        <v>#DIV/0!</v>
      </c>
      <c r="AI7" s="576" t="e">
        <v>#DIV/0!</v>
      </c>
      <c r="AJ7" s="563">
        <f t="shared" ref="AJ7:AJ32" si="1">AK7/$AK$112</f>
        <v>0</v>
      </c>
      <c r="AK7" s="571">
        <v>0</v>
      </c>
      <c r="AL7" s="563" t="e">
        <f t="shared" ref="AL7:AL13" si="2">AM7+AN7+AO7+AP7+AV7</f>
        <v>#DIV/0!</v>
      </c>
      <c r="AM7" s="563" t="e">
        <v>#DIV/0!</v>
      </c>
      <c r="AN7" s="563" t="e">
        <v>#DIV/0!</v>
      </c>
      <c r="AO7" s="563" t="e">
        <v>#DIV/0!</v>
      </c>
      <c r="AP7" s="571" t="e">
        <v>#DIV/0!</v>
      </c>
      <c r="AQ7" s="563" t="e">
        <f>AR7*BG7</f>
        <v>#DIV/0!</v>
      </c>
      <c r="AR7" s="563" t="e">
        <v>#DIV/0!</v>
      </c>
      <c r="AS7" s="563" t="e">
        <v>#DIV/0!</v>
      </c>
      <c r="AT7" s="563">
        <f t="shared" ref="AT7:AT32" si="3">AU7/$AU$112</f>
        <v>0</v>
      </c>
      <c r="AU7" s="577">
        <v>0</v>
      </c>
      <c r="AV7" s="563" t="e">
        <f>AW7+AX7+AY7+AZ7</f>
        <v>#DIV/0!</v>
      </c>
      <c r="AW7" s="563" t="e">
        <v>#DIV/0!</v>
      </c>
      <c r="AX7" s="563" t="e">
        <v>#DIV/0!</v>
      </c>
      <c r="AY7" s="571" t="e">
        <v>#DIV/0!</v>
      </c>
      <c r="AZ7" s="563" t="e">
        <v>#DIV/0!</v>
      </c>
      <c r="BF7" s="293">
        <f>BD7*BE7</f>
        <v>0</v>
      </c>
      <c r="BG7" s="578"/>
    </row>
    <row r="8" spans="2:59">
      <c r="B8" s="579" t="s">
        <v>113</v>
      </c>
      <c r="C8" s="570">
        <f>D8*P8</f>
        <v>0.86903233921183887</v>
      </c>
      <c r="D8" s="569">
        <f>((E8/O8)-1)*100</f>
        <v>18.03910868587284</v>
      </c>
      <c r="E8" s="571">
        <v>110.74947953286566</v>
      </c>
      <c r="F8" s="563">
        <f t="shared" ref="F8:F71" si="4">G8/G$112</f>
        <v>4.756279195525312E-2</v>
      </c>
      <c r="G8" s="571">
        <v>49085.624633480002</v>
      </c>
      <c r="H8" s="563">
        <f t="shared" ref="H8:H71" si="5">I8+J8+K8+L8+R8</f>
        <v>0.2007966988275578</v>
      </c>
      <c r="I8" s="563">
        <v>1.1987343601434398E-2</v>
      </c>
      <c r="J8" s="563">
        <v>1.0109704605711136E-2</v>
      </c>
      <c r="K8" s="563">
        <v>1.1704532752719056E-2</v>
      </c>
      <c r="L8" s="572">
        <v>1.1806802756076915E-2</v>
      </c>
      <c r="M8" s="570">
        <f t="shared" ref="M8:M71" si="6">N8*Z8</f>
        <v>-0.54375592525522021</v>
      </c>
      <c r="N8" s="569">
        <f t="shared" ref="N8:N71" si="7">((O8/Y8)-1)*100</f>
        <v>-10.912291479308644</v>
      </c>
      <c r="O8" s="571">
        <v>93.82439495336547</v>
      </c>
      <c r="P8" s="563">
        <f t="shared" ref="P8:P22" si="8">Q8/Q$112</f>
        <v>4.8174904555700886E-2</v>
      </c>
      <c r="Q8" s="571">
        <v>42271.751453600002</v>
      </c>
      <c r="R8" s="563">
        <f t="shared" ref="R8:R71" si="9">(S8+T8+U8+V8+AB8)</f>
        <v>0.15518831511161629</v>
      </c>
      <c r="S8" s="572">
        <v>1.2382042841634865E-2</v>
      </c>
      <c r="T8" s="563">
        <v>1.2472441893281849E-2</v>
      </c>
      <c r="U8" s="563">
        <v>1.1033483231949437E-2</v>
      </c>
      <c r="V8" s="563">
        <v>1.0117831497823379E-2</v>
      </c>
      <c r="W8" s="570">
        <f t="shared" ref="W8:W71" si="10">X8*AJ8</f>
        <v>0.46017993182533595</v>
      </c>
      <c r="X8" s="573">
        <f t="shared" ref="X8:X71" si="11">((Y8/AI8)-1)*100</f>
        <v>10.364854085911478</v>
      </c>
      <c r="Y8" s="574">
        <v>105.31687986067571</v>
      </c>
      <c r="Z8" s="563">
        <f t="shared" si="0"/>
        <v>4.9829673839473926E-2</v>
      </c>
      <c r="AA8" s="571">
        <v>48778.682110199996</v>
      </c>
      <c r="AB8" s="563">
        <f t="shared" ref="AB8:AB71" si="12">(AC8+AD8+AE8+AF8+AL8)</f>
        <v>0.10918251564692677</v>
      </c>
      <c r="AC8" s="563">
        <v>9.6118342867712349E-3</v>
      </c>
      <c r="AD8" s="563">
        <v>9.8322266589581705E-3</v>
      </c>
      <c r="AE8" s="571">
        <v>8.7882133443644948E-3</v>
      </c>
      <c r="AF8" s="563">
        <v>8.3852927723354516E-3</v>
      </c>
      <c r="AG8" s="575">
        <f>AH8*AT8</f>
        <v>0.56346012398947443</v>
      </c>
      <c r="AH8" s="573">
        <f>((AI8/AS8)-1)*100</f>
        <v>10.67444155278352</v>
      </c>
      <c r="AI8" s="576">
        <v>95.426103475562741</v>
      </c>
      <c r="AJ8" s="563">
        <f t="shared" si="1"/>
        <v>4.4398109998561357E-2</v>
      </c>
      <c r="AK8" s="571">
        <v>44594.760509599997</v>
      </c>
      <c r="AL8" s="563">
        <f t="shared" si="2"/>
        <v>7.2564948584497413E-2</v>
      </c>
      <c r="AM8" s="563">
        <v>9.3214558205672194E-3</v>
      </c>
      <c r="AN8" s="563">
        <v>9.6044944414710471E-3</v>
      </c>
      <c r="AO8" s="563">
        <v>9.1373826175860737E-3</v>
      </c>
      <c r="AP8" s="571">
        <v>9.0464793495038161E-3</v>
      </c>
      <c r="AQ8" s="563">
        <f t="shared" ref="AQ8:AQ71" si="13">AR8*BG8</f>
        <v>0.90270587691101978</v>
      </c>
      <c r="AR8" s="563">
        <v>17.197701786477658</v>
      </c>
      <c r="AS8" s="563">
        <v>86.222349204311598</v>
      </c>
      <c r="AT8" s="563">
        <f t="shared" si="3"/>
        <v>5.2785911206993656E-2</v>
      </c>
      <c r="AU8" s="577">
        <v>46672.727103340003</v>
      </c>
      <c r="AV8" s="563">
        <f t="shared" ref="AV8:AV32" si="14">AW8+AX8+AY8+AZ8</f>
        <v>3.5455136355369246E-2</v>
      </c>
      <c r="AW8" s="563">
        <v>9.1207808701699016E-3</v>
      </c>
      <c r="AX8" s="563">
        <v>8.7156866291355044E-3</v>
      </c>
      <c r="AY8" s="571">
        <v>8.8664808090520887E-3</v>
      </c>
      <c r="AZ8" s="563">
        <v>8.7521880470117514E-3</v>
      </c>
      <c r="BD8" s="580">
        <v>493.83903400000003</v>
      </c>
      <c r="BE8" s="563">
        <v>94.51</v>
      </c>
      <c r="BF8" s="362">
        <f>BD8*BE8</f>
        <v>46672.727103340003</v>
      </c>
      <c r="BG8" s="578">
        <f>+BF8/$BF$112</f>
        <v>5.2489913368587791E-2</v>
      </c>
    </row>
    <row r="9" spans="2:59">
      <c r="B9" s="563" t="s">
        <v>226</v>
      </c>
      <c r="C9" s="570"/>
      <c r="D9" s="569"/>
      <c r="E9" s="571" t="e">
        <v>#DIV/0!</v>
      </c>
      <c r="G9" s="571">
        <v>0</v>
      </c>
      <c r="H9" s="563" t="e">
        <f t="shared" si="5"/>
        <v>#DIV/0!</v>
      </c>
      <c r="I9" s="563" t="e">
        <v>#DIV/0!</v>
      </c>
      <c r="J9" s="563" t="e">
        <v>#DIV/0!</v>
      </c>
      <c r="K9" s="563" t="e">
        <v>#DIV/0!</v>
      </c>
      <c r="L9" s="572" t="e">
        <v>#DIV/0!</v>
      </c>
      <c r="O9" s="571">
        <v>0</v>
      </c>
      <c r="Q9" s="571">
        <v>0</v>
      </c>
      <c r="S9" s="572" t="e">
        <v>#VALUE!</v>
      </c>
      <c r="T9" s="563" t="e">
        <v>#VALUE!</v>
      </c>
      <c r="U9" s="563" t="e">
        <v>#VALUE!</v>
      </c>
      <c r="V9" s="563" t="e">
        <v>#VALUE!</v>
      </c>
      <c r="W9" s="570" t="s">
        <v>96</v>
      </c>
      <c r="X9" s="573" t="s">
        <v>96</v>
      </c>
      <c r="Y9" s="574" t="e">
        <v>#VALUE!</v>
      </c>
      <c r="Z9" s="563">
        <f t="shared" si="0"/>
        <v>0</v>
      </c>
      <c r="AA9" s="571">
        <v>0</v>
      </c>
      <c r="AB9" s="563" t="s">
        <v>96</v>
      </c>
      <c r="AC9" s="563" t="e">
        <v>#DIV/0!</v>
      </c>
      <c r="AD9" s="563" t="e">
        <v>#DIV/0!</v>
      </c>
      <c r="AE9" s="571" t="e">
        <v>#DIV/0!</v>
      </c>
      <c r="AF9" s="563" t="e">
        <v>#DIV/0!</v>
      </c>
      <c r="AG9" s="575"/>
      <c r="AH9" s="573"/>
      <c r="AI9" s="576" t="e">
        <v>#DIV/0!</v>
      </c>
      <c r="AJ9" s="563">
        <f t="shared" si="1"/>
        <v>0</v>
      </c>
      <c r="AK9" s="571">
        <v>0</v>
      </c>
      <c r="AL9" s="563" t="e">
        <f t="shared" si="2"/>
        <v>#DIV/0!</v>
      </c>
      <c r="AM9" s="563" t="e">
        <v>#DIV/0!</v>
      </c>
      <c r="AN9" s="563" t="e">
        <v>#DIV/0!</v>
      </c>
      <c r="AO9" s="563" t="e">
        <v>#DIV/0!</v>
      </c>
      <c r="AP9" s="571" t="e">
        <v>#DIV/0!</v>
      </c>
      <c r="AQ9" s="563" t="e">
        <f t="shared" si="13"/>
        <v>#DIV/0!</v>
      </c>
      <c r="AR9" s="563" t="e">
        <v>#DIV/0!</v>
      </c>
      <c r="AS9" s="563" t="e">
        <v>#DIV/0!</v>
      </c>
      <c r="AT9" s="563">
        <f t="shared" si="3"/>
        <v>0</v>
      </c>
      <c r="AU9" s="577">
        <v>0</v>
      </c>
      <c r="AV9" s="563" t="e">
        <f t="shared" si="14"/>
        <v>#DIV/0!</v>
      </c>
      <c r="AW9" s="563" t="e">
        <v>#DIV/0!</v>
      </c>
      <c r="AX9" s="563" t="e">
        <v>#DIV/0!</v>
      </c>
      <c r="AY9" s="571" t="e">
        <v>#DIV/0!</v>
      </c>
      <c r="AZ9" s="563" t="e">
        <v>#DIV/0!</v>
      </c>
      <c r="BD9" s="580"/>
      <c r="BF9" s="362">
        <f t="shared" ref="BF9:BF72" si="15">BD9*BE9</f>
        <v>0</v>
      </c>
      <c r="BG9" s="578"/>
    </row>
    <row r="10" spans="2:59">
      <c r="B10" s="563" t="s">
        <v>227</v>
      </c>
      <c r="C10" s="570"/>
      <c r="D10" s="569"/>
      <c r="E10" s="571" t="e">
        <v>#DIV/0!</v>
      </c>
      <c r="F10" s="563">
        <f t="shared" si="4"/>
        <v>0</v>
      </c>
      <c r="G10" s="571">
        <v>0</v>
      </c>
      <c r="H10" s="563" t="e">
        <f t="shared" si="5"/>
        <v>#DIV/0!</v>
      </c>
      <c r="I10" s="563" t="e">
        <v>#DIV/0!</v>
      </c>
      <c r="J10" s="563" t="e">
        <v>#DIV/0!</v>
      </c>
      <c r="K10" s="563" t="e">
        <v>#DIV/0!</v>
      </c>
      <c r="L10" s="572" t="e">
        <v>#DIV/0!</v>
      </c>
      <c r="M10" s="570" t="e">
        <f t="shared" si="6"/>
        <v>#DIV/0!</v>
      </c>
      <c r="N10" s="569" t="e">
        <f t="shared" si="7"/>
        <v>#DIV/0!</v>
      </c>
      <c r="O10" s="571" t="e">
        <v>#DIV/0!</v>
      </c>
      <c r="Q10" s="571">
        <v>0</v>
      </c>
      <c r="R10" s="563" t="e">
        <f t="shared" si="9"/>
        <v>#DIV/0!</v>
      </c>
      <c r="S10" s="572" t="e">
        <v>#DIV/0!</v>
      </c>
      <c r="T10" s="563" t="e">
        <v>#DIV/0!</v>
      </c>
      <c r="U10" s="563" t="e">
        <v>#DIV/0!</v>
      </c>
      <c r="V10" s="563" t="e">
        <v>#DIV/0!</v>
      </c>
      <c r="W10" s="570" t="e">
        <f t="shared" si="10"/>
        <v>#DIV/0!</v>
      </c>
      <c r="X10" s="573" t="e">
        <f t="shared" si="11"/>
        <v>#DIV/0!</v>
      </c>
      <c r="Y10" s="574" t="e">
        <v>#DIV/0!</v>
      </c>
      <c r="Z10" s="563">
        <f t="shared" si="0"/>
        <v>0</v>
      </c>
      <c r="AA10" s="571">
        <v>0</v>
      </c>
      <c r="AB10" s="563" t="e">
        <f t="shared" si="12"/>
        <v>#DIV/0!</v>
      </c>
      <c r="AC10" s="563" t="e">
        <v>#DIV/0!</v>
      </c>
      <c r="AD10" s="563" t="e">
        <v>#DIV/0!</v>
      </c>
      <c r="AE10" s="571" t="e">
        <v>#DIV/0!</v>
      </c>
      <c r="AF10" s="563" t="e">
        <v>#DIV/0!</v>
      </c>
      <c r="AG10" s="575" t="e">
        <f>AH10*AT10</f>
        <v>#DIV/0!</v>
      </c>
      <c r="AH10" s="573" t="e">
        <f>((AI10/AS10)-1)*100</f>
        <v>#DIV/0!</v>
      </c>
      <c r="AI10" s="576" t="e">
        <v>#DIV/0!</v>
      </c>
      <c r="AJ10" s="563">
        <f t="shared" si="1"/>
        <v>0</v>
      </c>
      <c r="AK10" s="571">
        <v>0</v>
      </c>
      <c r="AL10" s="563" t="e">
        <f t="shared" si="2"/>
        <v>#DIV/0!</v>
      </c>
      <c r="AM10" s="563" t="e">
        <v>#DIV/0!</v>
      </c>
      <c r="AN10" s="563" t="e">
        <v>#DIV/0!</v>
      </c>
      <c r="AO10" s="563" t="e">
        <v>#DIV/0!</v>
      </c>
      <c r="AP10" s="571" t="e">
        <v>#DIV/0!</v>
      </c>
      <c r="AQ10" s="563" t="e">
        <f t="shared" si="13"/>
        <v>#DIV/0!</v>
      </c>
      <c r="AR10" s="563" t="e">
        <v>#DIV/0!</v>
      </c>
      <c r="AS10" s="563" t="e">
        <v>#DIV/0!</v>
      </c>
      <c r="AT10" s="563">
        <f t="shared" si="3"/>
        <v>0</v>
      </c>
      <c r="AU10" s="577">
        <v>0</v>
      </c>
      <c r="AV10" s="563" t="e">
        <f t="shared" si="14"/>
        <v>#DIV/0!</v>
      </c>
      <c r="AW10" s="563" t="e">
        <v>#DIV/0!</v>
      </c>
      <c r="AX10" s="563" t="e">
        <v>#DIV/0!</v>
      </c>
      <c r="AY10" s="571" t="e">
        <v>#DIV/0!</v>
      </c>
      <c r="AZ10" s="563" t="e">
        <v>#DIV/0!</v>
      </c>
      <c r="BD10" s="580"/>
      <c r="BF10" s="362">
        <f t="shared" si="15"/>
        <v>0</v>
      </c>
      <c r="BG10" s="578"/>
    </row>
    <row r="11" spans="2:59">
      <c r="B11" s="579" t="s">
        <v>114</v>
      </c>
      <c r="C11" s="570">
        <f>D11*P11</f>
        <v>5.5882887835537368E-2</v>
      </c>
      <c r="D11" s="569">
        <f>((E11/O11)-1)*100</f>
        <v>13.502211956654087</v>
      </c>
      <c r="E11" s="571">
        <v>71.043507349770053</v>
      </c>
      <c r="F11" s="563">
        <f t="shared" si="4"/>
        <v>3.9976655023407351E-3</v>
      </c>
      <c r="G11" s="571">
        <v>4125.66</v>
      </c>
      <c r="H11" s="563">
        <f t="shared" si="5"/>
        <v>0.21400388499265288</v>
      </c>
      <c r="I11" s="563">
        <v>1.3336192753848645E-2</v>
      </c>
      <c r="J11" s="563">
        <v>1.2634515136072895E-2</v>
      </c>
      <c r="K11" s="563">
        <v>1.403273787237462E-2</v>
      </c>
      <c r="L11" s="572">
        <v>1.3811769873298314E-2</v>
      </c>
      <c r="M11" s="570">
        <f t="shared" si="6"/>
        <v>-9.2550233093131568E-2</v>
      </c>
      <c r="N11" s="569">
        <f t="shared" si="7"/>
        <v>-19.8533183112906</v>
      </c>
      <c r="O11" s="571">
        <v>62.592178711813304</v>
      </c>
      <c r="P11" s="563">
        <f t="shared" si="8"/>
        <v>4.1387950370603884E-3</v>
      </c>
      <c r="Q11" s="571">
        <v>3631.6442500000003</v>
      </c>
      <c r="R11" s="563">
        <f t="shared" si="9"/>
        <v>0.16018866935705839</v>
      </c>
      <c r="S11" s="572">
        <v>1.3286631577611752E-2</v>
      </c>
      <c r="T11" s="563">
        <v>1.399616857584993E-2</v>
      </c>
      <c r="U11" s="563">
        <v>1.16295666954463E-2</v>
      </c>
      <c r="V11" s="563">
        <v>1.0997217560888096E-2</v>
      </c>
      <c r="W11" s="570">
        <f t="shared" si="10"/>
        <v>1.3629644356896568E-2</v>
      </c>
      <c r="X11" s="573">
        <f t="shared" si="11"/>
        <v>3.0626604051728679</v>
      </c>
      <c r="Y11" s="574">
        <v>78.097030835190438</v>
      </c>
      <c r="Z11" s="563">
        <f t="shared" si="0"/>
        <v>4.6617009631331084E-3</v>
      </c>
      <c r="AA11" s="571">
        <v>4563.3778400000001</v>
      </c>
      <c r="AB11" s="563">
        <f t="shared" si="12"/>
        <v>0.11027908494726231</v>
      </c>
      <c r="AC11" s="563">
        <v>9.7784038341723247E-3</v>
      </c>
      <c r="AD11" s="563">
        <v>9.5835770986064904E-3</v>
      </c>
      <c r="AE11" s="571">
        <v>8.8474841803123806E-3</v>
      </c>
      <c r="AF11" s="563">
        <v>8.2951932461680332E-3</v>
      </c>
      <c r="AG11" s="575">
        <f>AH11*AT11</f>
        <v>0.10212723504562971</v>
      </c>
      <c r="AH11" s="573">
        <f>((AI11/AS11)-1)*100</f>
        <v>18.855449950289362</v>
      </c>
      <c r="AI11" s="576">
        <v>75.776261284315382</v>
      </c>
      <c r="AJ11" s="563">
        <f t="shared" si="1"/>
        <v>4.4502630242242809E-3</v>
      </c>
      <c r="AK11" s="571">
        <v>4469.9743699999999</v>
      </c>
      <c r="AL11" s="563">
        <f t="shared" si="2"/>
        <v>7.3774426588003081E-2</v>
      </c>
      <c r="AM11" s="563">
        <v>8.9776685705032222E-3</v>
      </c>
      <c r="AN11" s="563">
        <v>9.5003579673097124E-3</v>
      </c>
      <c r="AO11" s="563">
        <v>9.0073640913718184E-3</v>
      </c>
      <c r="AP11" s="571">
        <v>8.77928722531718E-3</v>
      </c>
      <c r="AQ11" s="563">
        <f t="shared" si="13"/>
        <v>3.2659551818339211E-2</v>
      </c>
      <c r="AR11" s="563">
        <v>6.063839726623943</v>
      </c>
      <c r="AS11" s="563">
        <v>63.75497405967365</v>
      </c>
      <c r="AT11" s="563">
        <f t="shared" si="3"/>
        <v>5.4163244746149603E-3</v>
      </c>
      <c r="AU11" s="577">
        <v>4789.0550400000002</v>
      </c>
      <c r="AV11" s="563">
        <f t="shared" si="14"/>
        <v>3.7509748733501151E-2</v>
      </c>
      <c r="AW11" s="563">
        <v>9.4524390556224823E-3</v>
      </c>
      <c r="AX11" s="563">
        <v>1.0180669332302919E-2</v>
      </c>
      <c r="AY11" s="571">
        <v>9.521181966690849E-3</v>
      </c>
      <c r="AZ11" s="563">
        <v>8.3554583788848988E-3</v>
      </c>
      <c r="BD11" s="580">
        <v>60.975999999999999</v>
      </c>
      <c r="BE11" s="563">
        <v>78.540000000000006</v>
      </c>
      <c r="BF11" s="362">
        <f t="shared" si="15"/>
        <v>4789.0550400000002</v>
      </c>
      <c r="BG11" s="578">
        <f>+BF11/$BF$112</f>
        <v>5.3859523487970705E-3</v>
      </c>
    </row>
    <row r="12" spans="2:59">
      <c r="B12" s="563" t="s">
        <v>69</v>
      </c>
      <c r="C12" s="570"/>
      <c r="D12" s="569"/>
      <c r="E12" s="571" t="e">
        <v>#DIV/0!</v>
      </c>
      <c r="F12" s="563">
        <f t="shared" si="4"/>
        <v>0</v>
      </c>
      <c r="G12" s="571">
        <v>0</v>
      </c>
      <c r="H12" s="563" t="e">
        <f t="shared" si="5"/>
        <v>#DIV/0!</v>
      </c>
      <c r="I12" s="563" t="e">
        <v>#DIV/0!</v>
      </c>
      <c r="J12" s="563" t="e">
        <v>#DIV/0!</v>
      </c>
      <c r="K12" s="563" t="e">
        <v>#DIV/0!</v>
      </c>
      <c r="L12" s="572" t="e">
        <v>#DIV/0!</v>
      </c>
      <c r="M12" s="570" t="e">
        <f t="shared" si="6"/>
        <v>#DIV/0!</v>
      </c>
      <c r="N12" s="569" t="e">
        <f t="shared" si="7"/>
        <v>#DIV/0!</v>
      </c>
      <c r="O12" s="571" t="e">
        <v>#DIV/0!</v>
      </c>
      <c r="P12" s="563">
        <f t="shared" si="8"/>
        <v>0</v>
      </c>
      <c r="Q12" s="571">
        <v>0</v>
      </c>
      <c r="R12" s="563" t="e">
        <f t="shared" si="9"/>
        <v>#DIV/0!</v>
      </c>
      <c r="S12" s="572" t="e">
        <v>#DIV/0!</v>
      </c>
      <c r="T12" s="563" t="e">
        <v>#DIV/0!</v>
      </c>
      <c r="U12" s="563" t="e">
        <v>#DIV/0!</v>
      </c>
      <c r="V12" s="563" t="e">
        <v>#DIV/0!</v>
      </c>
      <c r="W12" s="570" t="e">
        <f t="shared" si="10"/>
        <v>#DIV/0!</v>
      </c>
      <c r="X12" s="573" t="e">
        <f t="shared" si="11"/>
        <v>#DIV/0!</v>
      </c>
      <c r="Y12" s="574" t="e">
        <v>#DIV/0!</v>
      </c>
      <c r="Z12" s="563">
        <f t="shared" si="0"/>
        <v>0</v>
      </c>
      <c r="AA12" s="571">
        <v>0</v>
      </c>
      <c r="AB12" s="563" t="e">
        <f t="shared" si="12"/>
        <v>#DIV/0!</v>
      </c>
      <c r="AC12" s="563" t="e">
        <v>#DIV/0!</v>
      </c>
      <c r="AD12" s="563" t="e">
        <v>#DIV/0!</v>
      </c>
      <c r="AE12" s="571" t="e">
        <v>#DIV/0!</v>
      </c>
      <c r="AF12" s="563" t="e">
        <v>#DIV/0!</v>
      </c>
      <c r="AG12" s="575" t="e">
        <f>AH12*AT12</f>
        <v>#DIV/0!</v>
      </c>
      <c r="AH12" s="573" t="e">
        <f>((AI12/AS12)-1)*100</f>
        <v>#DIV/0!</v>
      </c>
      <c r="AI12" s="576" t="e">
        <v>#DIV/0!</v>
      </c>
      <c r="AJ12" s="563">
        <f t="shared" si="1"/>
        <v>0</v>
      </c>
      <c r="AK12" s="571">
        <v>0</v>
      </c>
      <c r="AL12" s="563" t="e">
        <f t="shared" si="2"/>
        <v>#DIV/0!</v>
      </c>
      <c r="AM12" s="563" t="e">
        <v>#DIV/0!</v>
      </c>
      <c r="AN12" s="563" t="e">
        <v>#DIV/0!</v>
      </c>
      <c r="AO12" s="563" t="e">
        <v>#DIV/0!</v>
      </c>
      <c r="AP12" s="571" t="e">
        <v>#DIV/0!</v>
      </c>
      <c r="AQ12" s="563" t="e">
        <f t="shared" si="13"/>
        <v>#DIV/0!</v>
      </c>
      <c r="AR12" s="563" t="e">
        <v>#DIV/0!</v>
      </c>
      <c r="AS12" s="563" t="e">
        <v>#DIV/0!</v>
      </c>
      <c r="AT12" s="563">
        <f t="shared" si="3"/>
        <v>0</v>
      </c>
      <c r="AU12" s="577">
        <v>0</v>
      </c>
      <c r="AV12" s="563" t="e">
        <f t="shared" si="14"/>
        <v>#DIV/0!</v>
      </c>
      <c r="AW12" s="563" t="e">
        <v>#DIV/0!</v>
      </c>
      <c r="AX12" s="563" t="e">
        <v>#DIV/0!</v>
      </c>
      <c r="AY12" s="571" t="e">
        <v>#DIV/0!</v>
      </c>
      <c r="AZ12" s="563" t="e">
        <v>#DIV/0!</v>
      </c>
      <c r="BD12" s="580"/>
      <c r="BF12" s="362">
        <f t="shared" si="15"/>
        <v>0</v>
      </c>
      <c r="BG12" s="578"/>
    </row>
    <row r="13" spans="2:59">
      <c r="B13" s="563" t="s">
        <v>115</v>
      </c>
      <c r="C13" s="570"/>
      <c r="D13" s="569"/>
      <c r="E13" s="571" t="e">
        <v>#DIV/0!</v>
      </c>
      <c r="F13" s="563">
        <f t="shared" si="4"/>
        <v>0</v>
      </c>
      <c r="G13" s="571">
        <v>0</v>
      </c>
      <c r="H13" s="563" t="e">
        <f t="shared" si="5"/>
        <v>#DIV/0!</v>
      </c>
      <c r="I13" s="563" t="e">
        <v>#DIV/0!</v>
      </c>
      <c r="J13" s="563" t="e">
        <v>#DIV/0!</v>
      </c>
      <c r="K13" s="563" t="e">
        <v>#DIV/0!</v>
      </c>
      <c r="L13" s="572" t="e">
        <v>#DIV/0!</v>
      </c>
      <c r="M13" s="570" t="e">
        <f t="shared" si="6"/>
        <v>#DIV/0!</v>
      </c>
      <c r="N13" s="569" t="e">
        <f t="shared" si="7"/>
        <v>#DIV/0!</v>
      </c>
      <c r="O13" s="571" t="e">
        <v>#DIV/0!</v>
      </c>
      <c r="P13" s="563">
        <f t="shared" si="8"/>
        <v>0</v>
      </c>
      <c r="Q13" s="571">
        <v>0</v>
      </c>
      <c r="R13" s="563" t="e">
        <f t="shared" si="9"/>
        <v>#DIV/0!</v>
      </c>
      <c r="S13" s="572" t="e">
        <v>#DIV/0!</v>
      </c>
      <c r="T13" s="563" t="e">
        <v>#DIV/0!</v>
      </c>
      <c r="U13" s="563" t="e">
        <v>#DIV/0!</v>
      </c>
      <c r="V13" s="563" t="e">
        <v>#DIV/0!</v>
      </c>
      <c r="W13" s="570" t="e">
        <f t="shared" si="10"/>
        <v>#DIV/0!</v>
      </c>
      <c r="X13" s="573" t="e">
        <f t="shared" si="11"/>
        <v>#DIV/0!</v>
      </c>
      <c r="Y13" s="574" t="e">
        <v>#DIV/0!</v>
      </c>
      <c r="Z13" s="563">
        <f t="shared" si="0"/>
        <v>0</v>
      </c>
      <c r="AA13" s="571">
        <v>0</v>
      </c>
      <c r="AB13" s="563" t="e">
        <f t="shared" si="12"/>
        <v>#DIV/0!</v>
      </c>
      <c r="AC13" s="563" t="e">
        <v>#DIV/0!</v>
      </c>
      <c r="AD13" s="563" t="e">
        <v>#DIV/0!</v>
      </c>
      <c r="AE13" s="571" t="e">
        <v>#DIV/0!</v>
      </c>
      <c r="AF13" s="563" t="e">
        <v>#DIV/0!</v>
      </c>
      <c r="AG13" s="575" t="e">
        <f>AH13*AT13</f>
        <v>#DIV/0!</v>
      </c>
      <c r="AH13" s="573" t="e">
        <f>((AI13/AS13)-1)*100</f>
        <v>#DIV/0!</v>
      </c>
      <c r="AI13" s="576" t="e">
        <v>#DIV/0!</v>
      </c>
      <c r="AJ13" s="563">
        <f t="shared" si="1"/>
        <v>0</v>
      </c>
      <c r="AK13" s="571">
        <v>0</v>
      </c>
      <c r="AL13" s="563" t="e">
        <f t="shared" si="2"/>
        <v>#DIV/0!</v>
      </c>
      <c r="AM13" s="563" t="e">
        <v>#DIV/0!</v>
      </c>
      <c r="AN13" s="563" t="e">
        <v>#DIV/0!</v>
      </c>
      <c r="AO13" s="563" t="e">
        <v>#DIV/0!</v>
      </c>
      <c r="AP13" s="571" t="e">
        <v>#DIV/0!</v>
      </c>
      <c r="AQ13" s="563" t="e">
        <f t="shared" si="13"/>
        <v>#DIV/0!</v>
      </c>
      <c r="AR13" s="563" t="e">
        <v>#DIV/0!</v>
      </c>
      <c r="AS13" s="563" t="e">
        <v>#DIV/0!</v>
      </c>
      <c r="AT13" s="563">
        <f t="shared" si="3"/>
        <v>0</v>
      </c>
      <c r="AU13" s="577">
        <v>0</v>
      </c>
      <c r="AV13" s="563" t="e">
        <f t="shared" si="14"/>
        <v>#DIV/0!</v>
      </c>
      <c r="AW13" s="563" t="e">
        <v>#DIV/0!</v>
      </c>
      <c r="AX13" s="563" t="e">
        <v>#DIV/0!</v>
      </c>
      <c r="AY13" s="571" t="e">
        <v>#DIV/0!</v>
      </c>
      <c r="AZ13" s="563" t="e">
        <v>#DIV/0!</v>
      </c>
      <c r="BD13" s="580"/>
      <c r="BF13" s="362">
        <f t="shared" si="15"/>
        <v>0</v>
      </c>
      <c r="BG13" s="578"/>
    </row>
    <row r="14" spans="2:59">
      <c r="B14" s="563" t="s">
        <v>228</v>
      </c>
      <c r="C14" s="570"/>
      <c r="D14" s="569"/>
      <c r="E14" s="571" t="e">
        <v>#DIV/0!</v>
      </c>
      <c r="G14" s="571">
        <v>0</v>
      </c>
      <c r="H14" s="563" t="e">
        <f t="shared" si="5"/>
        <v>#DIV/0!</v>
      </c>
      <c r="I14" s="563" t="e">
        <v>#DIV/0!</v>
      </c>
      <c r="J14" s="563" t="e">
        <v>#DIV/0!</v>
      </c>
      <c r="K14" s="563" t="e">
        <v>#DIV/0!</v>
      </c>
      <c r="L14" s="572" t="e">
        <v>#DIV/0!</v>
      </c>
      <c r="N14" s="569"/>
      <c r="O14" s="571">
        <v>0</v>
      </c>
      <c r="Q14" s="571">
        <v>0</v>
      </c>
      <c r="S14" s="572" t="e">
        <v>#DIV/0!</v>
      </c>
      <c r="T14" s="563" t="e">
        <v>#DIV/0!</v>
      </c>
      <c r="U14" s="563" t="e">
        <v>#DIV/0!</v>
      </c>
      <c r="V14" s="563" t="e">
        <v>#DIV/0!</v>
      </c>
      <c r="W14" s="570"/>
      <c r="X14" s="573"/>
      <c r="Y14" s="574">
        <v>0</v>
      </c>
      <c r="AA14" s="571">
        <v>0</v>
      </c>
      <c r="AC14" s="563" t="e">
        <v>#VALUE!</v>
      </c>
      <c r="AD14" s="563" t="e">
        <v>#VALUE!</v>
      </c>
      <c r="AE14" s="571" t="e">
        <v>#VALUE!</v>
      </c>
      <c r="AF14" s="563" t="e">
        <v>#VALUE!</v>
      </c>
      <c r="AG14" s="575" t="s">
        <v>96</v>
      </c>
      <c r="AH14" s="573" t="s">
        <v>96</v>
      </c>
      <c r="AI14" s="576" t="e">
        <v>#VALUE!</v>
      </c>
      <c r="AJ14" s="563">
        <f t="shared" si="1"/>
        <v>0</v>
      </c>
      <c r="AK14" s="571">
        <v>0</v>
      </c>
      <c r="AL14" s="563" t="s">
        <v>96</v>
      </c>
      <c r="AM14" s="563" t="e">
        <v>#DIV/0!</v>
      </c>
      <c r="AN14" s="563" t="e">
        <v>#DIV/0!</v>
      </c>
      <c r="AO14" s="563" t="e">
        <v>#DIV/0!</v>
      </c>
      <c r="AP14" s="571" t="e">
        <v>#DIV/0!</v>
      </c>
      <c r="AQ14" s="563" t="e">
        <f t="shared" si="13"/>
        <v>#DIV/0!</v>
      </c>
      <c r="AR14" s="563" t="e">
        <v>#DIV/0!</v>
      </c>
      <c r="AS14" s="563" t="e">
        <v>#DIV/0!</v>
      </c>
      <c r="AT14" s="563">
        <f t="shared" si="3"/>
        <v>0</v>
      </c>
      <c r="AU14" s="577">
        <v>0</v>
      </c>
      <c r="AV14" s="563" t="e">
        <f t="shared" si="14"/>
        <v>#DIV/0!</v>
      </c>
      <c r="AW14" s="563" t="e">
        <v>#DIV/0!</v>
      </c>
      <c r="AX14" s="563" t="e">
        <v>#DIV/0!</v>
      </c>
      <c r="AY14" s="571" t="e">
        <v>#DIV/0!</v>
      </c>
      <c r="AZ14" s="563" t="e">
        <v>#DIV/0!</v>
      </c>
      <c r="BD14" s="580"/>
      <c r="BF14" s="362">
        <f t="shared" si="15"/>
        <v>0</v>
      </c>
      <c r="BG14" s="578"/>
    </row>
    <row r="15" spans="2:59">
      <c r="B15" s="563" t="s">
        <v>229</v>
      </c>
      <c r="C15" s="570"/>
      <c r="D15" s="569"/>
      <c r="E15" s="571" t="e">
        <v>#DIV/0!</v>
      </c>
      <c r="G15" s="571">
        <v>0</v>
      </c>
      <c r="H15" s="563" t="e">
        <f t="shared" si="5"/>
        <v>#DIV/0!</v>
      </c>
      <c r="I15" s="563" t="e">
        <v>#DIV/0!</v>
      </c>
      <c r="J15" s="563" t="e">
        <v>#DIV/0!</v>
      </c>
      <c r="K15" s="563" t="e">
        <v>#DIV/0!</v>
      </c>
      <c r="L15" s="572" t="e">
        <v>#DIV/0!</v>
      </c>
      <c r="M15" s="570"/>
      <c r="N15" s="569"/>
      <c r="O15" s="571" t="e">
        <v>#DIV/0!</v>
      </c>
      <c r="Q15" s="571">
        <v>0</v>
      </c>
      <c r="R15" s="563" t="e">
        <f t="shared" si="9"/>
        <v>#DIV/0!</v>
      </c>
      <c r="S15" s="572" t="e">
        <v>#DIV/0!</v>
      </c>
      <c r="T15" s="563" t="e">
        <v>#DIV/0!</v>
      </c>
      <c r="U15" s="563" t="e">
        <v>#DIV/0!</v>
      </c>
      <c r="V15" s="563" t="e">
        <v>#DIV/0!</v>
      </c>
      <c r="W15" s="570" t="e">
        <f t="shared" si="10"/>
        <v>#DIV/0!</v>
      </c>
      <c r="X15" s="573" t="e">
        <f t="shared" si="11"/>
        <v>#DIV/0!</v>
      </c>
      <c r="Y15" s="574" t="e">
        <v>#DIV/0!</v>
      </c>
      <c r="Z15" s="563">
        <f t="shared" ref="Z15:Z32" si="16">AA15/$AA$112</f>
        <v>0</v>
      </c>
      <c r="AA15" s="571">
        <v>0</v>
      </c>
      <c r="AB15" s="563" t="e">
        <f t="shared" si="12"/>
        <v>#DIV/0!</v>
      </c>
      <c r="AC15" s="563" t="e">
        <v>#DIV/0!</v>
      </c>
      <c r="AD15" s="563" t="e">
        <v>#DIV/0!</v>
      </c>
      <c r="AE15" s="571" t="e">
        <v>#DIV/0!</v>
      </c>
      <c r="AF15" s="563" t="e">
        <v>#DIV/0!</v>
      </c>
      <c r="AG15" s="575" t="e">
        <f t="shared" ref="AG15:AG23" si="17">AH15*AT15</f>
        <v>#DIV/0!</v>
      </c>
      <c r="AH15" s="573" t="e">
        <f t="shared" ref="AH15:AH23" si="18">((AI15/AS15)-1)*100</f>
        <v>#DIV/0!</v>
      </c>
      <c r="AI15" s="576" t="e">
        <v>#DIV/0!</v>
      </c>
      <c r="AJ15" s="563">
        <f t="shared" si="1"/>
        <v>0</v>
      </c>
      <c r="AK15" s="571">
        <v>0</v>
      </c>
      <c r="AL15" s="563" t="e">
        <f t="shared" ref="AL15:AL32" si="19">AM15+AN15+AO15+AP15+AV15</f>
        <v>#DIV/0!</v>
      </c>
      <c r="AM15" s="563" t="e">
        <v>#DIV/0!</v>
      </c>
      <c r="AN15" s="563" t="e">
        <v>#DIV/0!</v>
      </c>
      <c r="AO15" s="563" t="e">
        <v>#DIV/0!</v>
      </c>
      <c r="AP15" s="571" t="e">
        <v>#DIV/0!</v>
      </c>
      <c r="AQ15" s="563" t="e">
        <f t="shared" si="13"/>
        <v>#DIV/0!</v>
      </c>
      <c r="AR15" s="563" t="e">
        <v>#DIV/0!</v>
      </c>
      <c r="AS15" s="563" t="e">
        <v>#DIV/0!</v>
      </c>
      <c r="AT15" s="563">
        <f t="shared" si="3"/>
        <v>0</v>
      </c>
      <c r="AU15" s="577">
        <v>0</v>
      </c>
      <c r="AV15" s="563" t="e">
        <f t="shared" si="14"/>
        <v>#DIV/0!</v>
      </c>
      <c r="AW15" s="563" t="e">
        <v>#DIV/0!</v>
      </c>
      <c r="AX15" s="563" t="e">
        <v>#DIV/0!</v>
      </c>
      <c r="AY15" s="571" t="e">
        <v>#DIV/0!</v>
      </c>
      <c r="AZ15" s="563" t="e">
        <v>#DIV/0!</v>
      </c>
      <c r="BD15" s="580"/>
      <c r="BF15" s="362">
        <f t="shared" si="15"/>
        <v>0</v>
      </c>
      <c r="BG15" s="578"/>
    </row>
    <row r="16" spans="2:59">
      <c r="B16" s="563" t="s">
        <v>116</v>
      </c>
      <c r="C16" s="570"/>
      <c r="D16" s="569"/>
      <c r="E16" s="571" t="e">
        <v>#DIV/0!</v>
      </c>
      <c r="F16" s="563">
        <f t="shared" si="4"/>
        <v>0</v>
      </c>
      <c r="G16" s="571">
        <v>0</v>
      </c>
      <c r="H16" s="563" t="e">
        <f t="shared" si="5"/>
        <v>#DIV/0!</v>
      </c>
      <c r="I16" s="563" t="e">
        <v>#DIV/0!</v>
      </c>
      <c r="J16" s="563" t="e">
        <v>#DIV/0!</v>
      </c>
      <c r="K16" s="563" t="e">
        <v>#DIV/0!</v>
      </c>
      <c r="L16" s="572" t="e">
        <v>#DIV/0!</v>
      </c>
      <c r="M16" s="570" t="e">
        <f t="shared" si="6"/>
        <v>#DIV/0!</v>
      </c>
      <c r="N16" s="569" t="e">
        <f t="shared" si="7"/>
        <v>#DIV/0!</v>
      </c>
      <c r="O16" s="571" t="e">
        <v>#DIV/0!</v>
      </c>
      <c r="P16" s="563">
        <f t="shared" si="8"/>
        <v>0</v>
      </c>
      <c r="Q16" s="571">
        <v>0</v>
      </c>
      <c r="R16" s="563" t="e">
        <f t="shared" si="9"/>
        <v>#DIV/0!</v>
      </c>
      <c r="S16" s="572" t="e">
        <v>#DIV/0!</v>
      </c>
      <c r="T16" s="563" t="e">
        <v>#DIV/0!</v>
      </c>
      <c r="U16" s="563" t="e">
        <v>#DIV/0!</v>
      </c>
      <c r="V16" s="563" t="e">
        <v>#DIV/0!</v>
      </c>
      <c r="W16" s="570" t="e">
        <f t="shared" si="10"/>
        <v>#DIV/0!</v>
      </c>
      <c r="X16" s="573" t="e">
        <f t="shared" si="11"/>
        <v>#DIV/0!</v>
      </c>
      <c r="Y16" s="574" t="e">
        <v>#DIV/0!</v>
      </c>
      <c r="Z16" s="563">
        <f t="shared" si="16"/>
        <v>0</v>
      </c>
      <c r="AA16" s="571">
        <v>0</v>
      </c>
      <c r="AB16" s="563" t="e">
        <f t="shared" si="12"/>
        <v>#DIV/0!</v>
      </c>
      <c r="AC16" s="563" t="e">
        <v>#DIV/0!</v>
      </c>
      <c r="AD16" s="563" t="e">
        <v>#DIV/0!</v>
      </c>
      <c r="AE16" s="571" t="e">
        <v>#DIV/0!</v>
      </c>
      <c r="AF16" s="563" t="e">
        <v>#DIV/0!</v>
      </c>
      <c r="AG16" s="575" t="e">
        <f t="shared" si="17"/>
        <v>#DIV/0!</v>
      </c>
      <c r="AH16" s="573" t="e">
        <f t="shared" si="18"/>
        <v>#DIV/0!</v>
      </c>
      <c r="AI16" s="576" t="e">
        <v>#DIV/0!</v>
      </c>
      <c r="AJ16" s="563">
        <f t="shared" si="1"/>
        <v>0</v>
      </c>
      <c r="AK16" s="571">
        <v>0</v>
      </c>
      <c r="AL16" s="563" t="e">
        <f t="shared" si="19"/>
        <v>#DIV/0!</v>
      </c>
      <c r="AM16" s="563" t="e">
        <v>#DIV/0!</v>
      </c>
      <c r="AN16" s="563" t="e">
        <v>#DIV/0!</v>
      </c>
      <c r="AO16" s="563" t="e">
        <v>#DIV/0!</v>
      </c>
      <c r="AP16" s="571" t="e">
        <v>#DIV/0!</v>
      </c>
      <c r="AQ16" s="563" t="e">
        <f t="shared" si="13"/>
        <v>#DIV/0!</v>
      </c>
      <c r="AR16" s="563" t="e">
        <v>#DIV/0!</v>
      </c>
      <c r="AS16" s="563" t="e">
        <v>#DIV/0!</v>
      </c>
      <c r="AT16" s="563">
        <f t="shared" si="3"/>
        <v>0</v>
      </c>
      <c r="AU16" s="577">
        <v>0</v>
      </c>
      <c r="AV16" s="563" t="e">
        <f t="shared" si="14"/>
        <v>#DIV/0!</v>
      </c>
      <c r="AW16" s="563" t="e">
        <v>#DIV/0!</v>
      </c>
      <c r="AX16" s="563" t="e">
        <v>#DIV/0!</v>
      </c>
      <c r="AY16" s="571" t="e">
        <v>#DIV/0!</v>
      </c>
      <c r="AZ16" s="563" t="e">
        <v>#DIV/0!</v>
      </c>
      <c r="BD16" s="580"/>
      <c r="BF16" s="362">
        <f t="shared" si="15"/>
        <v>0</v>
      </c>
      <c r="BG16" s="578">
        <f>+BF16/$BF$112</f>
        <v>0</v>
      </c>
    </row>
    <row r="17" spans="2:59">
      <c r="B17" s="563" t="s">
        <v>230</v>
      </c>
      <c r="C17" s="570"/>
      <c r="D17" s="569"/>
      <c r="E17" s="571" t="e">
        <v>#DIV/0!</v>
      </c>
      <c r="G17" s="571">
        <v>0</v>
      </c>
      <c r="H17" s="563" t="e">
        <f t="shared" si="5"/>
        <v>#DIV/0!</v>
      </c>
      <c r="I17" s="563" t="e">
        <v>#DIV/0!</v>
      </c>
      <c r="J17" s="563" t="e">
        <v>#DIV/0!</v>
      </c>
      <c r="K17" s="563" t="e">
        <v>#DIV/0!</v>
      </c>
      <c r="L17" s="572" t="e">
        <v>#DIV/0!</v>
      </c>
      <c r="M17" s="570"/>
      <c r="N17" s="569"/>
      <c r="O17" s="571" t="e">
        <v>#DIV/0!</v>
      </c>
      <c r="Q17" s="571">
        <v>0</v>
      </c>
      <c r="R17" s="563" t="e">
        <f t="shared" si="9"/>
        <v>#DIV/0!</v>
      </c>
      <c r="S17" s="572" t="e">
        <v>#DIV/0!</v>
      </c>
      <c r="T17" s="563" t="e">
        <v>#DIV/0!</v>
      </c>
      <c r="U17" s="563" t="e">
        <v>#DIV/0!</v>
      </c>
      <c r="V17" s="563" t="e">
        <v>#DIV/0!</v>
      </c>
      <c r="W17" s="570" t="e">
        <f t="shared" si="10"/>
        <v>#DIV/0!</v>
      </c>
      <c r="X17" s="573" t="e">
        <f t="shared" si="11"/>
        <v>#DIV/0!</v>
      </c>
      <c r="Y17" s="574" t="e">
        <v>#DIV/0!</v>
      </c>
      <c r="Z17" s="563">
        <f t="shared" si="16"/>
        <v>0</v>
      </c>
      <c r="AA17" s="571">
        <v>0</v>
      </c>
      <c r="AB17" s="563" t="e">
        <f t="shared" si="12"/>
        <v>#DIV/0!</v>
      </c>
      <c r="AC17" s="563" t="e">
        <v>#DIV/0!</v>
      </c>
      <c r="AD17" s="563" t="e">
        <v>#DIV/0!</v>
      </c>
      <c r="AE17" s="571" t="e">
        <v>#DIV/0!</v>
      </c>
      <c r="AF17" s="563" t="e">
        <v>#DIV/0!</v>
      </c>
      <c r="AG17" s="575" t="e">
        <f t="shared" si="17"/>
        <v>#DIV/0!</v>
      </c>
      <c r="AH17" s="573" t="e">
        <f t="shared" si="18"/>
        <v>#DIV/0!</v>
      </c>
      <c r="AI17" s="576" t="e">
        <v>#DIV/0!</v>
      </c>
      <c r="AJ17" s="563">
        <f t="shared" si="1"/>
        <v>0</v>
      </c>
      <c r="AK17" s="571">
        <v>0</v>
      </c>
      <c r="AL17" s="563" t="e">
        <f t="shared" si="19"/>
        <v>#DIV/0!</v>
      </c>
      <c r="AM17" s="563" t="e">
        <v>#DIV/0!</v>
      </c>
      <c r="AN17" s="563" t="e">
        <v>#DIV/0!</v>
      </c>
      <c r="AO17" s="563" t="e">
        <v>#DIV/0!</v>
      </c>
      <c r="AP17" s="571" t="e">
        <v>#DIV/0!</v>
      </c>
      <c r="AQ17" s="563" t="e">
        <f t="shared" si="13"/>
        <v>#DIV/0!</v>
      </c>
      <c r="AR17" s="563" t="e">
        <v>#DIV/0!</v>
      </c>
      <c r="AS17" s="563" t="e">
        <v>#DIV/0!</v>
      </c>
      <c r="AT17" s="563">
        <f t="shared" si="3"/>
        <v>0</v>
      </c>
      <c r="AU17" s="577">
        <v>0</v>
      </c>
      <c r="AV17" s="563" t="e">
        <f t="shared" si="14"/>
        <v>#DIV/0!</v>
      </c>
      <c r="AW17" s="563" t="e">
        <v>#DIV/0!</v>
      </c>
      <c r="AX17" s="563" t="e">
        <v>#DIV/0!</v>
      </c>
      <c r="AY17" s="571" t="e">
        <v>#DIV/0!</v>
      </c>
      <c r="AZ17" s="563" t="e">
        <v>#DIV/0!</v>
      </c>
      <c r="BD17" s="580"/>
      <c r="BF17" s="362">
        <f t="shared" si="15"/>
        <v>0</v>
      </c>
      <c r="BG17" s="578"/>
    </row>
    <row r="18" spans="2:59">
      <c r="B18" s="563" t="s">
        <v>117</v>
      </c>
      <c r="C18" s="570"/>
      <c r="D18" s="569"/>
      <c r="E18" s="571" t="e">
        <v>#DIV/0!</v>
      </c>
      <c r="F18" s="563">
        <f t="shared" si="4"/>
        <v>0</v>
      </c>
      <c r="G18" s="571">
        <v>0</v>
      </c>
      <c r="H18" s="563" t="e">
        <f t="shared" si="5"/>
        <v>#DIV/0!</v>
      </c>
      <c r="I18" s="563" t="e">
        <v>#DIV/0!</v>
      </c>
      <c r="J18" s="563" t="e">
        <v>#DIV/0!</v>
      </c>
      <c r="K18" s="563" t="e">
        <v>#DIV/0!</v>
      </c>
      <c r="L18" s="572" t="e">
        <v>#DIV/0!</v>
      </c>
      <c r="M18" s="570" t="e">
        <f t="shared" si="6"/>
        <v>#DIV/0!</v>
      </c>
      <c r="N18" s="569" t="e">
        <f t="shared" si="7"/>
        <v>#DIV/0!</v>
      </c>
      <c r="O18" s="571" t="e">
        <v>#DIV/0!</v>
      </c>
      <c r="P18" s="563">
        <f t="shared" si="8"/>
        <v>0</v>
      </c>
      <c r="Q18" s="571">
        <v>0</v>
      </c>
      <c r="R18" s="563" t="e">
        <f t="shared" si="9"/>
        <v>#DIV/0!</v>
      </c>
      <c r="S18" s="572" t="e">
        <v>#DIV/0!</v>
      </c>
      <c r="T18" s="563" t="e">
        <v>#DIV/0!</v>
      </c>
      <c r="U18" s="563" t="e">
        <v>#DIV/0!</v>
      </c>
      <c r="V18" s="563" t="e">
        <v>#DIV/0!</v>
      </c>
      <c r="W18" s="570" t="e">
        <f t="shared" si="10"/>
        <v>#DIV/0!</v>
      </c>
      <c r="X18" s="573" t="e">
        <f t="shared" si="11"/>
        <v>#DIV/0!</v>
      </c>
      <c r="Y18" s="574" t="e">
        <v>#DIV/0!</v>
      </c>
      <c r="Z18" s="563">
        <f t="shared" si="16"/>
        <v>0</v>
      </c>
      <c r="AA18" s="571">
        <v>0</v>
      </c>
      <c r="AB18" s="563" t="e">
        <f t="shared" si="12"/>
        <v>#DIV/0!</v>
      </c>
      <c r="AC18" s="563" t="e">
        <v>#DIV/0!</v>
      </c>
      <c r="AD18" s="563" t="e">
        <v>#DIV/0!</v>
      </c>
      <c r="AE18" s="571" t="e">
        <v>#DIV/0!</v>
      </c>
      <c r="AF18" s="563" t="e">
        <v>#DIV/0!</v>
      </c>
      <c r="AG18" s="575" t="e">
        <f t="shared" si="17"/>
        <v>#DIV/0!</v>
      </c>
      <c r="AH18" s="573" t="e">
        <f t="shared" si="18"/>
        <v>#DIV/0!</v>
      </c>
      <c r="AI18" s="576" t="e">
        <v>#DIV/0!</v>
      </c>
      <c r="AJ18" s="563">
        <f t="shared" si="1"/>
        <v>0</v>
      </c>
      <c r="AK18" s="571">
        <v>0</v>
      </c>
      <c r="AL18" s="563" t="e">
        <f t="shared" si="19"/>
        <v>#DIV/0!</v>
      </c>
      <c r="AM18" s="563" t="e">
        <v>#DIV/0!</v>
      </c>
      <c r="AN18" s="563" t="e">
        <v>#DIV/0!</v>
      </c>
      <c r="AO18" s="563" t="e">
        <v>#DIV/0!</v>
      </c>
      <c r="AP18" s="571" t="e">
        <v>#DIV/0!</v>
      </c>
      <c r="AQ18" s="563" t="e">
        <f t="shared" si="13"/>
        <v>#DIV/0!</v>
      </c>
      <c r="AR18" s="563" t="e">
        <v>#DIV/0!</v>
      </c>
      <c r="AS18" s="563" t="e">
        <v>#DIV/0!</v>
      </c>
      <c r="AT18" s="563">
        <f t="shared" si="3"/>
        <v>0</v>
      </c>
      <c r="AU18" s="577">
        <v>0</v>
      </c>
      <c r="AV18" s="563" t="e">
        <f t="shared" si="14"/>
        <v>#DIV/0!</v>
      </c>
      <c r="AW18" s="563" t="e">
        <v>#DIV/0!</v>
      </c>
      <c r="AX18" s="563" t="e">
        <v>#DIV/0!</v>
      </c>
      <c r="AY18" s="571" t="e">
        <v>#DIV/0!</v>
      </c>
      <c r="AZ18" s="563" t="e">
        <v>#DIV/0!</v>
      </c>
      <c r="BD18" s="580"/>
      <c r="BF18" s="362">
        <f t="shared" si="15"/>
        <v>0</v>
      </c>
      <c r="BG18" s="578"/>
    </row>
    <row r="19" spans="2:59">
      <c r="B19" s="563" t="s">
        <v>231</v>
      </c>
      <c r="C19" s="570"/>
      <c r="D19" s="569"/>
      <c r="E19" s="571" t="e">
        <v>#DIV/0!</v>
      </c>
      <c r="G19" s="571">
        <v>0</v>
      </c>
      <c r="H19" s="563" t="e">
        <f t="shared" si="5"/>
        <v>#DIV/0!</v>
      </c>
      <c r="I19" s="563" t="e">
        <v>#DIV/0!</v>
      </c>
      <c r="J19" s="563" t="e">
        <v>#DIV/0!</v>
      </c>
      <c r="K19" s="563" t="e">
        <v>#DIV/0!</v>
      </c>
      <c r="L19" s="572" t="e">
        <v>#DIV/0!</v>
      </c>
      <c r="M19" s="570"/>
      <c r="N19" s="569"/>
      <c r="O19" s="571" t="e">
        <v>#DIV/0!</v>
      </c>
      <c r="Q19" s="571">
        <v>0</v>
      </c>
      <c r="R19" s="563" t="e">
        <f t="shared" si="9"/>
        <v>#DIV/0!</v>
      </c>
      <c r="S19" s="572" t="e">
        <v>#DIV/0!</v>
      </c>
      <c r="T19" s="563" t="e">
        <v>#DIV/0!</v>
      </c>
      <c r="U19" s="563" t="e">
        <v>#DIV/0!</v>
      </c>
      <c r="V19" s="563" t="e">
        <v>#DIV/0!</v>
      </c>
      <c r="W19" s="570" t="e">
        <f t="shared" si="10"/>
        <v>#DIV/0!</v>
      </c>
      <c r="X19" s="573" t="e">
        <f t="shared" si="11"/>
        <v>#DIV/0!</v>
      </c>
      <c r="Y19" s="574" t="e">
        <v>#DIV/0!</v>
      </c>
      <c r="Z19" s="563">
        <f t="shared" si="16"/>
        <v>0</v>
      </c>
      <c r="AA19" s="571">
        <v>0</v>
      </c>
      <c r="AB19" s="563" t="e">
        <f t="shared" si="12"/>
        <v>#DIV/0!</v>
      </c>
      <c r="AC19" s="563" t="e">
        <v>#DIV/0!</v>
      </c>
      <c r="AD19" s="563" t="e">
        <v>#DIV/0!</v>
      </c>
      <c r="AE19" s="571" t="e">
        <v>#DIV/0!</v>
      </c>
      <c r="AF19" s="563" t="e">
        <v>#DIV/0!</v>
      </c>
      <c r="AG19" s="575" t="e">
        <f t="shared" si="17"/>
        <v>#DIV/0!</v>
      </c>
      <c r="AH19" s="573" t="e">
        <f t="shared" si="18"/>
        <v>#DIV/0!</v>
      </c>
      <c r="AI19" s="576" t="e">
        <v>#DIV/0!</v>
      </c>
      <c r="AJ19" s="563">
        <f t="shared" si="1"/>
        <v>0</v>
      </c>
      <c r="AK19" s="571">
        <v>0</v>
      </c>
      <c r="AL19" s="563" t="e">
        <f t="shared" si="19"/>
        <v>#DIV/0!</v>
      </c>
      <c r="AM19" s="563" t="e">
        <v>#DIV/0!</v>
      </c>
      <c r="AN19" s="563" t="e">
        <v>#DIV/0!</v>
      </c>
      <c r="AO19" s="563" t="e">
        <v>#DIV/0!</v>
      </c>
      <c r="AP19" s="571" t="e">
        <v>#DIV/0!</v>
      </c>
      <c r="AQ19" s="563" t="e">
        <f t="shared" si="13"/>
        <v>#DIV/0!</v>
      </c>
      <c r="AR19" s="563" t="e">
        <v>#DIV/0!</v>
      </c>
      <c r="AS19" s="563" t="e">
        <v>#DIV/0!</v>
      </c>
      <c r="AT19" s="563">
        <f t="shared" si="3"/>
        <v>0</v>
      </c>
      <c r="AU19" s="577">
        <v>0</v>
      </c>
      <c r="AV19" s="563" t="e">
        <f t="shared" si="14"/>
        <v>#DIV/0!</v>
      </c>
      <c r="AW19" s="563" t="e">
        <v>#DIV/0!</v>
      </c>
      <c r="AX19" s="563" t="e">
        <v>#DIV/0!</v>
      </c>
      <c r="AY19" s="571" t="e">
        <v>#DIV/0!</v>
      </c>
      <c r="AZ19" s="563" t="e">
        <v>#DIV/0!</v>
      </c>
      <c r="BD19" s="580"/>
      <c r="BF19" s="362">
        <f t="shared" si="15"/>
        <v>0</v>
      </c>
      <c r="BG19" s="578"/>
    </row>
    <row r="20" spans="2:59">
      <c r="B20" s="563" t="s">
        <v>232</v>
      </c>
      <c r="C20" s="570"/>
      <c r="D20" s="569"/>
      <c r="E20" s="571" t="e">
        <v>#DIV/0!</v>
      </c>
      <c r="F20" s="563">
        <f t="shared" si="4"/>
        <v>0</v>
      </c>
      <c r="G20" s="571">
        <v>0</v>
      </c>
      <c r="H20" s="563" t="e">
        <f t="shared" si="5"/>
        <v>#DIV/0!</v>
      </c>
      <c r="I20" s="563" t="e">
        <v>#DIV/0!</v>
      </c>
      <c r="J20" s="563" t="e">
        <v>#DIV/0!</v>
      </c>
      <c r="K20" s="563" t="e">
        <v>#DIV/0!</v>
      </c>
      <c r="L20" s="572" t="e">
        <v>#DIV/0!</v>
      </c>
      <c r="M20" s="570" t="e">
        <f t="shared" si="6"/>
        <v>#DIV/0!</v>
      </c>
      <c r="N20" s="569" t="e">
        <f t="shared" si="7"/>
        <v>#DIV/0!</v>
      </c>
      <c r="O20" s="571" t="e">
        <v>#DIV/0!</v>
      </c>
      <c r="Q20" s="571">
        <v>0</v>
      </c>
      <c r="R20" s="563" t="e">
        <f t="shared" si="9"/>
        <v>#DIV/0!</v>
      </c>
      <c r="S20" s="572" t="e">
        <v>#DIV/0!</v>
      </c>
      <c r="T20" s="563" t="e">
        <v>#DIV/0!</v>
      </c>
      <c r="U20" s="563" t="e">
        <v>#DIV/0!</v>
      </c>
      <c r="V20" s="563" t="e">
        <v>#DIV/0!</v>
      </c>
      <c r="W20" s="570" t="e">
        <f t="shared" si="10"/>
        <v>#DIV/0!</v>
      </c>
      <c r="X20" s="573" t="e">
        <f t="shared" si="11"/>
        <v>#DIV/0!</v>
      </c>
      <c r="Y20" s="574" t="e">
        <v>#DIV/0!</v>
      </c>
      <c r="Z20" s="563">
        <f t="shared" si="16"/>
        <v>0</v>
      </c>
      <c r="AA20" s="571">
        <v>0</v>
      </c>
      <c r="AB20" s="563" t="e">
        <f t="shared" si="12"/>
        <v>#DIV/0!</v>
      </c>
      <c r="AC20" s="563" t="e">
        <v>#DIV/0!</v>
      </c>
      <c r="AD20" s="563" t="e">
        <v>#DIV/0!</v>
      </c>
      <c r="AE20" s="571" t="e">
        <v>#DIV/0!</v>
      </c>
      <c r="AF20" s="563" t="e">
        <v>#DIV/0!</v>
      </c>
      <c r="AG20" s="575" t="e">
        <f t="shared" si="17"/>
        <v>#DIV/0!</v>
      </c>
      <c r="AH20" s="573" t="e">
        <f t="shared" si="18"/>
        <v>#DIV/0!</v>
      </c>
      <c r="AI20" s="576" t="e">
        <v>#DIV/0!</v>
      </c>
      <c r="AJ20" s="563">
        <f t="shared" si="1"/>
        <v>0</v>
      </c>
      <c r="AK20" s="571">
        <v>0</v>
      </c>
      <c r="AL20" s="563" t="e">
        <f t="shared" si="19"/>
        <v>#DIV/0!</v>
      </c>
      <c r="AM20" s="563" t="e">
        <v>#DIV/0!</v>
      </c>
      <c r="AN20" s="563" t="e">
        <v>#DIV/0!</v>
      </c>
      <c r="AO20" s="563" t="e">
        <v>#DIV/0!</v>
      </c>
      <c r="AP20" s="571" t="e">
        <v>#DIV/0!</v>
      </c>
      <c r="AQ20" s="563" t="e">
        <f t="shared" si="13"/>
        <v>#DIV/0!</v>
      </c>
      <c r="AR20" s="563" t="e">
        <v>#DIV/0!</v>
      </c>
      <c r="AS20" s="563" t="e">
        <v>#DIV/0!</v>
      </c>
      <c r="AT20" s="563">
        <f t="shared" si="3"/>
        <v>0</v>
      </c>
      <c r="AU20" s="577">
        <v>0</v>
      </c>
      <c r="AV20" s="563" t="e">
        <f t="shared" si="14"/>
        <v>#DIV/0!</v>
      </c>
      <c r="AW20" s="563" t="e">
        <v>#DIV/0!</v>
      </c>
      <c r="AX20" s="563" t="e">
        <v>#DIV/0!</v>
      </c>
      <c r="AY20" s="571" t="e">
        <v>#DIV/0!</v>
      </c>
      <c r="AZ20" s="563" t="e">
        <v>#DIV/0!</v>
      </c>
      <c r="BD20" s="580"/>
      <c r="BF20" s="362">
        <f t="shared" si="15"/>
        <v>0</v>
      </c>
      <c r="BG20" s="578"/>
    </row>
    <row r="21" spans="2:59">
      <c r="B21" s="579" t="s">
        <v>118</v>
      </c>
      <c r="C21" s="570">
        <f>D21*P21</f>
        <v>0.34753821313919481</v>
      </c>
      <c r="D21" s="569">
        <f>((E21/O21)-1)*100</f>
        <v>13.426002844596606</v>
      </c>
      <c r="E21" s="571">
        <v>142.74441461206052</v>
      </c>
      <c r="F21" s="563">
        <f t="shared" si="4"/>
        <v>2.4219797231808306E-2</v>
      </c>
      <c r="G21" s="571">
        <v>24995.25</v>
      </c>
      <c r="H21" s="563">
        <f t="shared" si="5"/>
        <v>0.18214836117648475</v>
      </c>
      <c r="I21" s="563">
        <v>1.0575687078811298E-2</v>
      </c>
      <c r="J21" s="563">
        <v>9.2328218154958449E-3</v>
      </c>
      <c r="K21" s="563">
        <v>1.0582760415315732E-2</v>
      </c>
      <c r="L21" s="572">
        <v>1.0381691708237887E-2</v>
      </c>
      <c r="M21" s="570">
        <f t="shared" si="6"/>
        <v>-6.3570736686027807E-2</v>
      </c>
      <c r="N21" s="569">
        <f t="shared" si="7"/>
        <v>-2.7434257906501336</v>
      </c>
      <c r="O21" s="571">
        <v>125.84805162148989</v>
      </c>
      <c r="P21" s="563">
        <f t="shared" si="8"/>
        <v>2.5885456539960747E-2</v>
      </c>
      <c r="Q21" s="571">
        <v>22713.56</v>
      </c>
      <c r="R21" s="563">
        <f t="shared" si="9"/>
        <v>0.14137540015862399</v>
      </c>
      <c r="S21" s="572">
        <v>1.0461924048901835E-2</v>
      </c>
      <c r="T21" s="563">
        <v>1.0746964168253912E-2</v>
      </c>
      <c r="U21" s="563">
        <v>9.6146216641442572E-3</v>
      </c>
      <c r="V21" s="563">
        <v>9.5735065772713165E-3</v>
      </c>
      <c r="W21" s="570">
        <f t="shared" si="10"/>
        <v>2.8675006899912207E-2</v>
      </c>
      <c r="X21" s="573">
        <f t="shared" si="11"/>
        <v>1.2483958712188548</v>
      </c>
      <c r="Y21" s="574">
        <v>129.39798943626718</v>
      </c>
      <c r="Z21" s="563">
        <f t="shared" si="16"/>
        <v>2.3172027070199299E-2</v>
      </c>
      <c r="AA21" s="571">
        <v>22683.29</v>
      </c>
      <c r="AB21" s="563">
        <f t="shared" si="12"/>
        <v>0.10097838370005266</v>
      </c>
      <c r="AC21" s="563">
        <v>8.8509434766678614E-3</v>
      </c>
      <c r="AD21" s="563">
        <v>8.3368506887281282E-3</v>
      </c>
      <c r="AE21" s="571">
        <v>7.5148248657356609E-3</v>
      </c>
      <c r="AF21" s="563">
        <v>7.1565727618016824E-3</v>
      </c>
      <c r="AG21" s="575">
        <f t="shared" si="17"/>
        <v>3.7006426510185604E-2</v>
      </c>
      <c r="AH21" s="573">
        <f t="shared" si="18"/>
        <v>1.3767731075508882</v>
      </c>
      <c r="AI21" s="576">
        <v>127.80250820057704</v>
      </c>
      <c r="AJ21" s="563">
        <f t="shared" si="1"/>
        <v>2.2969482326079583E-2</v>
      </c>
      <c r="AK21" s="571">
        <v>23071.22</v>
      </c>
      <c r="AL21" s="563">
        <f t="shared" si="19"/>
        <v>6.9119191907119321E-2</v>
      </c>
      <c r="AM21" s="563">
        <v>7.8569274223608092E-3</v>
      </c>
      <c r="AN21" s="563">
        <v>7.780169442395039E-3</v>
      </c>
      <c r="AO21" s="563">
        <v>6.6637740341955127E-3</v>
      </c>
      <c r="AP21" s="571">
        <v>8.4618951632994023E-3</v>
      </c>
      <c r="AQ21" s="563">
        <f t="shared" si="13"/>
        <v>0.40551275920308666</v>
      </c>
      <c r="AR21" s="563">
        <v>15.17161854725515</v>
      </c>
      <c r="AS21" s="563">
        <v>126.06685366182549</v>
      </c>
      <c r="AT21" s="563">
        <f t="shared" si="3"/>
        <v>2.6879103250364567E-2</v>
      </c>
      <c r="AU21" s="577">
        <v>23766.21</v>
      </c>
      <c r="AV21" s="563">
        <f t="shared" si="14"/>
        <v>3.8356425844868557E-2</v>
      </c>
      <c r="AW21" s="563">
        <v>9.1972465981605966E-3</v>
      </c>
      <c r="AX21" s="563">
        <v>8.9788989378711496E-3</v>
      </c>
      <c r="AY21" s="571">
        <v>9.5190188578522933E-3</v>
      </c>
      <c r="AZ21" s="563">
        <v>1.0661261450984521E-2</v>
      </c>
      <c r="BD21" s="580">
        <v>183</v>
      </c>
      <c r="BE21" s="563">
        <v>129.87</v>
      </c>
      <c r="BF21" s="362">
        <f t="shared" si="15"/>
        <v>23766.21</v>
      </c>
      <c r="BG21" s="578">
        <f>+BF21/$BF$112</f>
        <v>2.6728378250483503E-2</v>
      </c>
    </row>
    <row r="22" spans="2:59">
      <c r="B22" s="579" t="s">
        <v>556</v>
      </c>
      <c r="C22" s="570">
        <f>D22*P22</f>
        <v>0.92193531602669265</v>
      </c>
      <c r="D22" s="569">
        <f>((E22/O22)-1)*100</f>
        <v>20.56886376040832</v>
      </c>
      <c r="E22" s="571">
        <v>67.047160582101199</v>
      </c>
      <c r="F22" s="563">
        <f t="shared" si="4"/>
        <v>4.3786610496052605E-2</v>
      </c>
      <c r="G22" s="571">
        <v>45188.54</v>
      </c>
      <c r="H22" s="563">
        <f t="shared" si="5"/>
        <v>0.24484145158004458</v>
      </c>
      <c r="I22" s="563">
        <v>1.5238763356649027E-2</v>
      </c>
      <c r="J22" s="563">
        <v>1.404028216035781E-2</v>
      </c>
      <c r="K22" s="563">
        <v>1.633639514868028E-2</v>
      </c>
      <c r="L22" s="572">
        <v>1.6055425207548185E-2</v>
      </c>
      <c r="M22" s="570">
        <f t="shared" si="6"/>
        <v>-0.9978202954400508</v>
      </c>
      <c r="N22" s="569">
        <f t="shared" si="7"/>
        <v>-19.131798510740261</v>
      </c>
      <c r="O22" s="571">
        <v>55.609017528220036</v>
      </c>
      <c r="P22" s="563">
        <f t="shared" si="8"/>
        <v>4.4821888402084051E-2</v>
      </c>
      <c r="Q22" s="571">
        <v>39329.599999999999</v>
      </c>
      <c r="R22" s="563">
        <f t="shared" si="9"/>
        <v>0.18317058570680927</v>
      </c>
      <c r="S22" s="572">
        <v>1.6568235505518333E-2</v>
      </c>
      <c r="T22" s="563">
        <v>1.7175783154328352E-2</v>
      </c>
      <c r="U22" s="563">
        <v>1.4625977858339561E-2</v>
      </c>
      <c r="V22" s="563">
        <v>1.3388350373972091E-2</v>
      </c>
      <c r="W22" s="570">
        <f t="shared" si="10"/>
        <v>-1.2040434290658442</v>
      </c>
      <c r="X22" s="573">
        <f t="shared" si="11"/>
        <v>-19.035863727014213</v>
      </c>
      <c r="Y22" s="574">
        <v>68.7649984841144</v>
      </c>
      <c r="Z22" s="563">
        <f t="shared" si="16"/>
        <v>5.2155070255412307E-2</v>
      </c>
      <c r="AA22" s="571">
        <v>51055.031999999999</v>
      </c>
      <c r="AB22" s="563">
        <f t="shared" si="12"/>
        <v>0.12141223881465095</v>
      </c>
      <c r="AC22" s="563">
        <v>1.2075703479068835E-2</v>
      </c>
      <c r="AD22" s="563">
        <v>1.0612047398323258E-2</v>
      </c>
      <c r="AE22" s="571">
        <v>9.1130886980599554E-3</v>
      </c>
      <c r="AF22" s="563">
        <v>8.492957045595273E-3</v>
      </c>
      <c r="AG22" s="575">
        <f t="shared" si="17"/>
        <v>0.61016066136593206</v>
      </c>
      <c r="AH22" s="573">
        <f t="shared" si="18"/>
        <v>8.0124177997998647</v>
      </c>
      <c r="AI22" s="576">
        <v>84.932664818729492</v>
      </c>
      <c r="AJ22" s="563">
        <f t="shared" si="1"/>
        <v>6.3251315849522483E-2</v>
      </c>
      <c r="AK22" s="571">
        <v>63531.472000000009</v>
      </c>
      <c r="AL22" s="563">
        <f t="shared" si="19"/>
        <v>8.1118442193603632E-2</v>
      </c>
      <c r="AM22" s="563">
        <v>8.600891761358382E-3</v>
      </c>
      <c r="AN22" s="563">
        <v>9.1742845454489425E-3</v>
      </c>
      <c r="AO22" s="563">
        <v>9.028386219793556E-3</v>
      </c>
      <c r="AP22" s="571">
        <v>8.6723903145346885E-3</v>
      </c>
      <c r="AQ22" s="563">
        <f t="shared" si="13"/>
        <v>-0.22679013003969756</v>
      </c>
      <c r="AR22" s="563">
        <v>-2.9949232675726689</v>
      </c>
      <c r="AS22" s="563">
        <v>78.632315199305594</v>
      </c>
      <c r="AT22" s="563">
        <f t="shared" si="3"/>
        <v>7.6151877824091094E-2</v>
      </c>
      <c r="AU22" s="577">
        <v>67332.659999999989</v>
      </c>
      <c r="AV22" s="563">
        <f t="shared" si="14"/>
        <v>4.5642489352468063E-2</v>
      </c>
      <c r="AW22" s="563">
        <v>8.6872579228808519E-3</v>
      </c>
      <c r="AX22" s="563">
        <v>1.2204055559581969E-2</v>
      </c>
      <c r="AY22" s="571">
        <v>1.1729981798804247E-2</v>
      </c>
      <c r="AZ22" s="563">
        <v>1.3021194071200996E-2</v>
      </c>
      <c r="BD22" s="580">
        <v>813</v>
      </c>
      <c r="BE22" s="563">
        <v>82.82</v>
      </c>
      <c r="BF22" s="362">
        <f t="shared" si="15"/>
        <v>67332.659999999989</v>
      </c>
      <c r="BG22" s="578">
        <f>+BF22/$BF$112</f>
        <v>7.572485495546831E-2</v>
      </c>
    </row>
    <row r="23" spans="2:59">
      <c r="B23" s="579" t="s">
        <v>120</v>
      </c>
      <c r="C23" s="570">
        <f>D23*P23</f>
        <v>1.3205375060644045</v>
      </c>
      <c r="D23" s="569">
        <f>((E23/O23)-1)*100</f>
        <v>15.487273010956116</v>
      </c>
      <c r="E23" s="571">
        <v>132.26593068130441</v>
      </c>
      <c r="F23" s="563">
        <f t="shared" si="4"/>
        <v>8.0594849673393171E-2</v>
      </c>
      <c r="G23" s="571">
        <v>83175.28</v>
      </c>
      <c r="H23" s="563">
        <f t="shared" si="5"/>
        <v>0.22763997290982377</v>
      </c>
      <c r="I23" s="563">
        <v>1.1792836987551278E-2</v>
      </c>
      <c r="J23" s="563">
        <v>1.0920626215469291E-2</v>
      </c>
      <c r="K23" s="563">
        <v>1.2197419114606421E-2</v>
      </c>
      <c r="L23" s="572">
        <v>1.2508797440599597E-2</v>
      </c>
      <c r="M23" s="570">
        <f t="shared" si="6"/>
        <v>-0.12822130849137783</v>
      </c>
      <c r="N23" s="569">
        <f t="shared" si="7"/>
        <v>-1.5827650040909025</v>
      </c>
      <c r="O23" s="571">
        <v>114.528577247431</v>
      </c>
      <c r="P23" s="563">
        <f>Q23/Q$112</f>
        <v>8.5265979693792474E-2</v>
      </c>
      <c r="Q23" s="571">
        <v>74817.840000000011</v>
      </c>
      <c r="R23" s="563">
        <f t="shared" si="9"/>
        <v>0.18022029315159718</v>
      </c>
      <c r="S23" s="572">
        <v>1.2335958807733511E-2</v>
      </c>
      <c r="T23" s="563">
        <v>1.3407419417622895E-2</v>
      </c>
      <c r="U23" s="563">
        <v>1.2785820700874667E-2</v>
      </c>
      <c r="V23" s="563">
        <v>1.1771218770930935E-2</v>
      </c>
      <c r="W23" s="570">
        <f t="shared" si="10"/>
        <v>0.16232249842766586</v>
      </c>
      <c r="X23" s="573">
        <f t="shared" si="11"/>
        <v>2.0211392857948596</v>
      </c>
      <c r="Y23" s="574">
        <v>116.37044797305228</v>
      </c>
      <c r="Z23" s="563">
        <f t="shared" si="16"/>
        <v>8.1010957507886464E-2</v>
      </c>
      <c r="AA23" s="571">
        <v>79302.3</v>
      </c>
      <c r="AB23" s="563">
        <f t="shared" si="12"/>
        <v>0.12991987545443517</v>
      </c>
      <c r="AC23" s="563">
        <v>1.0919462232142961E-2</v>
      </c>
      <c r="AD23" s="563">
        <v>1.1960600003067307E-2</v>
      </c>
      <c r="AE23" s="571">
        <v>1.0078415971356685E-2</v>
      </c>
      <c r="AF23" s="563">
        <v>9.5921432490492266E-3</v>
      </c>
      <c r="AG23" s="575">
        <f t="shared" si="17"/>
        <v>1.4388814896861226</v>
      </c>
      <c r="AH23" s="573">
        <f t="shared" si="18"/>
        <v>19.133754456962325</v>
      </c>
      <c r="AI23" s="576">
        <v>114.06503474447611</v>
      </c>
      <c r="AJ23" s="563">
        <f t="shared" si="1"/>
        <v>8.0312376078439732E-2</v>
      </c>
      <c r="AK23" s="571">
        <v>80668.100000000006</v>
      </c>
      <c r="AL23" s="563">
        <f t="shared" si="19"/>
        <v>8.736925399881898E-2</v>
      </c>
      <c r="AM23" s="563">
        <v>1.0115301649797768E-2</v>
      </c>
      <c r="AN23" s="563">
        <v>1.0764343322990474E-2</v>
      </c>
      <c r="AO23" s="563">
        <v>1.0324145786328131E-2</v>
      </c>
      <c r="AP23" s="571">
        <v>1.0453866065196297E-2</v>
      </c>
      <c r="AQ23" s="563">
        <f t="shared" si="13"/>
        <v>1.0344621965559759</v>
      </c>
      <c r="AR23" s="563">
        <v>13.833496418140289</v>
      </c>
      <c r="AS23" s="563">
        <v>95.745353837297799</v>
      </c>
      <c r="AT23" s="563">
        <f t="shared" si="3"/>
        <v>7.5201210140048977E-2</v>
      </c>
      <c r="AU23" s="577">
        <v>66492.09</v>
      </c>
      <c r="AV23" s="563">
        <f t="shared" si="14"/>
        <v>4.5711597174506312E-2</v>
      </c>
      <c r="AW23" s="563">
        <v>1.0906367914330166E-2</v>
      </c>
      <c r="AX23" s="563">
        <v>1.1154281443575201E-2</v>
      </c>
      <c r="AY23" s="571">
        <v>1.1966971555473346E-2</v>
      </c>
      <c r="AZ23" s="563">
        <v>1.1683976261127596E-2</v>
      </c>
      <c r="BD23" s="580">
        <v>729</v>
      </c>
      <c r="BE23" s="563">
        <v>91.21</v>
      </c>
      <c r="BF23" s="362">
        <f t="shared" si="15"/>
        <v>66492.09</v>
      </c>
      <c r="BG23" s="578">
        <f>+BF23/$BF$112</f>
        <v>7.4779518155616384E-2</v>
      </c>
    </row>
    <row r="24" spans="2:59">
      <c r="B24" s="563" t="s">
        <v>233</v>
      </c>
      <c r="C24" s="570"/>
      <c r="D24" s="569"/>
      <c r="E24" s="571" t="e">
        <v>#DIV/0!</v>
      </c>
      <c r="G24" s="571">
        <v>0</v>
      </c>
      <c r="H24" s="563" t="e">
        <f t="shared" si="5"/>
        <v>#DIV/0!</v>
      </c>
      <c r="I24" s="563" t="e">
        <v>#DIV/0!</v>
      </c>
      <c r="J24" s="563" t="e">
        <v>#DIV/0!</v>
      </c>
      <c r="K24" s="563" t="e">
        <v>#DIV/0!</v>
      </c>
      <c r="L24" s="572" t="e">
        <v>#DIV/0!</v>
      </c>
      <c r="O24" s="571">
        <v>0</v>
      </c>
      <c r="Q24" s="571">
        <v>0</v>
      </c>
      <c r="S24" s="572" t="e">
        <v>#VALUE!</v>
      </c>
      <c r="T24" s="563" t="e">
        <v>#VALUE!</v>
      </c>
      <c r="U24" s="563" t="e">
        <v>#VALUE!</v>
      </c>
      <c r="V24" s="563" t="e">
        <v>#VALUE!</v>
      </c>
      <c r="W24" s="570" t="s">
        <v>96</v>
      </c>
      <c r="X24" s="573" t="s">
        <v>96</v>
      </c>
      <c r="Y24" s="574" t="e">
        <v>#VALUE!</v>
      </c>
      <c r="Z24" s="563">
        <f t="shared" si="16"/>
        <v>0</v>
      </c>
      <c r="AA24" s="571">
        <v>0</v>
      </c>
      <c r="AB24" s="563" t="s">
        <v>96</v>
      </c>
      <c r="AC24" s="563" t="e">
        <v>#DIV/0!</v>
      </c>
      <c r="AD24" s="563" t="e">
        <v>#DIV/0!</v>
      </c>
      <c r="AE24" s="571" t="e">
        <v>#DIV/0!</v>
      </c>
      <c r="AF24" s="563" t="e">
        <v>#DIV/0!</v>
      </c>
      <c r="AG24" s="575"/>
      <c r="AH24" s="573"/>
      <c r="AI24" s="576" t="e">
        <v>#DIV/0!</v>
      </c>
      <c r="AJ24" s="563">
        <f t="shared" si="1"/>
        <v>0</v>
      </c>
      <c r="AK24" s="571">
        <v>0</v>
      </c>
      <c r="AL24" s="563" t="e">
        <f t="shared" si="19"/>
        <v>#DIV/0!</v>
      </c>
      <c r="AM24" s="563" t="e">
        <v>#DIV/0!</v>
      </c>
      <c r="AN24" s="563" t="e">
        <v>#DIV/0!</v>
      </c>
      <c r="AO24" s="563" t="e">
        <v>#DIV/0!</v>
      </c>
      <c r="AP24" s="571" t="e">
        <v>#DIV/0!</v>
      </c>
      <c r="AQ24" s="563" t="e">
        <f t="shared" si="13"/>
        <v>#DIV/0!</v>
      </c>
      <c r="AR24" s="563" t="e">
        <v>#DIV/0!</v>
      </c>
      <c r="AS24" s="563" t="e">
        <v>#DIV/0!</v>
      </c>
      <c r="AT24" s="563">
        <f t="shared" si="3"/>
        <v>0</v>
      </c>
      <c r="AU24" s="577">
        <v>0</v>
      </c>
      <c r="AV24" s="563" t="e">
        <f t="shared" si="14"/>
        <v>#DIV/0!</v>
      </c>
      <c r="AW24" s="563" t="e">
        <v>#DIV/0!</v>
      </c>
      <c r="AX24" s="563" t="e">
        <v>#DIV/0!</v>
      </c>
      <c r="AY24" s="571" t="e">
        <v>#DIV/0!</v>
      </c>
      <c r="AZ24" s="563" t="e">
        <v>#DIV/0!</v>
      </c>
      <c r="BD24" s="580"/>
      <c r="BF24" s="362">
        <f t="shared" si="15"/>
        <v>0</v>
      </c>
      <c r="BG24" s="578"/>
    </row>
    <row r="25" spans="2:59">
      <c r="B25" s="563" t="s">
        <v>234</v>
      </c>
      <c r="C25" s="570"/>
      <c r="D25" s="569"/>
      <c r="E25" s="571" t="e">
        <v>#DIV/0!</v>
      </c>
      <c r="G25" s="571">
        <v>0</v>
      </c>
      <c r="H25" s="563" t="e">
        <f t="shared" si="5"/>
        <v>#DIV/0!</v>
      </c>
      <c r="I25" s="563" t="e">
        <v>#DIV/0!</v>
      </c>
      <c r="J25" s="563" t="e">
        <v>#DIV/0!</v>
      </c>
      <c r="K25" s="563" t="e">
        <v>#DIV/0!</v>
      </c>
      <c r="L25" s="572" t="e">
        <v>#DIV/0!</v>
      </c>
      <c r="M25" s="570"/>
      <c r="N25" s="569"/>
      <c r="O25" s="571" t="e">
        <v>#DIV/0!</v>
      </c>
      <c r="Q25" s="571">
        <v>0</v>
      </c>
      <c r="R25" s="563" t="e">
        <f t="shared" si="9"/>
        <v>#DIV/0!</v>
      </c>
      <c r="S25" s="572" t="e">
        <v>#DIV/0!</v>
      </c>
      <c r="T25" s="563" t="e">
        <v>#DIV/0!</v>
      </c>
      <c r="U25" s="563" t="e">
        <v>#DIV/0!</v>
      </c>
      <c r="V25" s="563" t="e">
        <v>#DIV/0!</v>
      </c>
      <c r="W25" s="570" t="e">
        <f t="shared" si="10"/>
        <v>#DIV/0!</v>
      </c>
      <c r="X25" s="573" t="e">
        <f t="shared" si="11"/>
        <v>#DIV/0!</v>
      </c>
      <c r="Y25" s="574" t="e">
        <v>#DIV/0!</v>
      </c>
      <c r="Z25" s="563">
        <f t="shared" si="16"/>
        <v>0</v>
      </c>
      <c r="AA25" s="571">
        <v>0</v>
      </c>
      <c r="AB25" s="563" t="e">
        <f t="shared" si="12"/>
        <v>#DIV/0!</v>
      </c>
      <c r="AC25" s="563" t="e">
        <v>#DIV/0!</v>
      </c>
      <c r="AD25" s="563" t="e">
        <v>#DIV/0!</v>
      </c>
      <c r="AE25" s="571" t="e">
        <v>#DIV/0!</v>
      </c>
      <c r="AF25" s="563" t="e">
        <v>#DIV/0!</v>
      </c>
      <c r="AG25" s="575" t="e">
        <f t="shared" ref="AG25:AG37" si="20">AH25*AT25</f>
        <v>#DIV/0!</v>
      </c>
      <c r="AH25" s="573" t="e">
        <f t="shared" ref="AH25:AH32" si="21">((AI25/AS25)-1)*100</f>
        <v>#DIV/0!</v>
      </c>
      <c r="AI25" s="576" t="e">
        <v>#DIV/0!</v>
      </c>
      <c r="AJ25" s="563">
        <f t="shared" si="1"/>
        <v>0</v>
      </c>
      <c r="AK25" s="571">
        <v>0</v>
      </c>
      <c r="AL25" s="563" t="e">
        <f t="shared" si="19"/>
        <v>#DIV/0!</v>
      </c>
      <c r="AM25" s="563" t="e">
        <v>#DIV/0!</v>
      </c>
      <c r="AN25" s="563" t="e">
        <v>#DIV/0!</v>
      </c>
      <c r="AO25" s="563" t="e">
        <v>#DIV/0!</v>
      </c>
      <c r="AP25" s="571" t="e">
        <v>#DIV/0!</v>
      </c>
      <c r="AQ25" s="563" t="e">
        <f t="shared" si="13"/>
        <v>#DIV/0!</v>
      </c>
      <c r="AR25" s="563" t="e">
        <v>#DIV/0!</v>
      </c>
      <c r="AS25" s="563" t="e">
        <v>#DIV/0!</v>
      </c>
      <c r="AT25" s="563">
        <f t="shared" si="3"/>
        <v>0</v>
      </c>
      <c r="AU25" s="577">
        <v>0</v>
      </c>
      <c r="AV25" s="563" t="e">
        <f t="shared" si="14"/>
        <v>#DIV/0!</v>
      </c>
      <c r="AW25" s="563" t="e">
        <v>#DIV/0!</v>
      </c>
      <c r="AX25" s="563" t="e">
        <v>#DIV/0!</v>
      </c>
      <c r="AY25" s="571" t="e">
        <v>#DIV/0!</v>
      </c>
      <c r="AZ25" s="563" t="e">
        <v>#DIV/0!</v>
      </c>
      <c r="BD25" s="580"/>
      <c r="BF25" s="362">
        <f t="shared" si="15"/>
        <v>0</v>
      </c>
      <c r="BG25" s="578"/>
    </row>
    <row r="26" spans="2:59">
      <c r="B26" s="563" t="s">
        <v>121</v>
      </c>
      <c r="C26" s="570"/>
      <c r="D26" s="569"/>
      <c r="E26" s="571" t="e">
        <v>#DIV/0!</v>
      </c>
      <c r="F26" s="563">
        <f t="shared" si="4"/>
        <v>0</v>
      </c>
      <c r="G26" s="571">
        <v>0</v>
      </c>
      <c r="H26" s="563" t="e">
        <f t="shared" si="5"/>
        <v>#DIV/0!</v>
      </c>
      <c r="I26" s="563" t="e">
        <v>#DIV/0!</v>
      </c>
      <c r="J26" s="563" t="e">
        <v>#DIV/0!</v>
      </c>
      <c r="K26" s="563" t="e">
        <v>#DIV/0!</v>
      </c>
      <c r="L26" s="572" t="e">
        <v>#DIV/0!</v>
      </c>
      <c r="M26" s="570" t="e">
        <f t="shared" si="6"/>
        <v>#DIV/0!</v>
      </c>
      <c r="N26" s="569" t="e">
        <f t="shared" si="7"/>
        <v>#DIV/0!</v>
      </c>
      <c r="O26" s="571" t="e">
        <v>#DIV/0!</v>
      </c>
      <c r="P26" s="563">
        <f>Q26/Q$112</f>
        <v>0</v>
      </c>
      <c r="Q26" s="571">
        <v>0</v>
      </c>
      <c r="R26" s="563" t="e">
        <f t="shared" si="9"/>
        <v>#DIV/0!</v>
      </c>
      <c r="S26" s="572" t="e">
        <v>#DIV/0!</v>
      </c>
      <c r="T26" s="563" t="e">
        <v>#DIV/0!</v>
      </c>
      <c r="U26" s="563" t="e">
        <v>#DIV/0!</v>
      </c>
      <c r="V26" s="563" t="e">
        <v>#DIV/0!</v>
      </c>
      <c r="W26" s="570" t="e">
        <f t="shared" si="10"/>
        <v>#DIV/0!</v>
      </c>
      <c r="X26" s="573" t="e">
        <f t="shared" si="11"/>
        <v>#DIV/0!</v>
      </c>
      <c r="Y26" s="574" t="e">
        <v>#DIV/0!</v>
      </c>
      <c r="Z26" s="563">
        <f t="shared" si="16"/>
        <v>0</v>
      </c>
      <c r="AA26" s="571">
        <v>0</v>
      </c>
      <c r="AB26" s="563" t="e">
        <f t="shared" si="12"/>
        <v>#DIV/0!</v>
      </c>
      <c r="AC26" s="563" t="e">
        <v>#DIV/0!</v>
      </c>
      <c r="AD26" s="563" t="e">
        <v>#DIV/0!</v>
      </c>
      <c r="AE26" s="571" t="e">
        <v>#DIV/0!</v>
      </c>
      <c r="AF26" s="563" t="e">
        <v>#DIV/0!</v>
      </c>
      <c r="AG26" s="575" t="e">
        <f t="shared" si="20"/>
        <v>#DIV/0!</v>
      </c>
      <c r="AH26" s="573" t="e">
        <f t="shared" si="21"/>
        <v>#DIV/0!</v>
      </c>
      <c r="AI26" s="576" t="e">
        <v>#DIV/0!</v>
      </c>
      <c r="AJ26" s="563">
        <f t="shared" si="1"/>
        <v>0</v>
      </c>
      <c r="AK26" s="571">
        <v>0</v>
      </c>
      <c r="AL26" s="563" t="e">
        <f t="shared" si="19"/>
        <v>#DIV/0!</v>
      </c>
      <c r="AM26" s="563" t="e">
        <v>#DIV/0!</v>
      </c>
      <c r="AN26" s="563" t="e">
        <v>#DIV/0!</v>
      </c>
      <c r="AO26" s="563" t="e">
        <v>#DIV/0!</v>
      </c>
      <c r="AP26" s="571" t="e">
        <v>#DIV/0!</v>
      </c>
      <c r="AQ26" s="563" t="e">
        <f t="shared" si="13"/>
        <v>#DIV/0!</v>
      </c>
      <c r="AR26" s="563" t="e">
        <v>#DIV/0!</v>
      </c>
      <c r="AS26" s="563" t="e">
        <v>#DIV/0!</v>
      </c>
      <c r="AT26" s="563">
        <f t="shared" si="3"/>
        <v>3.118627418552605E-3</v>
      </c>
      <c r="AU26" s="577">
        <v>2757.45635748</v>
      </c>
      <c r="AV26" s="563" t="e">
        <f t="shared" si="14"/>
        <v>#DIV/0!</v>
      </c>
      <c r="AW26" s="563" t="e">
        <v>#DIV/0!</v>
      </c>
      <c r="AX26" s="563" t="e">
        <v>#DIV/0!</v>
      </c>
      <c r="AY26" s="571">
        <v>6.1540699972767125E-3</v>
      </c>
      <c r="AZ26" s="563">
        <v>5.6650971159505599E-3</v>
      </c>
      <c r="BD26" s="580">
        <v>40.616531999999999</v>
      </c>
      <c r="BE26" s="563">
        <v>67.89</v>
      </c>
      <c r="BF26" s="362">
        <f t="shared" si="15"/>
        <v>2757.45635748</v>
      </c>
      <c r="BG26" s="578">
        <f>+BF26/$BF$112</f>
        <v>3.1011396655977498E-3</v>
      </c>
    </row>
    <row r="27" spans="2:59">
      <c r="B27" s="563" t="s">
        <v>122</v>
      </c>
      <c r="C27" s="570"/>
      <c r="D27" s="569"/>
      <c r="E27" s="571" t="e">
        <v>#DIV/0!</v>
      </c>
      <c r="F27" s="563">
        <f t="shared" si="4"/>
        <v>0</v>
      </c>
      <c r="G27" s="571">
        <v>0</v>
      </c>
      <c r="H27" s="563" t="e">
        <f t="shared" si="5"/>
        <v>#DIV/0!</v>
      </c>
      <c r="I27" s="563" t="e">
        <v>#DIV/0!</v>
      </c>
      <c r="J27" s="563" t="e">
        <v>#DIV/0!</v>
      </c>
      <c r="K27" s="563" t="e">
        <v>#DIV/0!</v>
      </c>
      <c r="L27" s="572" t="e">
        <v>#DIV/0!</v>
      </c>
      <c r="M27" s="570" t="e">
        <f t="shared" si="6"/>
        <v>#DIV/0!</v>
      </c>
      <c r="N27" s="569" t="e">
        <f t="shared" si="7"/>
        <v>#DIV/0!</v>
      </c>
      <c r="O27" s="571" t="e">
        <v>#DIV/0!</v>
      </c>
      <c r="Q27" s="571">
        <v>0</v>
      </c>
      <c r="R27" s="563" t="e">
        <f t="shared" si="9"/>
        <v>#DIV/0!</v>
      </c>
      <c r="S27" s="572" t="e">
        <v>#DIV/0!</v>
      </c>
      <c r="T27" s="563" t="e">
        <v>#DIV/0!</v>
      </c>
      <c r="U27" s="563" t="e">
        <v>#DIV/0!</v>
      </c>
      <c r="V27" s="563" t="e">
        <v>#DIV/0!</v>
      </c>
      <c r="W27" s="570" t="e">
        <f t="shared" si="10"/>
        <v>#DIV/0!</v>
      </c>
      <c r="X27" s="573" t="e">
        <f t="shared" si="11"/>
        <v>#DIV/0!</v>
      </c>
      <c r="Y27" s="574" t="e">
        <v>#DIV/0!</v>
      </c>
      <c r="Z27" s="563">
        <f t="shared" si="16"/>
        <v>0</v>
      </c>
      <c r="AA27" s="571">
        <v>0</v>
      </c>
      <c r="AB27" s="563" t="e">
        <f t="shared" si="12"/>
        <v>#DIV/0!</v>
      </c>
      <c r="AC27" s="563" t="e">
        <v>#DIV/0!</v>
      </c>
      <c r="AD27" s="563" t="e">
        <v>#DIV/0!</v>
      </c>
      <c r="AE27" s="571" t="e">
        <v>#DIV/0!</v>
      </c>
      <c r="AF27" s="563" t="e">
        <v>#DIV/0!</v>
      </c>
      <c r="AG27" s="575" t="e">
        <f t="shared" si="20"/>
        <v>#DIV/0!</v>
      </c>
      <c r="AH27" s="573" t="e">
        <f t="shared" si="21"/>
        <v>#DIV/0!</v>
      </c>
      <c r="AI27" s="576" t="e">
        <v>#DIV/0!</v>
      </c>
      <c r="AJ27" s="563">
        <f t="shared" si="1"/>
        <v>0</v>
      </c>
      <c r="AK27" s="571">
        <v>0</v>
      </c>
      <c r="AL27" s="563" t="e">
        <f t="shared" si="19"/>
        <v>#DIV/0!</v>
      </c>
      <c r="AM27" s="563" t="e">
        <v>#DIV/0!</v>
      </c>
      <c r="AN27" s="563" t="e">
        <v>#DIV/0!</v>
      </c>
      <c r="AO27" s="563" t="e">
        <v>#DIV/0!</v>
      </c>
      <c r="AP27" s="571" t="e">
        <v>#DIV/0!</v>
      </c>
      <c r="AQ27" s="563" t="e">
        <f t="shared" si="13"/>
        <v>#DIV/0!</v>
      </c>
      <c r="AR27" s="563" t="e">
        <v>#DIV/0!</v>
      </c>
      <c r="AS27" s="563" t="e">
        <v>#DIV/0!</v>
      </c>
      <c r="AT27" s="563">
        <f t="shared" si="3"/>
        <v>0</v>
      </c>
      <c r="AU27" s="577">
        <v>0</v>
      </c>
      <c r="AV27" s="563" t="e">
        <f t="shared" si="14"/>
        <v>#DIV/0!</v>
      </c>
      <c r="AW27" s="563" t="e">
        <v>#DIV/0!</v>
      </c>
      <c r="AX27" s="563" t="e">
        <v>#DIV/0!</v>
      </c>
      <c r="AY27" s="571" t="e">
        <v>#DIV/0!</v>
      </c>
      <c r="AZ27" s="563" t="e">
        <v>#DIV/0!</v>
      </c>
      <c r="BD27" s="580"/>
      <c r="BF27" s="362">
        <f t="shared" si="15"/>
        <v>0</v>
      </c>
      <c r="BG27" s="578">
        <f>+BF27/$BF$112</f>
        <v>0</v>
      </c>
    </row>
    <row r="28" spans="2:59">
      <c r="B28" s="579" t="s">
        <v>123</v>
      </c>
      <c r="C28" s="581">
        <f>D28*P28</f>
        <v>1.3638911487042928</v>
      </c>
      <c r="D28" s="582">
        <v>55.93</v>
      </c>
      <c r="E28" s="571">
        <v>92.052494493908497</v>
      </c>
      <c r="F28" s="563">
        <f t="shared" si="4"/>
        <v>3.1446033090463316E-2</v>
      </c>
      <c r="G28" s="571">
        <v>32452.850495879997</v>
      </c>
      <c r="H28" s="563">
        <f t="shared" si="5"/>
        <v>0.21409251508716032</v>
      </c>
      <c r="I28" s="563">
        <v>9.5322626151831489E-3</v>
      </c>
      <c r="J28" s="563">
        <v>1.0254279684295119E-2</v>
      </c>
      <c r="K28" s="563">
        <v>1.2480955787016374E-2</v>
      </c>
      <c r="L28" s="572">
        <v>1.2503157655750885E-2</v>
      </c>
      <c r="M28" s="570">
        <f t="shared" si="6"/>
        <v>-0.14173500282959109</v>
      </c>
      <c r="N28" s="569">
        <f t="shared" si="7"/>
        <v>-6.0620280461829656</v>
      </c>
      <c r="O28" s="571">
        <v>118.32367894711193</v>
      </c>
      <c r="P28" s="563">
        <f>Q28/Q$112</f>
        <v>2.438568118548709E-2</v>
      </c>
      <c r="Q28" s="571">
        <v>21397.56090036</v>
      </c>
      <c r="R28" s="563">
        <f t="shared" si="9"/>
        <v>0.16932185934491478</v>
      </c>
      <c r="S28" s="572">
        <v>1.2913738282444812E-2</v>
      </c>
      <c r="T28" s="563">
        <v>1.322386116850318E-2</v>
      </c>
      <c r="U28" s="563">
        <v>1.2425915868412681E-2</v>
      </c>
      <c r="V28" s="563">
        <v>1.1119487437802987E-2</v>
      </c>
      <c r="W28" s="570">
        <f t="shared" si="10"/>
        <v>8.1825123671770292E-2</v>
      </c>
      <c r="X28" s="573">
        <f t="shared" si="11"/>
        <v>3.6304345882770761</v>
      </c>
      <c r="Y28" s="574">
        <v>125.959371366122</v>
      </c>
      <c r="Z28" s="563">
        <f t="shared" si="16"/>
        <v>2.3380789687839923E-2</v>
      </c>
      <c r="AA28" s="571">
        <v>22887.649462500001</v>
      </c>
      <c r="AB28" s="563">
        <f t="shared" si="12"/>
        <v>0.11963885658775111</v>
      </c>
      <c r="AC28" s="563">
        <v>1.0548679902693441E-2</v>
      </c>
      <c r="AD28" s="563">
        <v>1.1021065313379656E-2</v>
      </c>
      <c r="AE28" s="571">
        <v>9.7584672458019776E-3</v>
      </c>
      <c r="AF28" s="563">
        <v>9.334186061201892E-3</v>
      </c>
      <c r="AG28" s="575">
        <f t="shared" si="20"/>
        <v>0.4618346055384453</v>
      </c>
      <c r="AH28" s="573">
        <f t="shared" si="21"/>
        <v>17.134416309964017</v>
      </c>
      <c r="AI28" s="576">
        <v>121.54669800098554</v>
      </c>
      <c r="AJ28" s="563">
        <f t="shared" si="1"/>
        <v>2.2538658026228942E-2</v>
      </c>
      <c r="AK28" s="571">
        <v>22638.487469850003</v>
      </c>
      <c r="AL28" s="563">
        <f t="shared" si="19"/>
        <v>7.8976458064674154E-2</v>
      </c>
      <c r="AM28" s="563">
        <v>9.5879484659978972E-3</v>
      </c>
      <c r="AN28" s="563">
        <v>1.0132845443035532E-2</v>
      </c>
      <c r="AO28" s="563">
        <v>9.9979421852743038E-3</v>
      </c>
      <c r="AP28" s="571">
        <v>9.9262580748043037E-3</v>
      </c>
      <c r="AQ28" s="563">
        <f t="shared" si="13"/>
        <v>0.73689049981288068</v>
      </c>
      <c r="AR28" s="563">
        <v>27.493369400826783</v>
      </c>
      <c r="AS28" s="563">
        <v>103.76685335533293</v>
      </c>
      <c r="AT28" s="563">
        <f t="shared" si="3"/>
        <v>2.6953623466582807E-2</v>
      </c>
      <c r="AU28" s="577">
        <v>23832.099962600001</v>
      </c>
      <c r="AV28" s="563">
        <f t="shared" si="14"/>
        <v>3.9331463895562122E-2</v>
      </c>
      <c r="AW28" s="563">
        <v>9.7962584651332864E-3</v>
      </c>
      <c r="AX28" s="563">
        <v>9.6266613819656014E-3</v>
      </c>
      <c r="AY28" s="571">
        <v>1.0011768481793021E-2</v>
      </c>
      <c r="AZ28" s="563">
        <v>9.8967755666702142E-3</v>
      </c>
      <c r="BD28" s="580">
        <v>198.93238700000001</v>
      </c>
      <c r="BE28" s="563">
        <v>119.8</v>
      </c>
      <c r="BF28" s="362">
        <f t="shared" si="15"/>
        <v>23832.099962600001</v>
      </c>
      <c r="BG28" s="578">
        <f>+BF28/$BF$112</f>
        <v>2.6802480593401581E-2</v>
      </c>
    </row>
    <row r="29" spans="2:59">
      <c r="B29" s="579" t="s">
        <v>197</v>
      </c>
      <c r="C29" s="570">
        <f>D29*P29</f>
        <v>3.0147576399533524</v>
      </c>
      <c r="D29" s="569">
        <f>((E29/O29)-1)*100</f>
        <v>21.440402190398466</v>
      </c>
      <c r="E29" s="571">
        <v>80.674907464473463</v>
      </c>
      <c r="F29" s="563">
        <f t="shared" si="4"/>
        <v>0.14264820318646587</v>
      </c>
      <c r="G29" s="571">
        <v>147215.41500000001</v>
      </c>
      <c r="H29" s="563">
        <f t="shared" si="5"/>
        <v>0.12532999671465286</v>
      </c>
      <c r="I29" s="563">
        <v>8.0263824985533725E-3</v>
      </c>
      <c r="J29" s="563">
        <v>6.7659634466610769E-3</v>
      </c>
      <c r="K29" s="563">
        <v>8.018603437031346E-3</v>
      </c>
      <c r="L29" s="572">
        <v>8.8133070915978225E-3</v>
      </c>
      <c r="M29" s="570">
        <f t="shared" si="6"/>
        <v>-4.2572161770816717</v>
      </c>
      <c r="N29" s="569">
        <f t="shared" si="7"/>
        <v>-25.272280454313744</v>
      </c>
      <c r="O29" s="571">
        <v>66.431686662226753</v>
      </c>
      <c r="P29" s="563">
        <f>Q29/Q$112</f>
        <v>0.14061105818730557</v>
      </c>
      <c r="Q29" s="571">
        <v>123381.162</v>
      </c>
      <c r="R29" s="563">
        <f t="shared" si="9"/>
        <v>9.3705740240809243E-2</v>
      </c>
      <c r="S29" s="572">
        <v>8.3536728924164267E-3</v>
      </c>
      <c r="T29" s="563">
        <v>8.7850424877353346E-3</v>
      </c>
      <c r="U29" s="563">
        <v>6.7404839337376673E-3</v>
      </c>
      <c r="V29" s="563">
        <v>6.4495168494578805E-3</v>
      </c>
      <c r="W29" s="570">
        <f t="shared" si="10"/>
        <v>-1.5612570936522066</v>
      </c>
      <c r="X29" s="573">
        <f t="shared" si="11"/>
        <v>-8.5581326204897561</v>
      </c>
      <c r="Y29" s="574">
        <v>88.898319212875805</v>
      </c>
      <c r="Z29" s="563">
        <f t="shared" si="16"/>
        <v>0.16845397805622264</v>
      </c>
      <c r="AA29" s="571">
        <v>164901</v>
      </c>
      <c r="AB29" s="563">
        <f t="shared" si="12"/>
        <v>6.337702407746193E-2</v>
      </c>
      <c r="AC29" s="563">
        <v>5.3785806037836515E-3</v>
      </c>
      <c r="AD29" s="563">
        <v>5.7036765202805005E-3</v>
      </c>
      <c r="AE29" s="571">
        <v>5.7421233351119478E-3</v>
      </c>
      <c r="AF29" s="563">
        <v>5.2244655375318196E-3</v>
      </c>
      <c r="AG29" s="575">
        <f t="shared" si="20"/>
        <v>3.0847292427648965</v>
      </c>
      <c r="AH29" s="573">
        <f t="shared" si="21"/>
        <v>23.372376357812819</v>
      </c>
      <c r="AI29" s="576">
        <v>97.218398705619194</v>
      </c>
      <c r="AJ29" s="563">
        <f t="shared" si="1"/>
        <v>0.18242964474683035</v>
      </c>
      <c r="AK29" s="571">
        <v>183237.67199999999</v>
      </c>
      <c r="AL29" s="563">
        <f t="shared" si="19"/>
        <v>4.1328178080754008E-2</v>
      </c>
      <c r="AM29" s="563">
        <v>4.2766158041611839E-3</v>
      </c>
      <c r="AN29" s="563">
        <v>5.0600703564601512E-3</v>
      </c>
      <c r="AO29" s="563">
        <v>5.3935617238749884E-3</v>
      </c>
      <c r="AP29" s="571">
        <v>5.2008711510699284E-3</v>
      </c>
      <c r="AQ29" s="563">
        <f t="shared" si="13"/>
        <v>13.3613943073476</v>
      </c>
      <c r="AR29" s="563">
        <v>101.80749882921121</v>
      </c>
      <c r="AS29" s="563">
        <v>78.800783105336237</v>
      </c>
      <c r="AT29" s="563">
        <f t="shared" si="3"/>
        <v>0.13198184025193255</v>
      </c>
      <c r="AU29" s="577">
        <v>116696.90399999999</v>
      </c>
      <c r="AV29" s="563">
        <f t="shared" si="14"/>
        <v>2.1397059045187752E-2</v>
      </c>
      <c r="AW29" s="563">
        <v>4.6127609118169766E-3</v>
      </c>
      <c r="AX29" s="563">
        <v>5.102875026479492E-3</v>
      </c>
      <c r="AY29" s="571">
        <v>5.8631203889127287E-3</v>
      </c>
      <c r="AZ29" s="563">
        <v>5.8183027179785551E-3</v>
      </c>
      <c r="BD29" s="580">
        <f>481.9*4</f>
        <v>1927.6</v>
      </c>
      <c r="BE29" s="563">
        <f>242.16/4</f>
        <v>60.54</v>
      </c>
      <c r="BF29" s="362">
        <f t="shared" si="15"/>
        <v>116696.90399999999</v>
      </c>
      <c r="BG29" s="578">
        <f>+BF29/$BF$112</f>
        <v>0.13124174997916627</v>
      </c>
    </row>
    <row r="30" spans="2:59">
      <c r="B30" s="563" t="s">
        <v>235</v>
      </c>
      <c r="C30" s="570"/>
      <c r="D30" s="569"/>
      <c r="E30" s="571" t="e">
        <v>#DIV/0!</v>
      </c>
      <c r="G30" s="571">
        <v>0</v>
      </c>
      <c r="H30" s="563" t="e">
        <f t="shared" si="5"/>
        <v>#DIV/0!</v>
      </c>
      <c r="I30" s="563" t="e">
        <v>#DIV/0!</v>
      </c>
      <c r="J30" s="563" t="e">
        <v>#DIV/0!</v>
      </c>
      <c r="K30" s="563" t="e">
        <v>#DIV/0!</v>
      </c>
      <c r="L30" s="572" t="e">
        <v>#DIV/0!</v>
      </c>
      <c r="M30" s="570"/>
      <c r="N30" s="569"/>
      <c r="O30" s="571" t="e">
        <v>#DIV/0!</v>
      </c>
      <c r="Q30" s="571">
        <v>0</v>
      </c>
      <c r="R30" s="563" t="e">
        <f t="shared" si="9"/>
        <v>#DIV/0!</v>
      </c>
      <c r="S30" s="572" t="e">
        <v>#DIV/0!</v>
      </c>
      <c r="T30" s="563" t="e">
        <v>#DIV/0!</v>
      </c>
      <c r="U30" s="563" t="e">
        <v>#DIV/0!</v>
      </c>
      <c r="V30" s="563" t="e">
        <v>#DIV/0!</v>
      </c>
      <c r="W30" s="570" t="e">
        <f t="shared" si="10"/>
        <v>#DIV/0!</v>
      </c>
      <c r="X30" s="573" t="e">
        <f t="shared" si="11"/>
        <v>#DIV/0!</v>
      </c>
      <c r="Y30" s="574" t="e">
        <v>#DIV/0!</v>
      </c>
      <c r="Z30" s="563">
        <f t="shared" si="16"/>
        <v>0</v>
      </c>
      <c r="AA30" s="571">
        <v>0</v>
      </c>
      <c r="AB30" s="563" t="e">
        <f t="shared" si="12"/>
        <v>#DIV/0!</v>
      </c>
      <c r="AC30" s="563" t="e">
        <v>#DIV/0!</v>
      </c>
      <c r="AD30" s="563" t="e">
        <v>#DIV/0!</v>
      </c>
      <c r="AE30" s="571" t="e">
        <v>#DIV/0!</v>
      </c>
      <c r="AF30" s="563" t="e">
        <v>#DIV/0!</v>
      </c>
      <c r="AG30" s="575" t="e">
        <f t="shared" si="20"/>
        <v>#DIV/0!</v>
      </c>
      <c r="AH30" s="573" t="e">
        <f t="shared" si="21"/>
        <v>#DIV/0!</v>
      </c>
      <c r="AI30" s="576" t="e">
        <v>#DIV/0!</v>
      </c>
      <c r="AJ30" s="563">
        <f t="shared" si="1"/>
        <v>0</v>
      </c>
      <c r="AK30" s="571">
        <v>0</v>
      </c>
      <c r="AL30" s="563" t="e">
        <f t="shared" si="19"/>
        <v>#DIV/0!</v>
      </c>
      <c r="AM30" s="563" t="e">
        <v>#DIV/0!</v>
      </c>
      <c r="AN30" s="563" t="e">
        <v>#DIV/0!</v>
      </c>
      <c r="AO30" s="563" t="e">
        <v>#DIV/0!</v>
      </c>
      <c r="AP30" s="571" t="e">
        <v>#DIV/0!</v>
      </c>
      <c r="AQ30" s="563" t="e">
        <f t="shared" si="13"/>
        <v>#DIV/0!</v>
      </c>
      <c r="AR30" s="563" t="e">
        <v>#DIV/0!</v>
      </c>
      <c r="AS30" s="563" t="e">
        <v>#DIV/0!</v>
      </c>
      <c r="AT30" s="563">
        <f t="shared" si="3"/>
        <v>0</v>
      </c>
      <c r="AU30" s="577">
        <v>0</v>
      </c>
      <c r="AV30" s="563" t="e">
        <f t="shared" si="14"/>
        <v>#DIV/0!</v>
      </c>
      <c r="AW30" s="563" t="e">
        <v>#DIV/0!</v>
      </c>
      <c r="AX30" s="563" t="e">
        <v>#DIV/0!</v>
      </c>
      <c r="AY30" s="571" t="e">
        <v>#DIV/0!</v>
      </c>
      <c r="AZ30" s="563" t="e">
        <v>#DIV/0!</v>
      </c>
      <c r="BD30" s="580"/>
      <c r="BF30" s="362">
        <f t="shared" si="15"/>
        <v>0</v>
      </c>
      <c r="BG30" s="578"/>
    </row>
    <row r="31" spans="2:59">
      <c r="B31" s="563" t="s">
        <v>236</v>
      </c>
      <c r="C31" s="570"/>
      <c r="D31" s="569"/>
      <c r="E31" s="571" t="e">
        <v>#DIV/0!</v>
      </c>
      <c r="F31" s="563">
        <f t="shared" si="4"/>
        <v>0</v>
      </c>
      <c r="G31" s="571">
        <v>0</v>
      </c>
      <c r="H31" s="563" t="e">
        <f t="shared" si="5"/>
        <v>#DIV/0!</v>
      </c>
      <c r="I31" s="563" t="e">
        <v>#DIV/0!</v>
      </c>
      <c r="J31" s="563" t="e">
        <v>#DIV/0!</v>
      </c>
      <c r="K31" s="563" t="e">
        <v>#DIV/0!</v>
      </c>
      <c r="L31" s="572" t="e">
        <v>#DIV/0!</v>
      </c>
      <c r="M31" s="570" t="e">
        <f t="shared" si="6"/>
        <v>#DIV/0!</v>
      </c>
      <c r="N31" s="569" t="e">
        <f t="shared" si="7"/>
        <v>#DIV/0!</v>
      </c>
      <c r="O31" s="571" t="e">
        <v>#DIV/0!</v>
      </c>
      <c r="Q31" s="571">
        <v>0</v>
      </c>
      <c r="R31" s="563" t="e">
        <f t="shared" si="9"/>
        <v>#DIV/0!</v>
      </c>
      <c r="S31" s="572" t="e">
        <v>#DIV/0!</v>
      </c>
      <c r="T31" s="563" t="e">
        <v>#DIV/0!</v>
      </c>
      <c r="U31" s="563" t="e">
        <v>#DIV/0!</v>
      </c>
      <c r="V31" s="563" t="e">
        <v>#DIV/0!</v>
      </c>
      <c r="W31" s="570" t="e">
        <f t="shared" si="10"/>
        <v>#DIV/0!</v>
      </c>
      <c r="X31" s="573" t="e">
        <f t="shared" si="11"/>
        <v>#DIV/0!</v>
      </c>
      <c r="Y31" s="574" t="e">
        <v>#DIV/0!</v>
      </c>
      <c r="Z31" s="563">
        <f t="shared" si="16"/>
        <v>0</v>
      </c>
      <c r="AA31" s="571">
        <v>0</v>
      </c>
      <c r="AB31" s="563" t="e">
        <f t="shared" si="12"/>
        <v>#DIV/0!</v>
      </c>
      <c r="AC31" s="563" t="e">
        <v>#DIV/0!</v>
      </c>
      <c r="AD31" s="563" t="e">
        <v>#DIV/0!</v>
      </c>
      <c r="AE31" s="571" t="e">
        <v>#DIV/0!</v>
      </c>
      <c r="AF31" s="563" t="e">
        <v>#DIV/0!</v>
      </c>
      <c r="AG31" s="575" t="e">
        <f t="shared" si="20"/>
        <v>#DIV/0!</v>
      </c>
      <c r="AH31" s="573" t="e">
        <f t="shared" si="21"/>
        <v>#DIV/0!</v>
      </c>
      <c r="AI31" s="576" t="e">
        <v>#DIV/0!</v>
      </c>
      <c r="AJ31" s="563">
        <f t="shared" si="1"/>
        <v>0</v>
      </c>
      <c r="AK31" s="571">
        <v>0</v>
      </c>
      <c r="AL31" s="563" t="e">
        <f t="shared" si="19"/>
        <v>#DIV/0!</v>
      </c>
      <c r="AM31" s="563" t="e">
        <v>#DIV/0!</v>
      </c>
      <c r="AN31" s="563" t="e">
        <v>#DIV/0!</v>
      </c>
      <c r="AO31" s="563" t="e">
        <v>#DIV/0!</v>
      </c>
      <c r="AP31" s="571" t="e">
        <v>#DIV/0!</v>
      </c>
      <c r="AQ31" s="563" t="e">
        <f t="shared" si="13"/>
        <v>#DIV/0!</v>
      </c>
      <c r="AR31" s="563" t="e">
        <v>#DIV/0!</v>
      </c>
      <c r="AS31" s="563" t="e">
        <v>#DIV/0!</v>
      </c>
      <c r="AT31" s="563">
        <f t="shared" si="3"/>
        <v>0</v>
      </c>
      <c r="AU31" s="577">
        <v>0</v>
      </c>
      <c r="AV31" s="563" t="e">
        <f t="shared" si="14"/>
        <v>#DIV/0!</v>
      </c>
      <c r="AW31" s="563" t="e">
        <v>#DIV/0!</v>
      </c>
      <c r="AX31" s="563" t="e">
        <v>#DIV/0!</v>
      </c>
      <c r="AY31" s="571" t="e">
        <v>#DIV/0!</v>
      </c>
      <c r="AZ31" s="563" t="e">
        <v>#DIV/0!</v>
      </c>
      <c r="BD31" s="580"/>
      <c r="BF31" s="362">
        <f t="shared" si="15"/>
        <v>0</v>
      </c>
      <c r="BG31" s="578"/>
    </row>
    <row r="32" spans="2:59">
      <c r="B32" s="563" t="s">
        <v>237</v>
      </c>
      <c r="C32" s="570"/>
      <c r="D32" s="569"/>
      <c r="E32" s="571" t="e">
        <v>#DIV/0!</v>
      </c>
      <c r="F32" s="563">
        <f t="shared" si="4"/>
        <v>0</v>
      </c>
      <c r="G32" s="571">
        <v>0</v>
      </c>
      <c r="H32" s="563" t="e">
        <f t="shared" si="5"/>
        <v>#DIV/0!</v>
      </c>
      <c r="I32" s="563" t="e">
        <v>#DIV/0!</v>
      </c>
      <c r="J32" s="563" t="e">
        <v>#DIV/0!</v>
      </c>
      <c r="K32" s="563" t="e">
        <v>#DIV/0!</v>
      </c>
      <c r="L32" s="572" t="e">
        <v>#DIV/0!</v>
      </c>
      <c r="M32" s="570" t="e">
        <f t="shared" si="6"/>
        <v>#DIV/0!</v>
      </c>
      <c r="N32" s="569" t="e">
        <f t="shared" si="7"/>
        <v>#DIV/0!</v>
      </c>
      <c r="O32" s="571" t="e">
        <v>#DIV/0!</v>
      </c>
      <c r="Q32" s="571">
        <v>0</v>
      </c>
      <c r="R32" s="563" t="e">
        <f t="shared" si="9"/>
        <v>#DIV/0!</v>
      </c>
      <c r="S32" s="572" t="e">
        <v>#DIV/0!</v>
      </c>
      <c r="T32" s="563" t="e">
        <v>#DIV/0!</v>
      </c>
      <c r="U32" s="563" t="e">
        <v>#DIV/0!</v>
      </c>
      <c r="V32" s="563" t="e">
        <v>#DIV/0!</v>
      </c>
      <c r="W32" s="570" t="e">
        <f t="shared" si="10"/>
        <v>#DIV/0!</v>
      </c>
      <c r="X32" s="573" t="e">
        <f t="shared" si="11"/>
        <v>#DIV/0!</v>
      </c>
      <c r="Y32" s="574" t="e">
        <v>#DIV/0!</v>
      </c>
      <c r="Z32" s="563">
        <f t="shared" si="16"/>
        <v>0</v>
      </c>
      <c r="AA32" s="571">
        <v>0</v>
      </c>
      <c r="AB32" s="563" t="e">
        <f t="shared" si="12"/>
        <v>#DIV/0!</v>
      </c>
      <c r="AC32" s="563" t="e">
        <v>#DIV/0!</v>
      </c>
      <c r="AD32" s="563" t="e">
        <v>#DIV/0!</v>
      </c>
      <c r="AE32" s="571" t="e">
        <v>#DIV/0!</v>
      </c>
      <c r="AF32" s="563" t="e">
        <v>#DIV/0!</v>
      </c>
      <c r="AG32" s="575" t="e">
        <f t="shared" si="20"/>
        <v>#DIV/0!</v>
      </c>
      <c r="AH32" s="573" t="e">
        <f t="shared" si="21"/>
        <v>#DIV/0!</v>
      </c>
      <c r="AI32" s="576" t="e">
        <v>#DIV/0!</v>
      </c>
      <c r="AJ32" s="563">
        <f t="shared" si="1"/>
        <v>0</v>
      </c>
      <c r="AK32" s="571">
        <v>0</v>
      </c>
      <c r="AL32" s="563" t="e">
        <f t="shared" si="19"/>
        <v>#DIV/0!</v>
      </c>
      <c r="AM32" s="563" t="e">
        <v>#DIV/0!</v>
      </c>
      <c r="AN32" s="563" t="e">
        <v>#DIV/0!</v>
      </c>
      <c r="AO32" s="563" t="e">
        <v>#DIV/0!</v>
      </c>
      <c r="AP32" s="571" t="e">
        <v>#DIV/0!</v>
      </c>
      <c r="AQ32" s="563" t="e">
        <f t="shared" si="13"/>
        <v>#DIV/0!</v>
      </c>
      <c r="AR32" s="563" t="e">
        <v>#DIV/0!</v>
      </c>
      <c r="AS32" s="563" t="e">
        <v>#DIV/0!</v>
      </c>
      <c r="AT32" s="563">
        <f t="shared" si="3"/>
        <v>0</v>
      </c>
      <c r="AU32" s="577">
        <v>0</v>
      </c>
      <c r="AV32" s="563" t="e">
        <f t="shared" si="14"/>
        <v>#DIV/0!</v>
      </c>
      <c r="AW32" s="563" t="e">
        <v>#DIV/0!</v>
      </c>
      <c r="AX32" s="563" t="e">
        <v>#DIV/0!</v>
      </c>
      <c r="AY32" s="571" t="e">
        <v>#DIV/0!</v>
      </c>
      <c r="AZ32" s="563" t="e">
        <v>#DIV/0!</v>
      </c>
      <c r="BD32" s="580"/>
      <c r="BF32" s="362">
        <f t="shared" si="15"/>
        <v>0</v>
      </c>
      <c r="BG32" s="578"/>
    </row>
    <row r="33" spans="2:59">
      <c r="B33" s="563" t="s">
        <v>238</v>
      </c>
      <c r="C33" s="570"/>
      <c r="D33" s="569"/>
      <c r="E33" s="571" t="e">
        <v>#DIV/0!</v>
      </c>
      <c r="G33" s="571">
        <v>0</v>
      </c>
      <c r="H33" s="563" t="e">
        <f t="shared" si="5"/>
        <v>#DIV/0!</v>
      </c>
      <c r="I33" s="563" t="e">
        <v>#DIV/0!</v>
      </c>
      <c r="J33" s="563" t="e">
        <v>#DIV/0!</v>
      </c>
      <c r="K33" s="563" t="e">
        <v>#DIV/0!</v>
      </c>
      <c r="L33" s="572" t="e">
        <v>#DIV/0!</v>
      </c>
      <c r="N33" s="569"/>
      <c r="O33" s="571">
        <v>0</v>
      </c>
      <c r="Q33" s="571">
        <v>0</v>
      </c>
      <c r="S33" s="572" t="e">
        <v>#DIV/0!</v>
      </c>
      <c r="T33" s="563" t="e">
        <v>#DIV/0!</v>
      </c>
      <c r="U33" s="563" t="e">
        <v>#DIV/0!</v>
      </c>
      <c r="V33" s="563" t="e">
        <v>#DIV/0!</v>
      </c>
      <c r="W33" s="570"/>
      <c r="X33" s="573"/>
      <c r="Y33" s="574">
        <v>0</v>
      </c>
      <c r="AA33" s="571">
        <v>0</v>
      </c>
      <c r="AC33" s="563" t="e">
        <v>#DIV/0!</v>
      </c>
      <c r="AD33" s="563" t="e">
        <v>#DIV/0!</v>
      </c>
      <c r="AE33" s="571" t="e">
        <v>#DIV/0!</v>
      </c>
      <c r="AF33" s="563" t="e">
        <v>#DIV/0!</v>
      </c>
      <c r="AG33" s="575">
        <f t="shared" si="20"/>
        <v>0</v>
      </c>
      <c r="AH33" s="573"/>
      <c r="AI33" s="576">
        <v>0</v>
      </c>
      <c r="AK33" s="571">
        <v>0</v>
      </c>
      <c r="AM33" s="563" t="e">
        <v>#DIV/0!</v>
      </c>
      <c r="AN33" s="563" t="e">
        <v>#DIV/0!</v>
      </c>
      <c r="AO33" s="563" t="e">
        <v>#DIV/0!</v>
      </c>
      <c r="AP33" s="571" t="e">
        <v>#DIV/0!</v>
      </c>
      <c r="AQ33" s="563" t="e">
        <f t="shared" si="13"/>
        <v>#DIV/0!</v>
      </c>
      <c r="AR33" s="563" t="e">
        <v>#DIV/0!</v>
      </c>
      <c r="AS33" s="563">
        <v>0</v>
      </c>
      <c r="AU33" s="577">
        <v>0</v>
      </c>
      <c r="AW33" s="563" t="e">
        <v>#DIV/0!</v>
      </c>
      <c r="AX33" s="563" t="e">
        <v>#DIV/0!</v>
      </c>
      <c r="AY33" s="571" t="e">
        <v>#DIV/0!</v>
      </c>
      <c r="AZ33" s="563" t="e">
        <v>#DIV/0!</v>
      </c>
      <c r="BD33" s="580"/>
      <c r="BF33" s="362">
        <f t="shared" si="15"/>
        <v>0</v>
      </c>
      <c r="BG33" s="578"/>
    </row>
    <row r="34" spans="2:59">
      <c r="B34" s="579" t="s">
        <v>124</v>
      </c>
      <c r="C34" s="570">
        <f>D34*P34</f>
        <v>-5.5772863494172584E-2</v>
      </c>
      <c r="D34" s="569">
        <f>((E34/O34)-1)*100</f>
        <v>-31.430584918957017</v>
      </c>
      <c r="E34" s="571">
        <v>11.315057514416756</v>
      </c>
      <c r="F34" s="563">
        <f t="shared" si="4"/>
        <v>1.0781828256951165E-3</v>
      </c>
      <c r="G34" s="571">
        <v>1112.70334</v>
      </c>
      <c r="H34" s="563">
        <f t="shared" si="5"/>
        <v>0.16290416386605922</v>
      </c>
      <c r="I34" s="563">
        <v>0</v>
      </c>
      <c r="J34" s="563">
        <v>0</v>
      </c>
      <c r="K34" s="563">
        <v>0</v>
      </c>
      <c r="L34" s="572">
        <v>0</v>
      </c>
      <c r="M34" s="570">
        <f t="shared" si="6"/>
        <v>-0.30154971665458491</v>
      </c>
      <c r="N34" s="569">
        <f t="shared" si="7"/>
        <v>-64.433298169209024</v>
      </c>
      <c r="O34" s="571">
        <v>16.501610085259379</v>
      </c>
      <c r="P34" s="563">
        <f>Q34/Q$112</f>
        <v>1.7744774282114548E-3</v>
      </c>
      <c r="Q34" s="571">
        <v>1557.0403199999998</v>
      </c>
      <c r="R34" s="563">
        <f t="shared" si="9"/>
        <v>0.16290416386605922</v>
      </c>
      <c r="S34" s="572">
        <v>0</v>
      </c>
      <c r="T34" s="563">
        <v>3.3042265113794891E-2</v>
      </c>
      <c r="U34" s="563">
        <v>1.1125554801718139E-2</v>
      </c>
      <c r="V34" s="563">
        <v>1.0104715364714609E-2</v>
      </c>
      <c r="W34" s="570">
        <f t="shared" si="10"/>
        <v>2.0095744594562748E-2</v>
      </c>
      <c r="X34" s="573">
        <f t="shared" si="11"/>
        <v>4.4495028727770336</v>
      </c>
      <c r="Y34" s="574">
        <v>46.396233656317051</v>
      </c>
      <c r="Z34" s="563">
        <f t="shared" ref="Z34:Z40" si="22">AA34/$AA$112</f>
        <v>4.6800291964363165E-3</v>
      </c>
      <c r="AA34" s="571">
        <v>4581.3195000000005</v>
      </c>
      <c r="AB34" s="563">
        <f t="shared" si="12"/>
        <v>0.10863162858583159</v>
      </c>
      <c r="AC34" s="563">
        <v>9.1948120854275124E-3</v>
      </c>
      <c r="AD34" s="563">
        <v>1.0991227814199983E-2</v>
      </c>
      <c r="AE34" s="571">
        <v>9.2352959040041573E-3</v>
      </c>
      <c r="AF34" s="563">
        <v>8.8542804142937147E-3</v>
      </c>
      <c r="AG34" s="575">
        <f t="shared" si="20"/>
        <v>0.12179113866989014</v>
      </c>
      <c r="AH34" s="573">
        <f>((AI34/AS34)-1)*100</f>
        <v>21.088206917996779</v>
      </c>
      <c r="AI34" s="576">
        <v>44.419774513268102</v>
      </c>
      <c r="AJ34" s="563">
        <f t="shared" ref="AJ34:AJ40" si="23">AK34/$AK$112</f>
        <v>4.5164022069774613E-3</v>
      </c>
      <c r="AK34" s="571">
        <v>4536.4065000000001</v>
      </c>
      <c r="AL34" s="563">
        <f t="shared" ref="AL34:AL40" si="24">AM34+AN34+AO34+AP34+AV34</f>
        <v>7.0356012367906229E-2</v>
      </c>
      <c r="AM34" s="563">
        <v>8.6979217066225634E-3</v>
      </c>
      <c r="AN34" s="563">
        <v>8.76764029207764E-3</v>
      </c>
      <c r="AO34" s="563">
        <v>8.399407628473252E-3</v>
      </c>
      <c r="AP34" s="571">
        <v>7.932252725750483E-3</v>
      </c>
      <c r="AQ34" s="563">
        <f t="shared" si="13"/>
        <v>8.4804092680278442E-3</v>
      </c>
      <c r="AR34" s="563">
        <v>1.476668267303527</v>
      </c>
      <c r="AS34" s="563">
        <v>36.683815578630224</v>
      </c>
      <c r="AT34" s="563">
        <f t="shared" ref="AT34:AT40" si="25">AU34/$AU$112</f>
        <v>5.7753197862428496E-3</v>
      </c>
      <c r="AU34" s="577">
        <v>5106.4747799999996</v>
      </c>
      <c r="AV34" s="563">
        <f t="shared" ref="AV34:AV40" si="26">AW34+AX34+AY34+AZ34</f>
        <v>3.6558790014982294E-2</v>
      </c>
      <c r="AW34" s="563">
        <v>9.5762710163758164E-3</v>
      </c>
      <c r="AX34" s="563">
        <v>1.0095449248422405E-2</v>
      </c>
      <c r="AY34" s="571">
        <v>9.2215645237032368E-3</v>
      </c>
      <c r="AZ34" s="563">
        <v>7.6655052264808371E-3</v>
      </c>
      <c r="BD34" s="580">
        <v>108.973</v>
      </c>
      <c r="BE34" s="563">
        <v>46.86</v>
      </c>
      <c r="BF34" s="362">
        <f t="shared" si="15"/>
        <v>5106.4747799999996</v>
      </c>
      <c r="BG34" s="578">
        <f>+BF34/$BF$112</f>
        <v>5.7429345884932653E-3</v>
      </c>
    </row>
    <row r="35" spans="2:59">
      <c r="B35" s="579" t="s">
        <v>125</v>
      </c>
      <c r="C35" s="570">
        <f>D35*P35</f>
        <v>0.29083474525311809</v>
      </c>
      <c r="D35" s="569">
        <f>((E35/O35)-1)*100</f>
        <v>14.151704743634163</v>
      </c>
      <c r="E35" s="571">
        <v>36.751312460497267</v>
      </c>
      <c r="F35" s="563">
        <f t="shared" si="4"/>
        <v>1.9916912827812015E-2</v>
      </c>
      <c r="G35" s="571">
        <v>20554.59881</v>
      </c>
      <c r="H35" s="563">
        <f t="shared" si="5"/>
        <v>0.15825125939165666</v>
      </c>
      <c r="I35" s="563">
        <v>7.9754390318048339E-3</v>
      </c>
      <c r="J35" s="563">
        <v>8.1524779708258138E-3</v>
      </c>
      <c r="K35" s="563">
        <v>7.3259996304620018E-3</v>
      </c>
      <c r="L35" s="572">
        <v>7.9107517794253339E-3</v>
      </c>
      <c r="M35" s="570">
        <f t="shared" si="6"/>
        <v>-4.0425330504650393E-2</v>
      </c>
      <c r="N35" s="569">
        <f t="shared" si="7"/>
        <v>-2.096125049209363</v>
      </c>
      <c r="O35" s="571">
        <v>32.195149904273997</v>
      </c>
      <c r="P35" s="563">
        <f>Q35/Q$112</f>
        <v>2.0551216303742049E-2</v>
      </c>
      <c r="Q35" s="571">
        <v>18032.955449999998</v>
      </c>
      <c r="R35" s="563">
        <f t="shared" si="9"/>
        <v>0.12688659097913868</v>
      </c>
      <c r="S35" s="572">
        <v>7.8337614944674217E-3</v>
      </c>
      <c r="T35" s="563">
        <v>8.2739580738238165E-3</v>
      </c>
      <c r="U35" s="563">
        <v>7.193182875530368E-3</v>
      </c>
      <c r="V35" s="563">
        <v>7.0718813093325547E-3</v>
      </c>
      <c r="W35" s="570">
        <f t="shared" si="10"/>
        <v>0.16895378385488366</v>
      </c>
      <c r="X35" s="573">
        <f t="shared" si="11"/>
        <v>10.056671592313226</v>
      </c>
      <c r="Y35" s="574">
        <v>32.884449078707277</v>
      </c>
      <c r="Z35" s="563">
        <f t="shared" si="22"/>
        <v>1.9285743720251047E-2</v>
      </c>
      <c r="AA35" s="571">
        <v>18878.974910000001</v>
      </c>
      <c r="AB35" s="563">
        <f t="shared" si="12"/>
        <v>9.6513807225984516E-2</v>
      </c>
      <c r="AC35" s="563">
        <v>6.9031684351536469E-3</v>
      </c>
      <c r="AD35" s="563">
        <v>6.9157233773748071E-3</v>
      </c>
      <c r="AE35" s="571">
        <v>6.1868280880768931E-3</v>
      </c>
      <c r="AF35" s="563">
        <v>5.9398368985820989E-3</v>
      </c>
      <c r="AG35" s="575">
        <f t="shared" si="20"/>
        <v>0.50245199075378688</v>
      </c>
      <c r="AH35" s="573">
        <f>((AI35/AS35)-1)*100</f>
        <v>32.437969894153859</v>
      </c>
      <c r="AI35" s="576">
        <v>29.879559869411906</v>
      </c>
      <c r="AJ35" s="563">
        <f t="shared" si="23"/>
        <v>1.6800169151792006E-2</v>
      </c>
      <c r="AK35" s="571">
        <v>16874.58137</v>
      </c>
      <c r="AL35" s="563">
        <f t="shared" si="24"/>
        <v>7.0568250426797069E-2</v>
      </c>
      <c r="AM35" s="563">
        <v>6.481360490475623E-3</v>
      </c>
      <c r="AN35" s="563">
        <v>7.3029782514806071E-3</v>
      </c>
      <c r="AO35" s="563">
        <v>6.8511112588968606E-3</v>
      </c>
      <c r="AP35" s="571">
        <v>7.3647193366133731E-3</v>
      </c>
      <c r="AQ35" s="563">
        <f t="shared" si="13"/>
        <v>-0.31494349544652889</v>
      </c>
      <c r="AR35" s="563">
        <v>-20.447202839304957</v>
      </c>
      <c r="AS35" s="563">
        <v>22.561173274773115</v>
      </c>
      <c r="AT35" s="563">
        <f t="shared" si="25"/>
        <v>1.548962504106465E-2</v>
      </c>
      <c r="AU35" s="577">
        <v>13695.75756</v>
      </c>
      <c r="AV35" s="563">
        <f t="shared" si="26"/>
        <v>4.2568081089330613E-2</v>
      </c>
      <c r="AW35" s="563">
        <v>7.6518758245088473E-3</v>
      </c>
      <c r="AX35" s="563">
        <v>7.9608938866524738E-3</v>
      </c>
      <c r="AY35" s="571">
        <v>8.1850848409524644E-3</v>
      </c>
      <c r="AZ35" s="563">
        <v>1.8770226537216828E-2</v>
      </c>
      <c r="BD35" s="580">
        <v>502.22800000000001</v>
      </c>
      <c r="BE35" s="563">
        <v>27.27</v>
      </c>
      <c r="BF35" s="362">
        <f t="shared" si="15"/>
        <v>13695.75756</v>
      </c>
      <c r="BG35" s="578">
        <f>+BF35/$BF$112</f>
        <v>1.5402766721770069E-2</v>
      </c>
    </row>
    <row r="36" spans="2:59">
      <c r="B36" s="579" t="s">
        <v>126</v>
      </c>
      <c r="C36" s="570">
        <f>D36*P36</f>
        <v>8.4962708620516733E-2</v>
      </c>
      <c r="D36" s="569">
        <f>((E36/O36)-1)*100</f>
        <v>14.948074083685835</v>
      </c>
      <c r="E36" s="571">
        <v>127.2807226833753</v>
      </c>
      <c r="F36" s="563">
        <f t="shared" si="4"/>
        <v>5.653027348135848E-3</v>
      </c>
      <c r="G36" s="571">
        <v>5834.0220800000006</v>
      </c>
      <c r="H36" s="563">
        <f t="shared" si="5"/>
        <v>0.16472110801038906</v>
      </c>
      <c r="I36" s="563">
        <v>9.0944266650529737E-3</v>
      </c>
      <c r="J36" s="563">
        <v>9.2298897759490843E-3</v>
      </c>
      <c r="K36" s="563">
        <v>1.012459392426677E-2</v>
      </c>
      <c r="L36" s="572">
        <v>1.006301668849178E-2</v>
      </c>
      <c r="M36" s="570">
        <f t="shared" si="6"/>
        <v>-3.2913784341893577E-2</v>
      </c>
      <c r="N36" s="569">
        <f t="shared" si="7"/>
        <v>-5.8961147327112666</v>
      </c>
      <c r="O36" s="571">
        <v>110.72888667165569</v>
      </c>
      <c r="P36" s="563">
        <f>Q36/Q$112</f>
        <v>5.683856538632231E-3</v>
      </c>
      <c r="Q36" s="571">
        <v>4987.3803199999993</v>
      </c>
      <c r="R36" s="563">
        <f t="shared" si="9"/>
        <v>0.12620918095662845</v>
      </c>
      <c r="S36" s="572">
        <v>9.4276714089158026E-3</v>
      </c>
      <c r="T36" s="563">
        <v>9.3419884852042889E-3</v>
      </c>
      <c r="U36" s="563">
        <v>8.4619133537032765E-3</v>
      </c>
      <c r="V36" s="563">
        <v>7.9563078270707115E-3</v>
      </c>
      <c r="W36" s="570">
        <f t="shared" si="10"/>
        <v>-1.186720157792279E-2</v>
      </c>
      <c r="X36" s="573">
        <f t="shared" si="11"/>
        <v>-2.0786036087071857</v>
      </c>
      <c r="Y36" s="574">
        <v>117.66664719224504</v>
      </c>
      <c r="Z36" s="563">
        <f t="shared" si="22"/>
        <v>5.5822835602723289E-3</v>
      </c>
      <c r="AA36" s="571">
        <v>5464.5437999999995</v>
      </c>
      <c r="AB36" s="563">
        <f t="shared" si="12"/>
        <v>9.1021299881734366E-2</v>
      </c>
      <c r="AC36" s="563">
        <v>7.9336048132048077E-3</v>
      </c>
      <c r="AD36" s="563">
        <v>8.1427001934783177E-3</v>
      </c>
      <c r="AE36" s="571">
        <v>7.557970808627433E-3</v>
      </c>
      <c r="AF36" s="563">
        <v>6.8946711570908427E-3</v>
      </c>
      <c r="AG36" s="575">
        <f t="shared" si="20"/>
        <v>0.13003060585125978</v>
      </c>
      <c r="AH36" s="573">
        <f>((AI36/AS36)-1)*100</f>
        <v>21.317521513477544</v>
      </c>
      <c r="AI36" s="576">
        <v>120.16438850815651</v>
      </c>
      <c r="AJ36" s="563">
        <f t="shared" si="23"/>
        <v>5.7092182117896685E-3</v>
      </c>
      <c r="AK36" s="571">
        <v>5734.5057900000002</v>
      </c>
      <c r="AL36" s="563">
        <f t="shared" si="24"/>
        <v>6.0492352909332969E-2</v>
      </c>
      <c r="AM36" s="563">
        <v>6.9732532411187053E-3</v>
      </c>
      <c r="AN36" s="563">
        <v>7.1860751346376397E-3</v>
      </c>
      <c r="AO36" s="563">
        <v>7.5643666369905231E-3</v>
      </c>
      <c r="AP36" s="571">
        <v>7.3254444488138276E-3</v>
      </c>
      <c r="AQ36" s="563">
        <f t="shared" si="13"/>
        <v>5.1051470455358218E-2</v>
      </c>
      <c r="AR36" s="563">
        <v>8.4166941630796632</v>
      </c>
      <c r="AS36" s="563">
        <v>99.04949178738957</v>
      </c>
      <c r="AT36" s="563">
        <f t="shared" si="25"/>
        <v>6.0997056233319958E-3</v>
      </c>
      <c r="AU36" s="577">
        <v>5393.2932000000001</v>
      </c>
      <c r="AV36" s="563">
        <f t="shared" si="26"/>
        <v>3.1443213447772275E-2</v>
      </c>
      <c r="AW36" s="563">
        <v>7.570029786519725E-3</v>
      </c>
      <c r="AX36" s="563">
        <v>8.5142737129581623E-3</v>
      </c>
      <c r="AY36" s="571">
        <v>7.727061218370709E-3</v>
      </c>
      <c r="AZ36" s="563">
        <v>7.6318487299236815E-3</v>
      </c>
      <c r="BD36" s="580">
        <v>50.499000000000002</v>
      </c>
      <c r="BE36" s="563">
        <v>106.8</v>
      </c>
      <c r="BF36" s="362">
        <f t="shared" si="15"/>
        <v>5393.2932000000001</v>
      </c>
      <c r="BG36" s="578">
        <f>+BF36/$BF$112</f>
        <v>6.0655014268308069E-3</v>
      </c>
    </row>
    <row r="37" spans="2:59">
      <c r="B37" s="563" t="s">
        <v>239</v>
      </c>
      <c r="C37" s="570"/>
      <c r="D37" s="569"/>
      <c r="E37" s="571" t="e">
        <v>#DIV/0!</v>
      </c>
      <c r="F37" s="563">
        <f t="shared" si="4"/>
        <v>0</v>
      </c>
      <c r="G37" s="571">
        <v>0</v>
      </c>
      <c r="H37" s="563" t="e">
        <f t="shared" si="5"/>
        <v>#DIV/0!</v>
      </c>
      <c r="I37" s="563" t="e">
        <v>#DIV/0!</v>
      </c>
      <c r="J37" s="563" t="e">
        <v>#DIV/0!</v>
      </c>
      <c r="K37" s="563" t="e">
        <v>#DIV/0!</v>
      </c>
      <c r="L37" s="572" t="e">
        <v>#DIV/0!</v>
      </c>
      <c r="M37" s="570" t="e">
        <f t="shared" si="6"/>
        <v>#DIV/0!</v>
      </c>
      <c r="N37" s="569" t="e">
        <f t="shared" si="7"/>
        <v>#DIV/0!</v>
      </c>
      <c r="O37" s="571" t="e">
        <v>#DIV/0!</v>
      </c>
      <c r="Q37" s="571">
        <v>0</v>
      </c>
      <c r="R37" s="563" t="e">
        <f t="shared" si="9"/>
        <v>#DIV/0!</v>
      </c>
      <c r="S37" s="572" t="e">
        <v>#DIV/0!</v>
      </c>
      <c r="T37" s="563" t="e">
        <v>#DIV/0!</v>
      </c>
      <c r="U37" s="563" t="e">
        <v>#DIV/0!</v>
      </c>
      <c r="V37" s="563" t="e">
        <v>#DIV/0!</v>
      </c>
      <c r="W37" s="570" t="e">
        <f t="shared" si="10"/>
        <v>#DIV/0!</v>
      </c>
      <c r="X37" s="573" t="e">
        <f t="shared" si="11"/>
        <v>#DIV/0!</v>
      </c>
      <c r="Y37" s="574" t="e">
        <v>#DIV/0!</v>
      </c>
      <c r="Z37" s="563">
        <f t="shared" si="22"/>
        <v>0</v>
      </c>
      <c r="AA37" s="571">
        <v>0</v>
      </c>
      <c r="AB37" s="563" t="e">
        <f t="shared" si="12"/>
        <v>#DIV/0!</v>
      </c>
      <c r="AC37" s="563" t="e">
        <v>#DIV/0!</v>
      </c>
      <c r="AD37" s="563" t="e">
        <v>#DIV/0!</v>
      </c>
      <c r="AE37" s="571" t="e">
        <v>#DIV/0!</v>
      </c>
      <c r="AF37" s="563" t="e">
        <v>#DIV/0!</v>
      </c>
      <c r="AG37" s="575" t="e">
        <f t="shared" si="20"/>
        <v>#DIV/0!</v>
      </c>
      <c r="AH37" s="573" t="e">
        <f>((AI37/AS37)-1)*100</f>
        <v>#DIV/0!</v>
      </c>
      <c r="AI37" s="576" t="e">
        <v>#DIV/0!</v>
      </c>
      <c r="AJ37" s="563">
        <f t="shared" si="23"/>
        <v>0</v>
      </c>
      <c r="AK37" s="571">
        <v>0</v>
      </c>
      <c r="AL37" s="563" t="e">
        <f t="shared" si="24"/>
        <v>#DIV/0!</v>
      </c>
      <c r="AM37" s="563" t="e">
        <v>#DIV/0!</v>
      </c>
      <c r="AN37" s="563" t="e">
        <v>#DIV/0!</v>
      </c>
      <c r="AO37" s="563" t="e">
        <v>#DIV/0!</v>
      </c>
      <c r="AP37" s="571" t="e">
        <v>#DIV/0!</v>
      </c>
      <c r="AQ37" s="563" t="e">
        <f t="shared" si="13"/>
        <v>#DIV/0!</v>
      </c>
      <c r="AR37" s="563" t="e">
        <v>#DIV/0!</v>
      </c>
      <c r="AS37" s="563" t="e">
        <v>#DIV/0!</v>
      </c>
      <c r="AT37" s="563">
        <f t="shared" si="25"/>
        <v>0</v>
      </c>
      <c r="AU37" s="577">
        <v>0</v>
      </c>
      <c r="AV37" s="563" t="e">
        <f t="shared" si="26"/>
        <v>#DIV/0!</v>
      </c>
      <c r="AW37" s="563" t="e">
        <v>#DIV/0!</v>
      </c>
      <c r="AX37" s="563" t="e">
        <v>#DIV/0!</v>
      </c>
      <c r="AY37" s="571" t="e">
        <v>#DIV/0!</v>
      </c>
      <c r="AZ37" s="563" t="e">
        <v>#DIV/0!</v>
      </c>
      <c r="BD37" s="580"/>
      <c r="BF37" s="362">
        <f t="shared" si="15"/>
        <v>0</v>
      </c>
      <c r="BG37" s="578"/>
    </row>
    <row r="38" spans="2:59">
      <c r="B38" s="563" t="s">
        <v>240</v>
      </c>
      <c r="C38" s="570"/>
      <c r="D38" s="569"/>
      <c r="E38" s="571" t="e">
        <v>#DIV/0!</v>
      </c>
      <c r="G38" s="571">
        <v>0</v>
      </c>
      <c r="H38" s="563" t="e">
        <f t="shared" si="5"/>
        <v>#DIV/0!</v>
      </c>
      <c r="I38" s="563" t="e">
        <v>#DIV/0!</v>
      </c>
      <c r="J38" s="563" t="e">
        <v>#DIV/0!</v>
      </c>
      <c r="K38" s="563" t="e">
        <v>#DIV/0!</v>
      </c>
      <c r="L38" s="572" t="e">
        <v>#DIV/0!</v>
      </c>
      <c r="N38" s="569"/>
      <c r="O38" s="571">
        <v>0</v>
      </c>
      <c r="Q38" s="571">
        <v>0</v>
      </c>
      <c r="S38" s="572" t="e">
        <v>#VALUE!</v>
      </c>
      <c r="T38" s="563" t="e">
        <v>#VALUE!</v>
      </c>
      <c r="U38" s="563" t="e">
        <v>#VALUE!</v>
      </c>
      <c r="V38" s="563" t="e">
        <v>#VALUE!</v>
      </c>
      <c r="W38" s="570" t="s">
        <v>96</v>
      </c>
      <c r="X38" s="573" t="s">
        <v>96</v>
      </c>
      <c r="Y38" s="574" t="e">
        <v>#VALUE!</v>
      </c>
      <c r="Z38" s="563">
        <f t="shared" si="22"/>
        <v>0</v>
      </c>
      <c r="AA38" s="571">
        <v>0</v>
      </c>
      <c r="AB38" s="563" t="s">
        <v>96</v>
      </c>
      <c r="AC38" s="563" t="e">
        <v>#DIV/0!</v>
      </c>
      <c r="AD38" s="563" t="e">
        <v>#DIV/0!</v>
      </c>
      <c r="AE38" s="571" t="e">
        <v>#DIV/0!</v>
      </c>
      <c r="AF38" s="563" t="e">
        <v>#DIV/0!</v>
      </c>
      <c r="AG38" s="575"/>
      <c r="AH38" s="573"/>
      <c r="AI38" s="576" t="e">
        <v>#DIV/0!</v>
      </c>
      <c r="AJ38" s="563">
        <f t="shared" si="23"/>
        <v>0</v>
      </c>
      <c r="AK38" s="571">
        <v>0</v>
      </c>
      <c r="AL38" s="563" t="e">
        <f t="shared" si="24"/>
        <v>#DIV/0!</v>
      </c>
      <c r="AM38" s="563" t="e">
        <v>#DIV/0!</v>
      </c>
      <c r="AN38" s="563" t="e">
        <v>#DIV/0!</v>
      </c>
      <c r="AO38" s="563" t="e">
        <v>#DIV/0!</v>
      </c>
      <c r="AP38" s="571" t="e">
        <v>#DIV/0!</v>
      </c>
      <c r="AQ38" s="563" t="e">
        <f t="shared" si="13"/>
        <v>#DIV/0!</v>
      </c>
      <c r="AR38" s="563" t="e">
        <v>#DIV/0!</v>
      </c>
      <c r="AS38" s="563" t="e">
        <v>#DIV/0!</v>
      </c>
      <c r="AT38" s="563">
        <f t="shared" si="25"/>
        <v>0</v>
      </c>
      <c r="AU38" s="577">
        <v>0</v>
      </c>
      <c r="AV38" s="563" t="e">
        <f t="shared" si="26"/>
        <v>#DIV/0!</v>
      </c>
      <c r="AW38" s="563" t="e">
        <v>#DIV/0!</v>
      </c>
      <c r="AX38" s="563" t="e">
        <v>#DIV/0!</v>
      </c>
      <c r="AY38" s="571" t="e">
        <v>#DIV/0!</v>
      </c>
      <c r="AZ38" s="563" t="e">
        <v>#DIV/0!</v>
      </c>
      <c r="BD38" s="580"/>
      <c r="BF38" s="362">
        <f t="shared" si="15"/>
        <v>0</v>
      </c>
      <c r="BG38" s="578"/>
    </row>
    <row r="39" spans="2:59">
      <c r="B39" s="579" t="s">
        <v>557</v>
      </c>
      <c r="C39" s="570">
        <f>D39*P39</f>
        <v>0.31967361506738279</v>
      </c>
      <c r="D39" s="569">
        <f>((E39/O39)-1)*100</f>
        <v>23.35334257786721</v>
      </c>
      <c r="E39" s="571">
        <v>75.015312566793895</v>
      </c>
      <c r="F39" s="563">
        <f t="shared" si="4"/>
        <v>1.3735200810873252E-2</v>
      </c>
      <c r="G39" s="571">
        <v>14174.965</v>
      </c>
      <c r="H39" s="563">
        <f t="shared" si="5"/>
        <v>0.21877030977731773</v>
      </c>
      <c r="I39" s="563">
        <v>1.307556847794205E-2</v>
      </c>
      <c r="J39" s="563">
        <v>1.2364372870752942E-2</v>
      </c>
      <c r="K39" s="563">
        <v>1.430104475104481E-2</v>
      </c>
      <c r="L39" s="572">
        <v>1.4022422887923434E-2</v>
      </c>
      <c r="M39" s="570">
        <f t="shared" si="6"/>
        <v>-0.19602830579766142</v>
      </c>
      <c r="N39" s="569">
        <f t="shared" si="7"/>
        <v>-13.263682013000878</v>
      </c>
      <c r="O39" s="571">
        <v>60.813360221219966</v>
      </c>
      <c r="P39" s="563">
        <f>Q39/Q$112</f>
        <v>1.3688559314431879E-2</v>
      </c>
      <c r="Q39" s="571">
        <v>12011.220000000001</v>
      </c>
      <c r="R39" s="563">
        <f t="shared" si="9"/>
        <v>0.16500690078965449</v>
      </c>
      <c r="S39" s="572">
        <v>1.4165055282345705E-2</v>
      </c>
      <c r="T39" s="563">
        <v>1.3737210823351557E-2</v>
      </c>
      <c r="U39" s="563">
        <v>1.1798188942428728E-2</v>
      </c>
      <c r="V39" s="563">
        <v>1.1165110728006905E-2</v>
      </c>
      <c r="W39" s="570">
        <f t="shared" si="10"/>
        <v>-7.6610777236388483E-2</v>
      </c>
      <c r="X39" s="573">
        <f t="shared" si="11"/>
        <v>-4.8827086067647301</v>
      </c>
      <c r="Y39" s="574">
        <v>70.112914212400923</v>
      </c>
      <c r="Z39" s="563">
        <f t="shared" si="22"/>
        <v>1.4779327912529658E-2</v>
      </c>
      <c r="AA39" s="571">
        <v>14467.607</v>
      </c>
      <c r="AB39" s="563">
        <f t="shared" si="12"/>
        <v>0.1141413350135216</v>
      </c>
      <c r="AC39" s="563">
        <v>1.0739451039788834E-2</v>
      </c>
      <c r="AD39" s="563">
        <v>1.0533120656550286E-2</v>
      </c>
      <c r="AE39" s="571">
        <v>9.5053722815008086E-3</v>
      </c>
      <c r="AF39" s="563">
        <v>9.0001892453172895E-3</v>
      </c>
      <c r="AG39" s="575">
        <f t="shared" ref="AG39:AG51" si="27">AH39*AT39</f>
        <v>0.48279256609206123</v>
      </c>
      <c r="AH39" s="573">
        <f>((AI39/AS39)-1)*100</f>
        <v>27.955254459296963</v>
      </c>
      <c r="AI39" s="576">
        <v>73.712059274836903</v>
      </c>
      <c r="AJ39" s="563">
        <f t="shared" si="23"/>
        <v>1.5690221024094776E-2</v>
      </c>
      <c r="AK39" s="571">
        <v>15759.716999999999</v>
      </c>
      <c r="AL39" s="563">
        <f t="shared" si="24"/>
        <v>7.4363201790364375E-2</v>
      </c>
      <c r="AM39" s="563">
        <v>8.8905855241568823E-3</v>
      </c>
      <c r="AN39" s="563">
        <v>9.0862811780094196E-3</v>
      </c>
      <c r="AO39" s="563">
        <v>9.2703467443973741E-3</v>
      </c>
      <c r="AP39" s="571">
        <v>9.326680325712702E-3</v>
      </c>
      <c r="AQ39" s="563">
        <f t="shared" si="13"/>
        <v>0.15637128096637901</v>
      </c>
      <c r="AR39" s="563">
        <v>9.1054630456137495</v>
      </c>
      <c r="AS39" s="563">
        <v>57.607684488084061</v>
      </c>
      <c r="AT39" s="563">
        <f t="shared" si="25"/>
        <v>1.7270190360635436E-2</v>
      </c>
      <c r="AU39" s="577">
        <v>15270.114</v>
      </c>
      <c r="AV39" s="563">
        <f t="shared" si="26"/>
        <v>3.7789308018088004E-2</v>
      </c>
      <c r="AW39" s="563">
        <v>9.9066335942488565E-3</v>
      </c>
      <c r="AX39" s="563">
        <v>1.0113604492626181E-2</v>
      </c>
      <c r="AY39" s="571">
        <v>8.595591275445482E-3</v>
      </c>
      <c r="AZ39" s="563">
        <v>9.1734786557674843E-3</v>
      </c>
      <c r="BD39" s="580">
        <v>234.6</v>
      </c>
      <c r="BE39" s="563">
        <v>65.09</v>
      </c>
      <c r="BF39" s="362">
        <f t="shared" si="15"/>
        <v>15270.114</v>
      </c>
      <c r="BG39" s="578">
        <f>+BF39/$BF$112</f>
        <v>1.7173347492932346E-2</v>
      </c>
    </row>
    <row r="40" spans="2:59">
      <c r="B40" s="563" t="s">
        <v>127</v>
      </c>
      <c r="C40" s="570"/>
      <c r="D40" s="569"/>
      <c r="E40" s="571" t="e">
        <v>#DIV/0!</v>
      </c>
      <c r="F40" s="563">
        <f t="shared" si="4"/>
        <v>0</v>
      </c>
      <c r="G40" s="571">
        <v>0</v>
      </c>
      <c r="H40" s="563" t="e">
        <f t="shared" si="5"/>
        <v>#DIV/0!</v>
      </c>
      <c r="I40" s="563" t="e">
        <v>#DIV/0!</v>
      </c>
      <c r="J40" s="563" t="e">
        <v>#DIV/0!</v>
      </c>
      <c r="K40" s="563" t="e">
        <v>#DIV/0!</v>
      </c>
      <c r="L40" s="572" t="e">
        <v>#DIV/0!</v>
      </c>
      <c r="M40" s="570" t="e">
        <f t="shared" si="6"/>
        <v>#DIV/0!</v>
      </c>
      <c r="N40" s="569" t="e">
        <f t="shared" si="7"/>
        <v>#DIV/0!</v>
      </c>
      <c r="O40" s="571" t="e">
        <v>#DIV/0!</v>
      </c>
      <c r="Q40" s="571">
        <v>0</v>
      </c>
      <c r="R40" s="563" t="e">
        <f t="shared" si="9"/>
        <v>#DIV/0!</v>
      </c>
      <c r="S40" s="572" t="e">
        <v>#DIV/0!</v>
      </c>
      <c r="T40" s="563" t="e">
        <v>#DIV/0!</v>
      </c>
      <c r="U40" s="563" t="e">
        <v>#DIV/0!</v>
      </c>
      <c r="V40" s="563" t="e">
        <v>#DIV/0!</v>
      </c>
      <c r="W40" s="570" t="e">
        <f t="shared" si="10"/>
        <v>#DIV/0!</v>
      </c>
      <c r="X40" s="573" t="e">
        <f t="shared" si="11"/>
        <v>#DIV/0!</v>
      </c>
      <c r="Y40" s="574" t="e">
        <v>#DIV/0!</v>
      </c>
      <c r="Z40" s="563">
        <f t="shared" si="22"/>
        <v>0</v>
      </c>
      <c r="AA40" s="571">
        <v>0</v>
      </c>
      <c r="AB40" s="563" t="e">
        <f t="shared" si="12"/>
        <v>#DIV/0!</v>
      </c>
      <c r="AC40" s="563" t="e">
        <v>#DIV/0!</v>
      </c>
      <c r="AD40" s="563" t="e">
        <v>#DIV/0!</v>
      </c>
      <c r="AE40" s="571" t="e">
        <v>#DIV/0!</v>
      </c>
      <c r="AF40" s="563" t="e">
        <v>#DIV/0!</v>
      </c>
      <c r="AG40" s="575" t="e">
        <f t="shared" si="27"/>
        <v>#DIV/0!</v>
      </c>
      <c r="AH40" s="573" t="e">
        <f>((AI40/AS40)-1)*100</f>
        <v>#DIV/0!</v>
      </c>
      <c r="AI40" s="576" t="e">
        <v>#DIV/0!</v>
      </c>
      <c r="AJ40" s="563">
        <f t="shared" si="23"/>
        <v>0</v>
      </c>
      <c r="AK40" s="571">
        <v>0</v>
      </c>
      <c r="AL40" s="563" t="e">
        <f t="shared" si="24"/>
        <v>#DIV/0!</v>
      </c>
      <c r="AM40" s="563" t="e">
        <v>#DIV/0!</v>
      </c>
      <c r="AN40" s="563" t="e">
        <v>#DIV/0!</v>
      </c>
      <c r="AO40" s="563" t="e">
        <v>#DIV/0!</v>
      </c>
      <c r="AP40" s="571" t="e">
        <v>#DIV/0!</v>
      </c>
      <c r="AQ40" s="563" t="e">
        <f t="shared" si="13"/>
        <v>#DIV/0!</v>
      </c>
      <c r="AR40" s="563" t="e">
        <v>#DIV/0!</v>
      </c>
      <c r="AS40" s="563" t="e">
        <v>#DIV/0!</v>
      </c>
      <c r="AT40" s="563">
        <f t="shared" si="25"/>
        <v>0</v>
      </c>
      <c r="AU40" s="577">
        <v>0</v>
      </c>
      <c r="AV40" s="563" t="e">
        <f t="shared" si="26"/>
        <v>#DIV/0!</v>
      </c>
      <c r="AW40" s="563" t="e">
        <v>#DIV/0!</v>
      </c>
      <c r="AX40" s="563" t="e">
        <v>#DIV/0!</v>
      </c>
      <c r="AY40" s="571" t="e">
        <v>#DIV/0!</v>
      </c>
      <c r="AZ40" s="563" t="e">
        <v>#DIV/0!</v>
      </c>
      <c r="BD40" s="580"/>
      <c r="BF40" s="362">
        <f t="shared" si="15"/>
        <v>0</v>
      </c>
      <c r="BG40" s="578">
        <f>+BF40/$BF$112</f>
        <v>0</v>
      </c>
    </row>
    <row r="41" spans="2:59">
      <c r="B41" s="563" t="s">
        <v>241</v>
      </c>
      <c r="C41" s="570"/>
      <c r="D41" s="569"/>
      <c r="E41" s="571" t="e">
        <v>#DIV/0!</v>
      </c>
      <c r="G41" s="571">
        <v>0</v>
      </c>
      <c r="H41" s="563" t="e">
        <f t="shared" si="5"/>
        <v>#DIV/0!</v>
      </c>
      <c r="I41" s="563" t="e">
        <v>#DIV/0!</v>
      </c>
      <c r="J41" s="563" t="e">
        <v>#DIV/0!</v>
      </c>
      <c r="K41" s="563" t="e">
        <v>#DIV/0!</v>
      </c>
      <c r="L41" s="572" t="e">
        <v>#DIV/0!</v>
      </c>
      <c r="M41" s="570"/>
      <c r="N41" s="569"/>
      <c r="O41" s="571">
        <v>0</v>
      </c>
      <c r="Q41" s="571">
        <v>0</v>
      </c>
      <c r="S41" s="572" t="e">
        <v>#DIV/0!</v>
      </c>
      <c r="T41" s="563" t="e">
        <v>#DIV/0!</v>
      </c>
      <c r="U41" s="563" t="e">
        <v>#DIV/0!</v>
      </c>
      <c r="V41" s="563" t="e">
        <v>#DIV/0!</v>
      </c>
      <c r="W41" s="570"/>
      <c r="X41" s="573"/>
      <c r="Y41" s="574">
        <v>0</v>
      </c>
      <c r="AA41" s="571">
        <v>0</v>
      </c>
      <c r="AC41" s="563" t="e">
        <v>#DIV/0!</v>
      </c>
      <c r="AD41" s="563" t="e">
        <v>#DIV/0!</v>
      </c>
      <c r="AE41" s="571" t="e">
        <v>#DIV/0!</v>
      </c>
      <c r="AF41" s="563" t="e">
        <v>#DIV/0!</v>
      </c>
      <c r="AG41" s="575">
        <f t="shared" si="27"/>
        <v>0</v>
      </c>
      <c r="AH41" s="573"/>
      <c r="AI41" s="576">
        <v>0</v>
      </c>
      <c r="AK41" s="571">
        <v>0</v>
      </c>
      <c r="AM41" s="563" t="e">
        <v>#DIV/0!</v>
      </c>
      <c r="AN41" s="563" t="e">
        <v>#DIV/0!</v>
      </c>
      <c r="AO41" s="563" t="e">
        <v>#DIV/0!</v>
      </c>
      <c r="AP41" s="571" t="e">
        <v>#DIV/0!</v>
      </c>
      <c r="AQ41" s="563" t="e">
        <f t="shared" si="13"/>
        <v>#DIV/0!</v>
      </c>
      <c r="AR41" s="563" t="e">
        <v>#DIV/0!</v>
      </c>
      <c r="AS41" s="563">
        <v>0</v>
      </c>
      <c r="AU41" s="577">
        <v>0</v>
      </c>
      <c r="AW41" s="563" t="e">
        <v>#DIV/0!</v>
      </c>
      <c r="AX41" s="563" t="e">
        <v>#DIV/0!</v>
      </c>
      <c r="AY41" s="571" t="e">
        <v>#DIV/0!</v>
      </c>
      <c r="AZ41" s="563" t="e">
        <v>#DIV/0!</v>
      </c>
      <c r="BD41" s="580"/>
      <c r="BF41" s="362">
        <f t="shared" si="15"/>
        <v>0</v>
      </c>
      <c r="BG41" s="578"/>
    </row>
    <row r="42" spans="2:59">
      <c r="B42" s="563" t="s">
        <v>242</v>
      </c>
      <c r="C42" s="570"/>
      <c r="D42" s="569"/>
      <c r="E42" s="571" t="e">
        <v>#DIV/0!</v>
      </c>
      <c r="F42" s="563">
        <f t="shared" si="4"/>
        <v>0</v>
      </c>
      <c r="G42" s="571">
        <v>0</v>
      </c>
      <c r="H42" s="563" t="e">
        <f t="shared" si="5"/>
        <v>#DIV/0!</v>
      </c>
      <c r="I42" s="563" t="e">
        <v>#DIV/0!</v>
      </c>
      <c r="J42" s="563" t="e">
        <v>#DIV/0!</v>
      </c>
      <c r="K42" s="563" t="e">
        <v>#DIV/0!</v>
      </c>
      <c r="L42" s="572" t="e">
        <v>#DIV/0!</v>
      </c>
      <c r="M42" s="570" t="e">
        <f t="shared" si="6"/>
        <v>#DIV/0!</v>
      </c>
      <c r="N42" s="569" t="e">
        <f t="shared" si="7"/>
        <v>#DIV/0!</v>
      </c>
      <c r="O42" s="571" t="e">
        <v>#DIV/0!</v>
      </c>
      <c r="Q42" s="571">
        <v>0</v>
      </c>
      <c r="R42" s="563" t="e">
        <f t="shared" si="9"/>
        <v>#DIV/0!</v>
      </c>
      <c r="S42" s="572" t="e">
        <v>#DIV/0!</v>
      </c>
      <c r="T42" s="563" t="e">
        <v>#DIV/0!</v>
      </c>
      <c r="U42" s="563" t="e">
        <v>#DIV/0!</v>
      </c>
      <c r="V42" s="563" t="e">
        <v>#DIV/0!</v>
      </c>
      <c r="W42" s="570" t="e">
        <f t="shared" si="10"/>
        <v>#DIV/0!</v>
      </c>
      <c r="X42" s="573" t="e">
        <f t="shared" si="11"/>
        <v>#DIV/0!</v>
      </c>
      <c r="Y42" s="574" t="e">
        <v>#DIV/0!</v>
      </c>
      <c r="Z42" s="563">
        <f>AA42/$AA$112</f>
        <v>0</v>
      </c>
      <c r="AA42" s="571">
        <v>0</v>
      </c>
      <c r="AB42" s="563" t="e">
        <f t="shared" si="12"/>
        <v>#DIV/0!</v>
      </c>
      <c r="AC42" s="563" t="e">
        <v>#DIV/0!</v>
      </c>
      <c r="AD42" s="563" t="e">
        <v>#DIV/0!</v>
      </c>
      <c r="AE42" s="571" t="e">
        <v>#DIV/0!</v>
      </c>
      <c r="AF42" s="563" t="e">
        <v>#DIV/0!</v>
      </c>
      <c r="AG42" s="575" t="e">
        <f t="shared" si="27"/>
        <v>#DIV/0!</v>
      </c>
      <c r="AH42" s="573" t="e">
        <f t="shared" ref="AH42:AH48" si="28">((AI42/AS42)-1)*100</f>
        <v>#DIV/0!</v>
      </c>
      <c r="AI42" s="576" t="e">
        <v>#DIV/0!</v>
      </c>
      <c r="AJ42" s="563">
        <f t="shared" ref="AJ42:AJ48" si="29">AK42/$AK$112</f>
        <v>0</v>
      </c>
      <c r="AK42" s="571">
        <v>0</v>
      </c>
      <c r="AL42" s="563" t="e">
        <f t="shared" ref="AL42:AL48" si="30">AM42+AN42+AO42+AP42+AV42</f>
        <v>#DIV/0!</v>
      </c>
      <c r="AM42" s="563" t="e">
        <v>#DIV/0!</v>
      </c>
      <c r="AN42" s="563" t="e">
        <v>#DIV/0!</v>
      </c>
      <c r="AO42" s="563" t="e">
        <v>#DIV/0!</v>
      </c>
      <c r="AP42" s="571" t="e">
        <v>#DIV/0!</v>
      </c>
      <c r="AQ42" s="563" t="e">
        <f t="shared" si="13"/>
        <v>#DIV/0!</v>
      </c>
      <c r="AR42" s="563" t="e">
        <v>#DIV/0!</v>
      </c>
      <c r="AS42" s="563" t="e">
        <v>#DIV/0!</v>
      </c>
      <c r="AT42" s="563">
        <f t="shared" ref="AT42:AT48" si="31">AU42/$AU$112</f>
        <v>0</v>
      </c>
      <c r="AU42" s="577">
        <v>0</v>
      </c>
      <c r="AV42" s="563" t="e">
        <f t="shared" ref="AV42:AV48" si="32">AW42+AX42+AY42+AZ42</f>
        <v>#DIV/0!</v>
      </c>
      <c r="AW42" s="563" t="e">
        <v>#DIV/0!</v>
      </c>
      <c r="AX42" s="563" t="e">
        <v>#DIV/0!</v>
      </c>
      <c r="AY42" s="571" t="e">
        <v>#DIV/0!</v>
      </c>
      <c r="AZ42" s="563" t="e">
        <v>#DIV/0!</v>
      </c>
      <c r="BD42" s="580"/>
      <c r="BF42" s="362">
        <f t="shared" si="15"/>
        <v>0</v>
      </c>
      <c r="BG42" s="578"/>
    </row>
    <row r="43" spans="2:59">
      <c r="B43" s="563" t="s">
        <v>128</v>
      </c>
      <c r="C43" s="570"/>
      <c r="D43" s="569"/>
      <c r="E43" s="571" t="e">
        <v>#DIV/0!</v>
      </c>
      <c r="F43" s="563">
        <f t="shared" si="4"/>
        <v>0</v>
      </c>
      <c r="G43" s="571">
        <v>0</v>
      </c>
      <c r="H43" s="563" t="e">
        <f t="shared" si="5"/>
        <v>#DIV/0!</v>
      </c>
      <c r="I43" s="563" t="e">
        <v>#DIV/0!</v>
      </c>
      <c r="J43" s="563" t="e">
        <v>#DIV/0!</v>
      </c>
      <c r="K43" s="563" t="e">
        <v>#DIV/0!</v>
      </c>
      <c r="L43" s="572" t="e">
        <v>#DIV/0!</v>
      </c>
      <c r="M43" s="570" t="e">
        <f t="shared" si="6"/>
        <v>#DIV/0!</v>
      </c>
      <c r="N43" s="569" t="e">
        <f t="shared" si="7"/>
        <v>#DIV/0!</v>
      </c>
      <c r="O43" s="571" t="e">
        <v>#DIV/0!</v>
      </c>
      <c r="Q43" s="571">
        <v>0</v>
      </c>
      <c r="R43" s="563" t="e">
        <f t="shared" si="9"/>
        <v>#DIV/0!</v>
      </c>
      <c r="S43" s="572" t="e">
        <v>#DIV/0!</v>
      </c>
      <c r="T43" s="563" t="e">
        <v>#DIV/0!</v>
      </c>
      <c r="U43" s="563" t="e">
        <v>#DIV/0!</v>
      </c>
      <c r="V43" s="563" t="e">
        <v>#DIV/0!</v>
      </c>
      <c r="W43" s="570" t="e">
        <f t="shared" si="10"/>
        <v>#DIV/0!</v>
      </c>
      <c r="X43" s="573" t="e">
        <f t="shared" si="11"/>
        <v>#DIV/0!</v>
      </c>
      <c r="Y43" s="574" t="e">
        <v>#DIV/0!</v>
      </c>
      <c r="Z43" s="563">
        <f>AA43/$AA$112</f>
        <v>0</v>
      </c>
      <c r="AA43" s="571">
        <v>0</v>
      </c>
      <c r="AB43" s="563" t="e">
        <f t="shared" si="12"/>
        <v>#DIV/0!</v>
      </c>
      <c r="AC43" s="563" t="e">
        <v>#DIV/0!</v>
      </c>
      <c r="AD43" s="563" t="e">
        <v>#DIV/0!</v>
      </c>
      <c r="AE43" s="571" t="e">
        <v>#DIV/0!</v>
      </c>
      <c r="AF43" s="563" t="e">
        <v>#DIV/0!</v>
      </c>
      <c r="AG43" s="575" t="e">
        <f t="shared" si="27"/>
        <v>#DIV/0!</v>
      </c>
      <c r="AH43" s="573" t="e">
        <f t="shared" si="28"/>
        <v>#DIV/0!</v>
      </c>
      <c r="AI43" s="576" t="e">
        <v>#DIV/0!</v>
      </c>
      <c r="AJ43" s="563">
        <f t="shared" si="29"/>
        <v>0</v>
      </c>
      <c r="AK43" s="571">
        <v>0</v>
      </c>
      <c r="AL43" s="563" t="e">
        <f t="shared" si="30"/>
        <v>#DIV/0!</v>
      </c>
      <c r="AM43" s="563" t="e">
        <v>#DIV/0!</v>
      </c>
      <c r="AN43" s="563" t="e">
        <v>#DIV/0!</v>
      </c>
      <c r="AO43" s="563" t="e">
        <v>#DIV/0!</v>
      </c>
      <c r="AP43" s="571" t="e">
        <v>#DIV/0!</v>
      </c>
      <c r="AQ43" s="563" t="e">
        <f t="shared" si="13"/>
        <v>#DIV/0!</v>
      </c>
      <c r="AR43" s="563" t="e">
        <v>#DIV/0!</v>
      </c>
      <c r="AS43" s="563" t="e">
        <v>#DIV/0!</v>
      </c>
      <c r="AT43" s="563">
        <f t="shared" si="31"/>
        <v>0</v>
      </c>
      <c r="AU43" s="577">
        <v>0</v>
      </c>
      <c r="AV43" s="563" t="e">
        <f t="shared" si="32"/>
        <v>#DIV/0!</v>
      </c>
      <c r="AW43" s="563" t="e">
        <v>#DIV/0!</v>
      </c>
      <c r="AX43" s="563" t="e">
        <v>#DIV/0!</v>
      </c>
      <c r="AY43" s="571" t="e">
        <v>#DIV/0!</v>
      </c>
      <c r="AZ43" s="563" t="e">
        <v>#DIV/0!</v>
      </c>
      <c r="BD43" s="580"/>
      <c r="BF43" s="362">
        <f t="shared" si="15"/>
        <v>0</v>
      </c>
      <c r="BG43" s="578"/>
    </row>
    <row r="44" spans="2:59">
      <c r="B44" s="563" t="s">
        <v>243</v>
      </c>
      <c r="C44" s="570"/>
      <c r="D44" s="569"/>
      <c r="E44" s="571" t="e">
        <v>#DIV/0!</v>
      </c>
      <c r="G44" s="571">
        <v>0</v>
      </c>
      <c r="H44" s="563" t="e">
        <f t="shared" si="5"/>
        <v>#DIV/0!</v>
      </c>
      <c r="I44" s="563" t="e">
        <v>#DIV/0!</v>
      </c>
      <c r="J44" s="563" t="e">
        <v>#DIV/0!</v>
      </c>
      <c r="K44" s="563" t="e">
        <v>#DIV/0!</v>
      </c>
      <c r="L44" s="572" t="e">
        <v>#DIV/0!</v>
      </c>
      <c r="M44" s="570"/>
      <c r="N44" s="569"/>
      <c r="O44" s="571" t="e">
        <v>#DIV/0!</v>
      </c>
      <c r="Q44" s="571">
        <v>0</v>
      </c>
      <c r="R44" s="563" t="e">
        <f t="shared" si="9"/>
        <v>#DIV/0!</v>
      </c>
      <c r="S44" s="572" t="e">
        <v>#DIV/0!</v>
      </c>
      <c r="T44" s="563" t="e">
        <v>#DIV/0!</v>
      </c>
      <c r="U44" s="563" t="e">
        <v>#DIV/0!</v>
      </c>
      <c r="V44" s="563" t="e">
        <v>#DIV/0!</v>
      </c>
      <c r="W44" s="570" t="e">
        <f t="shared" si="10"/>
        <v>#DIV/0!</v>
      </c>
      <c r="X44" s="573" t="e">
        <f t="shared" si="11"/>
        <v>#DIV/0!</v>
      </c>
      <c r="Y44" s="574" t="e">
        <v>#DIV/0!</v>
      </c>
      <c r="Z44" s="563">
        <f>AA44/$AA$112</f>
        <v>0</v>
      </c>
      <c r="AA44" s="571">
        <v>0</v>
      </c>
      <c r="AB44" s="563" t="e">
        <f t="shared" si="12"/>
        <v>#DIV/0!</v>
      </c>
      <c r="AC44" s="563" t="e">
        <v>#DIV/0!</v>
      </c>
      <c r="AD44" s="563" t="e">
        <v>#DIV/0!</v>
      </c>
      <c r="AE44" s="571" t="e">
        <v>#DIV/0!</v>
      </c>
      <c r="AF44" s="563" t="e">
        <v>#DIV/0!</v>
      </c>
      <c r="AG44" s="575" t="e">
        <f t="shared" si="27"/>
        <v>#DIV/0!</v>
      </c>
      <c r="AH44" s="573" t="e">
        <f t="shared" si="28"/>
        <v>#DIV/0!</v>
      </c>
      <c r="AI44" s="576" t="e">
        <v>#DIV/0!</v>
      </c>
      <c r="AJ44" s="563">
        <f t="shared" si="29"/>
        <v>0</v>
      </c>
      <c r="AK44" s="571">
        <v>0</v>
      </c>
      <c r="AL44" s="563" t="e">
        <f t="shared" si="30"/>
        <v>#DIV/0!</v>
      </c>
      <c r="AM44" s="563" t="e">
        <v>#DIV/0!</v>
      </c>
      <c r="AN44" s="563" t="e">
        <v>#DIV/0!</v>
      </c>
      <c r="AO44" s="563" t="e">
        <v>#DIV/0!</v>
      </c>
      <c r="AP44" s="571" t="e">
        <v>#DIV/0!</v>
      </c>
      <c r="AQ44" s="563" t="e">
        <f t="shared" si="13"/>
        <v>#DIV/0!</v>
      </c>
      <c r="AR44" s="563" t="e">
        <v>#DIV/0!</v>
      </c>
      <c r="AS44" s="563" t="e">
        <v>#DIV/0!</v>
      </c>
      <c r="AT44" s="563">
        <f t="shared" si="31"/>
        <v>0</v>
      </c>
      <c r="AU44" s="577">
        <v>0</v>
      </c>
      <c r="AV44" s="563" t="e">
        <f t="shared" si="32"/>
        <v>#DIV/0!</v>
      </c>
      <c r="AW44" s="563" t="e">
        <v>#DIV/0!</v>
      </c>
      <c r="AX44" s="563" t="e">
        <v>#DIV/0!</v>
      </c>
      <c r="AY44" s="571" t="e">
        <v>#DIV/0!</v>
      </c>
      <c r="AZ44" s="563" t="e">
        <v>#DIV/0!</v>
      </c>
      <c r="BD44" s="580"/>
      <c r="BF44" s="362">
        <f t="shared" si="15"/>
        <v>0</v>
      </c>
      <c r="BG44" s="578"/>
    </row>
    <row r="45" spans="2:59">
      <c r="B45" s="579" t="s">
        <v>523</v>
      </c>
      <c r="C45" s="570">
        <f>D45*P45</f>
        <v>-6.0241070059141193E-2</v>
      </c>
      <c r="D45" s="569">
        <f>((E45/O45)-1)*100</f>
        <v>-2.4490370047575927</v>
      </c>
      <c r="E45" s="571">
        <v>68.334816984197573</v>
      </c>
      <c r="F45" s="563">
        <f t="shared" si="4"/>
        <v>2.0006702541412073E-2</v>
      </c>
      <c r="G45" s="571">
        <v>20647.263348739998</v>
      </c>
      <c r="H45" s="563">
        <f t="shared" si="5"/>
        <v>0.18988014947235909</v>
      </c>
      <c r="I45" s="563">
        <v>1.4631770691766046E-2</v>
      </c>
      <c r="J45" s="563">
        <v>1.2219916975614397E-2</v>
      </c>
      <c r="K45" s="563">
        <v>1.4480894213157331E-2</v>
      </c>
      <c r="L45" s="572">
        <v>1.3577110206301597E-2</v>
      </c>
      <c r="M45" s="570">
        <f t="shared" si="6"/>
        <v>-0.69431852634924685</v>
      </c>
      <c r="N45" s="569">
        <f t="shared" si="7"/>
        <v>-23.342531639908071</v>
      </c>
      <c r="O45" s="571">
        <v>70.050376629834275</v>
      </c>
      <c r="P45" s="563">
        <f t="shared" ref="P45:P48" si="33">Q45/Q$112</f>
        <v>2.459786027818877E-2</v>
      </c>
      <c r="Q45" s="571">
        <v>21583.740446600001</v>
      </c>
      <c r="R45" s="563">
        <f t="shared" si="9"/>
        <v>0.13497045738551972</v>
      </c>
      <c r="S45" s="572">
        <v>1.2278308498040322E-2</v>
      </c>
      <c r="T45" s="563">
        <v>1.2882570344225222E-2</v>
      </c>
      <c r="U45" s="563">
        <v>1.0463320979351862E-2</v>
      </c>
      <c r="V45" s="563">
        <v>9.400883307222831E-3</v>
      </c>
      <c r="W45" s="570">
        <f t="shared" si="10"/>
        <v>-0.15579370982296875</v>
      </c>
      <c r="X45" s="573">
        <f t="shared" si="11"/>
        <v>-4.9995946299866034</v>
      </c>
      <c r="Y45" s="574">
        <v>91.381020177680014</v>
      </c>
      <c r="Z45" s="563">
        <f>AA45/$AA$112</f>
        <v>2.9744782488039554E-2</v>
      </c>
      <c r="AA45" s="571">
        <v>29117.414938240003</v>
      </c>
      <c r="AB45" s="563">
        <f t="shared" si="12"/>
        <v>8.9945374256679492E-2</v>
      </c>
      <c r="AC45" s="563">
        <v>8.2251507926800992E-3</v>
      </c>
      <c r="AD45" s="563">
        <v>8.7737732428932163E-3</v>
      </c>
      <c r="AE45" s="571">
        <v>8.0369340189284742E-3</v>
      </c>
      <c r="AF45" s="563">
        <v>7.6426761597353093E-3</v>
      </c>
      <c r="AG45" s="575">
        <f t="shared" si="27"/>
        <v>0.25539619702726862</v>
      </c>
      <c r="AH45" s="573">
        <f t="shared" si="28"/>
        <v>8.1919693511596456</v>
      </c>
      <c r="AI45" s="576">
        <v>96.190137107061403</v>
      </c>
      <c r="AJ45" s="563">
        <f t="shared" si="29"/>
        <v>3.1161268333346096E-2</v>
      </c>
      <c r="AK45" s="571">
        <v>31299.289509080001</v>
      </c>
      <c r="AL45" s="563">
        <f t="shared" si="30"/>
        <v>5.7266840042442396E-2</v>
      </c>
      <c r="AM45" s="563">
        <v>6.9555130196879483E-3</v>
      </c>
      <c r="AN45" s="563">
        <v>7.6832608836692609E-3</v>
      </c>
      <c r="AO45" s="563">
        <v>7.7704599665868691E-3</v>
      </c>
      <c r="AP45" s="571">
        <v>7.1508639816375286E-3</v>
      </c>
      <c r="AQ45" s="563">
        <f t="shared" si="13"/>
        <v>1.2623853636609903</v>
      </c>
      <c r="AR45" s="563">
        <v>40.720022581404521</v>
      </c>
      <c r="AS45" s="563">
        <v>88.906910266931376</v>
      </c>
      <c r="AT45" s="563">
        <f t="shared" si="31"/>
        <v>3.1176410223155319E-2</v>
      </c>
      <c r="AU45" s="577">
        <v>27565.841966829998</v>
      </c>
      <c r="AV45" s="563">
        <f t="shared" si="32"/>
        <v>2.7706742190860785E-2</v>
      </c>
      <c r="AW45" s="563">
        <v>6.6977528775322374E-3</v>
      </c>
      <c r="AX45" s="563">
        <v>6.8882527587638001E-3</v>
      </c>
      <c r="AY45" s="571">
        <v>6.8646311971935648E-3</v>
      </c>
      <c r="AZ45" s="563">
        <v>7.2561053573711809E-3</v>
      </c>
      <c r="BD45" s="580">
        <v>324.03716900000001</v>
      </c>
      <c r="BE45" s="563">
        <v>85.07</v>
      </c>
      <c r="BF45" s="362">
        <f t="shared" si="15"/>
        <v>27565.841966829998</v>
      </c>
      <c r="BG45" s="578">
        <f>+BF45/$BF$112</f>
        <v>3.1001588005932976E-2</v>
      </c>
    </row>
    <row r="46" spans="2:59">
      <c r="B46" s="579" t="s">
        <v>129</v>
      </c>
      <c r="C46" s="570">
        <f>D46*P46</f>
        <v>0.31558337096259803</v>
      </c>
      <c r="D46" s="569">
        <f>((E46/O46)-1)*100</f>
        <v>13.182458347516102</v>
      </c>
      <c r="E46" s="571">
        <v>49.117928716474921</v>
      </c>
      <c r="F46" s="563">
        <f t="shared" si="4"/>
        <v>2.2202418280099164E-2</v>
      </c>
      <c r="G46" s="571">
        <v>22913.279999999999</v>
      </c>
      <c r="H46" s="563">
        <f t="shared" si="5"/>
        <v>0.23473928397372851</v>
      </c>
      <c r="I46" s="563">
        <v>1.3052212304162035E-2</v>
      </c>
      <c r="J46" s="563">
        <v>1.1596136358672602E-2</v>
      </c>
      <c r="K46" s="563">
        <v>1.3290829500119649E-2</v>
      </c>
      <c r="L46" s="572">
        <v>1.3027021256744245E-2</v>
      </c>
      <c r="M46" s="570">
        <f t="shared" si="6"/>
        <v>-0.21466392378513552</v>
      </c>
      <c r="N46" s="569">
        <f t="shared" si="7"/>
        <v>-8.7747862704679935</v>
      </c>
      <c r="O46" s="571">
        <v>43.397121279750735</v>
      </c>
      <c r="P46" s="563">
        <f t="shared" si="33"/>
        <v>2.3939644840376962E-2</v>
      </c>
      <c r="Q46" s="571">
        <v>21006.179999999997</v>
      </c>
      <c r="R46" s="563">
        <f t="shared" si="9"/>
        <v>0.18377308455402996</v>
      </c>
      <c r="S46" s="572">
        <v>1.3092715529192132E-2</v>
      </c>
      <c r="T46" s="563">
        <v>1.3876234498415249E-2</v>
      </c>
      <c r="U46" s="563">
        <v>1.1488505537695563E-2</v>
      </c>
      <c r="V46" s="563">
        <v>1.1042598153414178E-2</v>
      </c>
      <c r="W46" s="570">
        <f t="shared" si="10"/>
        <v>0.10768168257829876</v>
      </c>
      <c r="X46" s="573">
        <f t="shared" si="11"/>
        <v>4.7805004788105565</v>
      </c>
      <c r="Y46" s="574">
        <v>47.571410913233017</v>
      </c>
      <c r="Z46" s="563">
        <f>AA46/$AA$112</f>
        <v>2.446372107177109E-2</v>
      </c>
      <c r="AA46" s="571">
        <v>23947.739999999998</v>
      </c>
      <c r="AB46" s="563">
        <f t="shared" si="12"/>
        <v>0.13427303083531283</v>
      </c>
      <c r="AC46" s="563">
        <v>1.04504248057116E-2</v>
      </c>
      <c r="AD46" s="563">
        <v>1.1722140046845264E-2</v>
      </c>
      <c r="AE46" s="571">
        <v>1.1184094423240712E-2</v>
      </c>
      <c r="AF46" s="563">
        <v>9.283402916934292E-3</v>
      </c>
      <c r="AG46" s="575">
        <f t="shared" si="27"/>
        <v>1.2323783697503088</v>
      </c>
      <c r="AH46" s="573">
        <f t="shared" si="28"/>
        <v>41.674526767540002</v>
      </c>
      <c r="AI46" s="576">
        <v>45.401015165844946</v>
      </c>
      <c r="AJ46" s="563">
        <f t="shared" si="29"/>
        <v>2.2525190208764753E-2</v>
      </c>
      <c r="AK46" s="571">
        <v>22624.960000000003</v>
      </c>
      <c r="AL46" s="563">
        <f t="shared" si="30"/>
        <v>9.1632968642580984E-2</v>
      </c>
      <c r="AM46" s="563">
        <v>1.0141421099823881E-2</v>
      </c>
      <c r="AN46" s="563">
        <v>1.1712904847033473E-2</v>
      </c>
      <c r="AO46" s="563">
        <v>1.1096108262003515E-2</v>
      </c>
      <c r="AP46" s="571">
        <v>1.1769845736292785E-2</v>
      </c>
      <c r="AQ46" s="563">
        <f t="shared" si="13"/>
        <v>0.13694455557635229</v>
      </c>
      <c r="AR46" s="563">
        <v>4.6570783835018004</v>
      </c>
      <c r="AS46" s="563">
        <v>32.045997401028252</v>
      </c>
      <c r="AT46" s="563">
        <f t="shared" si="31"/>
        <v>2.9571502434196796E-2</v>
      </c>
      <c r="AU46" s="577">
        <v>26146.799999999999</v>
      </c>
      <c r="AV46" s="563">
        <f t="shared" si="32"/>
        <v>4.6912688697427332E-2</v>
      </c>
      <c r="AW46" s="563">
        <v>1.3170837051354731E-2</v>
      </c>
      <c r="AX46" s="563">
        <v>1.3854272238555614E-2</v>
      </c>
      <c r="AY46" s="571">
        <v>1.0154612100304612E-2</v>
      </c>
      <c r="AZ46" s="563">
        <v>9.7329673072123792E-3</v>
      </c>
      <c r="BD46" s="580">
        <v>538</v>
      </c>
      <c r="BE46" s="563">
        <v>48.6</v>
      </c>
      <c r="BF46" s="362">
        <f t="shared" si="15"/>
        <v>26146.799999999999</v>
      </c>
      <c r="BG46" s="578">
        <f>+BF46/$BF$112</f>
        <v>2.9405679762980388E-2</v>
      </c>
    </row>
    <row r="47" spans="2:59">
      <c r="B47" s="579" t="s">
        <v>130</v>
      </c>
      <c r="C47" s="570">
        <f>D47*P47</f>
        <v>0.18676378253405279</v>
      </c>
      <c r="D47" s="569">
        <f>((E47/O47)-1)*100</f>
        <v>23.422999315054561</v>
      </c>
      <c r="E47" s="571">
        <v>51.966051499059375</v>
      </c>
      <c r="F47" s="563">
        <f t="shared" si="4"/>
        <v>8.0300251901721086E-3</v>
      </c>
      <c r="G47" s="571">
        <v>8287.125</v>
      </c>
      <c r="H47" s="563">
        <f t="shared" si="5"/>
        <v>0.25978306664386358</v>
      </c>
      <c r="I47" s="563">
        <v>1.2735005953114619E-2</v>
      </c>
      <c r="J47" s="563">
        <v>1.2676234321261498E-2</v>
      </c>
      <c r="K47" s="563">
        <v>1.4292359469401012E-2</v>
      </c>
      <c r="L47" s="572">
        <v>1.4696534758645787E-2</v>
      </c>
      <c r="M47" s="570">
        <f t="shared" si="6"/>
        <v>-6.0279256409475152E-2</v>
      </c>
      <c r="N47" s="569">
        <f t="shared" si="7"/>
        <v>-7.4524546739969662</v>
      </c>
      <c r="O47" s="571">
        <v>42.104025819700524</v>
      </c>
      <c r="P47" s="563">
        <f t="shared" si="33"/>
        <v>7.9735212396140464E-3</v>
      </c>
      <c r="Q47" s="571">
        <v>6996.4790000000003</v>
      </c>
      <c r="R47" s="563">
        <f t="shared" si="9"/>
        <v>0.20538293214144066</v>
      </c>
      <c r="S47" s="572">
        <v>1.4260730170745625E-2</v>
      </c>
      <c r="T47" s="563">
        <v>1.4760114757650622E-2</v>
      </c>
      <c r="U47" s="563">
        <v>1.3410698140213295E-2</v>
      </c>
      <c r="V47" s="563">
        <v>1.2648445274216841E-2</v>
      </c>
      <c r="W47" s="570">
        <f t="shared" si="10"/>
        <v>5.7280720927024978E-2</v>
      </c>
      <c r="X47" s="573">
        <f t="shared" si="11"/>
        <v>7.4878784315505875</v>
      </c>
      <c r="Y47" s="574">
        <v>45.494481427235193</v>
      </c>
      <c r="Z47" s="563">
        <f t="shared" ref="Z47:Z109" si="34">AA47/$AA$112</f>
        <v>8.0885103024914678E-3</v>
      </c>
      <c r="AA47" s="571">
        <v>7917.9099999999989</v>
      </c>
      <c r="AB47" s="563">
        <f t="shared" si="12"/>
        <v>0.15030294379861428</v>
      </c>
      <c r="AC47" s="563">
        <v>1.1919208715497316E-2</v>
      </c>
      <c r="AD47" s="563">
        <v>1.2659000037539407E-2</v>
      </c>
      <c r="AE47" s="571">
        <v>1.1843652588367637E-2</v>
      </c>
      <c r="AF47" s="563">
        <v>1.1087430051164266E-2</v>
      </c>
      <c r="AG47" s="575">
        <f t="shared" si="27"/>
        <v>0.2647328710824241</v>
      </c>
      <c r="AH47" s="573">
        <f t="shared" si="28"/>
        <v>26.291890920209404</v>
      </c>
      <c r="AI47" s="576">
        <v>42.325220379344039</v>
      </c>
      <c r="AJ47" s="563">
        <f t="shared" si="29"/>
        <v>7.6497931223975957E-3</v>
      </c>
      <c r="AK47" s="571">
        <v>7683.6760000000004</v>
      </c>
      <c r="AL47" s="563">
        <f t="shared" si="30"/>
        <v>0.10279365240604565</v>
      </c>
      <c r="AM47" s="563">
        <v>1.1656236078537732E-2</v>
      </c>
      <c r="AN47" s="563">
        <v>1.3406243353139891E-2</v>
      </c>
      <c r="AO47" s="563">
        <v>1.2738765057548878E-2</v>
      </c>
      <c r="AP47" s="571">
        <v>1.3083844156780457E-2</v>
      </c>
      <c r="AQ47" s="563">
        <f t="shared" si="13"/>
        <v>1.8370206072788709E-2</v>
      </c>
      <c r="AR47" s="563">
        <v>1.8347214870702899</v>
      </c>
      <c r="AS47" s="563">
        <v>33.513806841394832</v>
      </c>
      <c r="AT47" s="563">
        <f t="shared" si="31"/>
        <v>1.0068993207290988E-2</v>
      </c>
      <c r="AU47" s="577">
        <v>8902.8939999999984</v>
      </c>
      <c r="AV47" s="563">
        <f t="shared" si="32"/>
        <v>5.1908563760038696E-2</v>
      </c>
      <c r="AW47" s="563">
        <v>1.3123384638928032E-2</v>
      </c>
      <c r="AX47" s="563">
        <v>1.3250901387850561E-2</v>
      </c>
      <c r="AY47" s="571">
        <v>1.2924450203159228E-2</v>
      </c>
      <c r="AZ47" s="563">
        <v>1.2609827530100879E-2</v>
      </c>
      <c r="BD47" s="580">
        <v>200.2</v>
      </c>
      <c r="BE47" s="563">
        <v>44.47</v>
      </c>
      <c r="BF47" s="362">
        <f t="shared" si="15"/>
        <v>8902.8939999999984</v>
      </c>
      <c r="BG47" s="578">
        <f>+BF47/$BF$112</f>
        <v>1.0012531167399431E-2</v>
      </c>
    </row>
    <row r="48" spans="2:59">
      <c r="B48" s="579" t="s">
        <v>131</v>
      </c>
      <c r="C48" s="570">
        <f>D48*P48</f>
        <v>-4.4709536703382007E-2</v>
      </c>
      <c r="D48" s="569">
        <f>((E48/O48)-1)*100</f>
        <v>-11.077358739439669</v>
      </c>
      <c r="E48" s="571">
        <v>84.697845068665529</v>
      </c>
      <c r="F48" s="563">
        <f t="shared" si="4"/>
        <v>2.9907560353884485E-3</v>
      </c>
      <c r="G48" s="571">
        <v>3086.5119999999997</v>
      </c>
      <c r="H48" s="563">
        <f t="shared" si="5"/>
        <v>0.14704557243588193</v>
      </c>
      <c r="I48" s="563">
        <v>7.2165502151704045E-3</v>
      </c>
      <c r="J48" s="563">
        <v>6.7771462641974213E-3</v>
      </c>
      <c r="K48" s="563">
        <v>6.0154075690278547E-3</v>
      </c>
      <c r="L48" s="572">
        <v>6.0654393066584145E-3</v>
      </c>
      <c r="M48" s="570">
        <f t="shared" si="6"/>
        <v>0.11979081378659365</v>
      </c>
      <c r="N48" s="569">
        <f t="shared" si="7"/>
        <v>48.013141438580043</v>
      </c>
      <c r="O48" s="571">
        <v>95.248908340997943</v>
      </c>
      <c r="P48" s="563">
        <f t="shared" si="33"/>
        <v>4.0361188759012396E-3</v>
      </c>
      <c r="Q48" s="571">
        <v>3541.5495999999998</v>
      </c>
      <c r="R48" s="563">
        <f t="shared" si="9"/>
        <v>0.12097102908082782</v>
      </c>
      <c r="S48" s="572">
        <v>5.7421751628704996E-3</v>
      </c>
      <c r="T48" s="563">
        <v>6.3898454452949137E-3</v>
      </c>
      <c r="U48" s="563">
        <v>6.1099791077400406E-3</v>
      </c>
      <c r="V48" s="563">
        <v>6.6354083189100656E-3</v>
      </c>
      <c r="W48" s="570">
        <f t="shared" si="10"/>
        <v>-4.6032005689279516E-2</v>
      </c>
      <c r="X48" s="573">
        <f t="shared" si="11"/>
        <v>-15.598019216845959</v>
      </c>
      <c r="Y48" s="574">
        <v>64.351656491611394</v>
      </c>
      <c r="Z48" s="563">
        <f t="shared" si="34"/>
        <v>2.4949588841178807E-3</v>
      </c>
      <c r="AA48" s="571">
        <v>2442.3360000000002</v>
      </c>
      <c r="AB48" s="563">
        <f t="shared" si="12"/>
        <v>9.6093621046012295E-2</v>
      </c>
      <c r="AC48" s="563">
        <v>7.6474881590169576E-3</v>
      </c>
      <c r="AD48" s="563">
        <v>7.249570577901516E-3</v>
      </c>
      <c r="AE48" s="571">
        <v>6.6031547833216315E-3</v>
      </c>
      <c r="AF48" s="563">
        <v>7.045814116501189E-3</v>
      </c>
      <c r="AG48" s="575">
        <f t="shared" si="27"/>
        <v>0.16703166406018638</v>
      </c>
      <c r="AH48" s="573">
        <f t="shared" si="28"/>
        <v>72.503718925805444</v>
      </c>
      <c r="AI48" s="576">
        <v>76.244249121290139</v>
      </c>
      <c r="AJ48" s="563">
        <f t="shared" si="29"/>
        <v>2.951144311937035E-3</v>
      </c>
      <c r="AK48" s="571">
        <v>2964.2156799999998</v>
      </c>
      <c r="AL48" s="563">
        <f t="shared" si="30"/>
        <v>6.7547593409270995E-2</v>
      </c>
      <c r="AM48" s="563">
        <v>5.7978493445149104E-3</v>
      </c>
      <c r="AN48" s="563">
        <v>7.347097235366481E-3</v>
      </c>
      <c r="AO48" s="563">
        <v>8.3580697614524802E-3</v>
      </c>
      <c r="AP48" s="571">
        <v>8.7619713285329789E-3</v>
      </c>
      <c r="AQ48" s="563">
        <f t="shared" si="13"/>
        <v>-1.2955954907072952E-3</v>
      </c>
      <c r="AR48" s="563">
        <v>-0.56555268716308449</v>
      </c>
      <c r="AS48" s="563">
        <v>44.198611830556011</v>
      </c>
      <c r="AT48" s="563">
        <f t="shared" si="31"/>
        <v>2.3037668485821165E-3</v>
      </c>
      <c r="AU48" s="577">
        <v>2036.96552688</v>
      </c>
      <c r="AV48" s="563">
        <f t="shared" si="32"/>
        <v>3.7282605739404139E-2</v>
      </c>
      <c r="AW48" s="563">
        <v>8.92960828579757E-3</v>
      </c>
      <c r="AX48" s="563">
        <v>1.0412988753635315E-2</v>
      </c>
      <c r="AY48" s="571">
        <v>9.6179214305155605E-3</v>
      </c>
      <c r="AZ48" s="563">
        <v>8.322087269455691E-3</v>
      </c>
      <c r="BD48" s="580">
        <v>39.714672</v>
      </c>
      <c r="BE48" s="563">
        <v>51.29</v>
      </c>
      <c r="BF48" s="362">
        <f t="shared" si="15"/>
        <v>2036.96552688</v>
      </c>
      <c r="BG48" s="578">
        <f>+BF48/$BF$112</f>
        <v>2.2908484392607851E-3</v>
      </c>
    </row>
    <row r="49" spans="2:59">
      <c r="B49" s="563" t="s">
        <v>244</v>
      </c>
      <c r="C49" s="570"/>
      <c r="D49" s="569"/>
      <c r="E49" s="571" t="e">
        <v>#DIV/0!</v>
      </c>
      <c r="G49" s="571">
        <v>0</v>
      </c>
      <c r="H49" s="563" t="e">
        <f t="shared" si="5"/>
        <v>#DIV/0!</v>
      </c>
      <c r="I49" s="563" t="e">
        <v>#DIV/0!</v>
      </c>
      <c r="J49" s="563" t="e">
        <v>#DIV/0!</v>
      </c>
      <c r="K49" s="563" t="e">
        <v>#DIV/0!</v>
      </c>
      <c r="L49" s="572" t="e">
        <v>#DIV/0!</v>
      </c>
      <c r="M49" s="570"/>
      <c r="N49" s="569"/>
      <c r="O49" s="571">
        <v>0</v>
      </c>
      <c r="Q49" s="571">
        <v>0</v>
      </c>
      <c r="S49" s="572" t="e">
        <v>#DIV/0!</v>
      </c>
      <c r="T49" s="563" t="e">
        <v>#DIV/0!</v>
      </c>
      <c r="U49" s="563" t="e">
        <v>#DIV/0!</v>
      </c>
      <c r="V49" s="563" t="e">
        <v>#DIV/0!</v>
      </c>
      <c r="W49" s="570"/>
      <c r="X49" s="573"/>
      <c r="Y49" s="574">
        <v>0</v>
      </c>
      <c r="Z49" s="563">
        <f t="shared" si="34"/>
        <v>0</v>
      </c>
      <c r="AA49" s="571">
        <v>0</v>
      </c>
      <c r="AC49" s="563" t="e">
        <v>#DIV/0!</v>
      </c>
      <c r="AD49" s="563" t="e">
        <v>#DIV/0!</v>
      </c>
      <c r="AE49" s="571" t="e">
        <v>#DIV/0!</v>
      </c>
      <c r="AF49" s="563" t="e">
        <v>#DIV/0!</v>
      </c>
      <c r="AG49" s="575">
        <f t="shared" si="27"/>
        <v>0</v>
      </c>
      <c r="AH49" s="573"/>
      <c r="AI49" s="576">
        <v>0</v>
      </c>
      <c r="AK49" s="571">
        <v>0</v>
      </c>
      <c r="AM49" s="563" t="e">
        <v>#DIV/0!</v>
      </c>
      <c r="AN49" s="563" t="e">
        <v>#DIV/0!</v>
      </c>
      <c r="AO49" s="563" t="e">
        <v>#DIV/0!</v>
      </c>
      <c r="AP49" s="571" t="e">
        <v>#DIV/0!</v>
      </c>
      <c r="AQ49" s="563" t="e">
        <f t="shared" si="13"/>
        <v>#DIV/0!</v>
      </c>
      <c r="AR49" s="563" t="e">
        <v>#DIV/0!</v>
      </c>
      <c r="AS49" s="563">
        <v>0</v>
      </c>
      <c r="AU49" s="577">
        <v>0</v>
      </c>
      <c r="AW49" s="563" t="e">
        <v>#DIV/0!</v>
      </c>
      <c r="AX49" s="563" t="e">
        <v>#DIV/0!</v>
      </c>
      <c r="AY49" s="571" t="e">
        <v>#DIV/0!</v>
      </c>
      <c r="AZ49" s="563" t="e">
        <v>#DIV/0!</v>
      </c>
      <c r="BD49" s="580"/>
      <c r="BF49" s="362">
        <f t="shared" si="15"/>
        <v>0</v>
      </c>
      <c r="BG49" s="578"/>
    </row>
    <row r="50" spans="2:59">
      <c r="B50" s="579" t="s">
        <v>132</v>
      </c>
      <c r="C50" s="570">
        <f>D50*P50</f>
        <v>0.54695588183141541</v>
      </c>
      <c r="D50" s="569">
        <f>((E50/O50)-1)*100</f>
        <v>24.026020875805031</v>
      </c>
      <c r="E50" s="571">
        <v>40.570324754855854</v>
      </c>
      <c r="F50" s="563">
        <f t="shared" si="4"/>
        <v>2.3219442926219278E-2</v>
      </c>
      <c r="G50" s="571">
        <v>23962.867039999997</v>
      </c>
      <c r="H50" s="563">
        <f t="shared" si="5"/>
        <v>0.24908635328989712</v>
      </c>
      <c r="I50" s="563">
        <v>9.8248105680686856E-3</v>
      </c>
      <c r="J50" s="563">
        <v>9.5720989051629804E-3</v>
      </c>
      <c r="K50" s="563">
        <v>1.1346234230324874E-2</v>
      </c>
      <c r="L50" s="572">
        <v>1.1290090021357902E-2</v>
      </c>
      <c r="M50" s="570">
        <f t="shared" si="6"/>
        <v>-8.3507080830053176E-2</v>
      </c>
      <c r="N50" s="569">
        <f t="shared" si="7"/>
        <v>-3.7998072799032112</v>
      </c>
      <c r="O50" s="571">
        <v>32.711139540211036</v>
      </c>
      <c r="P50" s="563">
        <f>Q50/Q$112</f>
        <v>2.2765146366047546E-2</v>
      </c>
      <c r="Q50" s="571">
        <v>19975.599699999999</v>
      </c>
      <c r="R50" s="563">
        <f t="shared" si="9"/>
        <v>0.20705311956498268</v>
      </c>
      <c r="S50" s="572">
        <v>1.0595930822808918E-2</v>
      </c>
      <c r="T50" s="563">
        <v>1.2065114508324442E-2</v>
      </c>
      <c r="U50" s="563">
        <v>1.0646220891989655E-2</v>
      </c>
      <c r="V50" s="563">
        <v>1.0049910981164692E-2</v>
      </c>
      <c r="W50" s="570">
        <f t="shared" si="10"/>
        <v>7.8319417628666642E-3</v>
      </c>
      <c r="X50" s="573">
        <f t="shared" si="11"/>
        <v>0.34087065702768093</v>
      </c>
      <c r="Y50" s="574">
        <v>34.003195435779503</v>
      </c>
      <c r="Z50" s="563">
        <f t="shared" si="34"/>
        <v>2.1976662151186856E-2</v>
      </c>
      <c r="AA50" s="571">
        <v>21513.137339999997</v>
      </c>
      <c r="AB50" s="563">
        <f t="shared" si="12"/>
        <v>0.16369594236069496</v>
      </c>
      <c r="AC50" s="563">
        <v>8.8922257439686334E-3</v>
      </c>
      <c r="AD50" s="563">
        <v>1.0159563489296712E-2</v>
      </c>
      <c r="AE50" s="571">
        <v>9.414912610260345E-3</v>
      </c>
      <c r="AF50" s="563">
        <v>7.8945009771708586E-3</v>
      </c>
      <c r="AG50" s="575">
        <f t="shared" si="27"/>
        <v>0.37822922810952336</v>
      </c>
      <c r="AH50" s="573">
        <f>((AI50/AS50)-1)*100</f>
        <v>12.90490597176046</v>
      </c>
      <c r="AI50" s="576">
        <v>33.887682270572348</v>
      </c>
      <c r="AJ50" s="563">
        <f t="shared" ref="AJ50:AJ78" si="35">AK50/$AK$112</f>
        <v>2.2976286170125398E-2</v>
      </c>
      <c r="AK50" s="571">
        <v>23078.053979999997</v>
      </c>
      <c r="AL50" s="563">
        <f t="shared" ref="AL50:AL56" si="36">AM50+AN50+AO50+AP50+AV50</f>
        <v>0.12733473953999841</v>
      </c>
      <c r="AM50" s="563">
        <v>1.5351728200462652E-2</v>
      </c>
      <c r="AN50" s="563">
        <v>1.6309346163841925E-2</v>
      </c>
      <c r="AO50" s="563">
        <v>1.6019185169910622E-2</v>
      </c>
      <c r="AP50" s="571">
        <v>1.5315556629717997E-2</v>
      </c>
      <c r="AQ50" s="563">
        <f t="shared" si="13"/>
        <v>-8.8106367796826845E-2</v>
      </c>
      <c r="AR50" s="563">
        <v>-3.0230770946525376</v>
      </c>
      <c r="AS50" s="563">
        <v>30.014357639205038</v>
      </c>
      <c r="AT50" s="563">
        <f t="shared" ref="AT50:AT78" si="37">AU50/$AU$112</f>
        <v>2.9308948777867473E-2</v>
      </c>
      <c r="AU50" s="577">
        <v>25914.652920000004</v>
      </c>
      <c r="AV50" s="563">
        <f t="shared" ref="AV50:AV78" si="38">AW50+AX50+AY50+AZ50</f>
        <v>6.4338923376065199E-2</v>
      </c>
      <c r="AW50" s="563">
        <v>1.5435982987980676E-2</v>
      </c>
      <c r="AX50" s="563">
        <v>1.5757274941576652E-2</v>
      </c>
      <c r="AY50" s="571">
        <v>1.6330430438404139E-2</v>
      </c>
      <c r="AZ50" s="563">
        <v>1.6815235008103727E-2</v>
      </c>
      <c r="BD50" s="580">
        <v>722.25900000000001</v>
      </c>
      <c r="BE50" s="563">
        <v>35.880000000000003</v>
      </c>
      <c r="BF50" s="362">
        <f t="shared" si="15"/>
        <v>25914.652920000004</v>
      </c>
      <c r="BG50" s="578">
        <f>+BF50/$BF$112</f>
        <v>2.9144598380463564E-2</v>
      </c>
    </row>
    <row r="51" spans="2:59">
      <c r="B51" s="579" t="s">
        <v>133</v>
      </c>
      <c r="C51" s="570">
        <f>D51*P51</f>
        <v>0.21598803849268078</v>
      </c>
      <c r="D51" s="569">
        <f>((E51/O51)-1)*100</f>
        <v>23.250626858562097</v>
      </c>
      <c r="E51" s="571">
        <v>105.72097378955375</v>
      </c>
      <c r="F51" s="563">
        <f t="shared" si="4"/>
        <v>9.3417108724070056E-3</v>
      </c>
      <c r="G51" s="571">
        <v>9640.8073299999996</v>
      </c>
      <c r="H51" s="563">
        <f t="shared" si="5"/>
        <v>0.24715080558633679</v>
      </c>
      <c r="I51" s="563">
        <v>1.3029825144455394E-2</v>
      </c>
      <c r="J51" s="563">
        <v>1.213844263763111E-2</v>
      </c>
      <c r="K51" s="563">
        <v>1.3918517127462339E-2</v>
      </c>
      <c r="L51" s="572">
        <v>1.406026105271225E-2</v>
      </c>
      <c r="M51" s="570">
        <f t="shared" si="6"/>
        <v>-1.0100178369007971E-2</v>
      </c>
      <c r="N51" s="569">
        <f t="shared" si="7"/>
        <v>-1.1485246661583237</v>
      </c>
      <c r="O51" s="571">
        <v>85.777230091393591</v>
      </c>
      <c r="P51" s="563">
        <f>Q51/Q$112</f>
        <v>9.2895576453304388E-3</v>
      </c>
      <c r="Q51" s="571">
        <v>8151.2537600000005</v>
      </c>
      <c r="R51" s="563">
        <f t="shared" si="9"/>
        <v>0.19400375962407568</v>
      </c>
      <c r="S51" s="572">
        <v>1.4448890380489363E-2</v>
      </c>
      <c r="T51" s="563">
        <v>1.3687235386621531E-2</v>
      </c>
      <c r="U51" s="563">
        <v>1.224993019479228E-2</v>
      </c>
      <c r="V51" s="563">
        <v>1.2457141422729906E-2</v>
      </c>
      <c r="W51" s="570">
        <f t="shared" si="10"/>
        <v>0.10221661685576057</v>
      </c>
      <c r="X51" s="573">
        <f t="shared" si="11"/>
        <v>12.879982306898397</v>
      </c>
      <c r="Y51" s="574">
        <v>86.77384915268722</v>
      </c>
      <c r="Z51" s="563">
        <f t="shared" si="34"/>
        <v>8.7940456714716009E-3</v>
      </c>
      <c r="AA51" s="571">
        <v>8608.5644400000001</v>
      </c>
      <c r="AB51" s="563">
        <f t="shared" si="12"/>
        <v>0.14116056223944259</v>
      </c>
      <c r="AC51" s="563">
        <v>1.2835366833588427E-2</v>
      </c>
      <c r="AD51" s="563">
        <v>1.4673751776238924E-2</v>
      </c>
      <c r="AE51" s="571">
        <v>1.2797130283698431E-2</v>
      </c>
      <c r="AF51" s="563">
        <v>1.1852136369145401E-2</v>
      </c>
      <c r="AG51" s="575">
        <f t="shared" si="27"/>
        <v>-8.8906447003987532E-2</v>
      </c>
      <c r="AH51" s="573">
        <f>((AI51/AS51)-1)*100</f>
        <v>-7.7725612255440275</v>
      </c>
      <c r="AI51" s="576">
        <v>76.87266367279031</v>
      </c>
      <c r="AJ51" s="563">
        <f t="shared" si="35"/>
        <v>7.9360836389514543E-3</v>
      </c>
      <c r="AK51" s="571">
        <v>7971.2345700000005</v>
      </c>
      <c r="AL51" s="563">
        <f t="shared" si="36"/>
        <v>8.9002176976771402E-2</v>
      </c>
      <c r="AM51" s="563">
        <v>1.2957052777579164E-2</v>
      </c>
      <c r="AN51" s="563">
        <v>1.2202725141212319E-2</v>
      </c>
      <c r="AO51" s="563">
        <v>1.0664120666885546E-2</v>
      </c>
      <c r="AP51" s="571">
        <v>1.0636869932643079E-2</v>
      </c>
      <c r="AQ51" s="563">
        <f t="shared" si="13"/>
        <v>-2.4420746283070956E-2</v>
      </c>
      <c r="AR51" s="563">
        <v>-2.1469997578619671</v>
      </c>
      <c r="AS51" s="563">
        <v>83.351185606253182</v>
      </c>
      <c r="AT51" s="563">
        <f t="shared" si="37"/>
        <v>1.1438500698045601E-2</v>
      </c>
      <c r="AU51" s="577">
        <v>10113.79759</v>
      </c>
      <c r="AV51" s="563">
        <f t="shared" si="38"/>
        <v>4.2541408458451301E-2</v>
      </c>
      <c r="AW51" s="563">
        <v>1.0711925835856827E-2</v>
      </c>
      <c r="AX51" s="563">
        <v>1.0717904890348523E-2</v>
      </c>
      <c r="AY51" s="571">
        <v>1.0786996652947887E-2</v>
      </c>
      <c r="AZ51" s="563">
        <v>1.0324581079298059E-2</v>
      </c>
      <c r="BD51" s="580">
        <v>112.46299999999999</v>
      </c>
      <c r="BE51" s="563">
        <v>89.93</v>
      </c>
      <c r="BF51" s="362">
        <f t="shared" si="15"/>
        <v>10113.79759</v>
      </c>
      <c r="BG51" s="578">
        <f>+BF51/$BF$112</f>
        <v>1.1374359123072147E-2</v>
      </c>
    </row>
    <row r="52" spans="2:59">
      <c r="B52" s="563" t="s">
        <v>245</v>
      </c>
      <c r="C52" s="570"/>
      <c r="D52" s="569"/>
      <c r="E52" s="571" t="e">
        <v>#DIV/0!</v>
      </c>
      <c r="G52" s="571">
        <v>0</v>
      </c>
      <c r="H52" s="563" t="e">
        <f t="shared" si="5"/>
        <v>#DIV/0!</v>
      </c>
      <c r="I52" s="563" t="e">
        <v>#DIV/0!</v>
      </c>
      <c r="J52" s="563" t="e">
        <v>#DIV/0!</v>
      </c>
      <c r="K52" s="563" t="e">
        <v>#DIV/0!</v>
      </c>
      <c r="L52" s="572" t="e">
        <v>#DIV/0!</v>
      </c>
      <c r="N52" s="569"/>
      <c r="O52" s="571">
        <v>0</v>
      </c>
      <c r="Q52" s="571">
        <v>0</v>
      </c>
      <c r="S52" s="572" t="e">
        <v>#VALUE!</v>
      </c>
      <c r="T52" s="563" t="e">
        <v>#VALUE!</v>
      </c>
      <c r="U52" s="563" t="e">
        <v>#VALUE!</v>
      </c>
      <c r="V52" s="563" t="e">
        <v>#VALUE!</v>
      </c>
      <c r="W52" s="570"/>
      <c r="X52" s="573" t="s">
        <v>96</v>
      </c>
      <c r="Y52" s="574" t="e">
        <v>#VALUE!</v>
      </c>
      <c r="Z52" s="563">
        <f t="shared" si="34"/>
        <v>0</v>
      </c>
      <c r="AA52" s="571">
        <v>0</v>
      </c>
      <c r="AB52" s="563" t="s">
        <v>96</v>
      </c>
      <c r="AC52" s="563" t="e">
        <v>#DIV/0!</v>
      </c>
      <c r="AD52" s="563" t="e">
        <v>#DIV/0!</v>
      </c>
      <c r="AE52" s="571" t="e">
        <v>#DIV/0!</v>
      </c>
      <c r="AF52" s="563" t="e">
        <v>#DIV/0!</v>
      </c>
      <c r="AG52" s="575"/>
      <c r="AH52" s="573"/>
      <c r="AI52" s="576" t="e">
        <v>#DIV/0!</v>
      </c>
      <c r="AJ52" s="563">
        <f t="shared" si="35"/>
        <v>0</v>
      </c>
      <c r="AK52" s="571">
        <v>0</v>
      </c>
      <c r="AL52" s="563" t="e">
        <f t="shared" si="36"/>
        <v>#DIV/0!</v>
      </c>
      <c r="AM52" s="563" t="e">
        <v>#DIV/0!</v>
      </c>
      <c r="AN52" s="563" t="e">
        <v>#DIV/0!</v>
      </c>
      <c r="AO52" s="563" t="e">
        <v>#DIV/0!</v>
      </c>
      <c r="AP52" s="571" t="e">
        <v>#DIV/0!</v>
      </c>
      <c r="AQ52" s="563" t="e">
        <f t="shared" si="13"/>
        <v>#DIV/0!</v>
      </c>
      <c r="AR52" s="563" t="e">
        <v>#DIV/0!</v>
      </c>
      <c r="AS52" s="563" t="e">
        <v>#DIV/0!</v>
      </c>
      <c r="AT52" s="563">
        <f t="shared" si="37"/>
        <v>0</v>
      </c>
      <c r="AU52" s="577">
        <v>0</v>
      </c>
      <c r="AV52" s="563" t="e">
        <f t="shared" si="38"/>
        <v>#DIV/0!</v>
      </c>
      <c r="AW52" s="563" t="e">
        <v>#DIV/0!</v>
      </c>
      <c r="AX52" s="563" t="e">
        <v>#DIV/0!</v>
      </c>
      <c r="AY52" s="571" t="e">
        <v>#DIV/0!</v>
      </c>
      <c r="AZ52" s="563" t="e">
        <v>#DIV/0!</v>
      </c>
      <c r="BD52" s="580"/>
      <c r="BF52" s="362">
        <f t="shared" si="15"/>
        <v>0</v>
      </c>
      <c r="BG52" s="578"/>
    </row>
    <row r="53" spans="2:59">
      <c r="B53" s="563" t="s">
        <v>134</v>
      </c>
      <c r="C53" s="570"/>
      <c r="D53" s="569"/>
      <c r="E53" s="571" t="e">
        <v>#DIV/0!</v>
      </c>
      <c r="F53" s="563">
        <f t="shared" si="4"/>
        <v>0</v>
      </c>
      <c r="G53" s="571">
        <v>0</v>
      </c>
      <c r="H53" s="563" t="e">
        <f t="shared" si="5"/>
        <v>#DIV/0!</v>
      </c>
      <c r="I53" s="563" t="e">
        <v>#DIV/0!</v>
      </c>
      <c r="J53" s="563" t="e">
        <v>#DIV/0!</v>
      </c>
      <c r="K53" s="563" t="e">
        <v>#DIV/0!</v>
      </c>
      <c r="L53" s="572" t="e">
        <v>#DIV/0!</v>
      </c>
      <c r="M53" s="570" t="e">
        <f t="shared" si="6"/>
        <v>#DIV/0!</v>
      </c>
      <c r="N53" s="569" t="e">
        <f t="shared" si="7"/>
        <v>#DIV/0!</v>
      </c>
      <c r="O53" s="571" t="e">
        <v>#DIV/0!</v>
      </c>
      <c r="Q53" s="571">
        <v>0</v>
      </c>
      <c r="R53" s="563" t="e">
        <f t="shared" si="9"/>
        <v>#DIV/0!</v>
      </c>
      <c r="S53" s="572" t="e">
        <v>#DIV/0!</v>
      </c>
      <c r="T53" s="563" t="e">
        <v>#DIV/0!</v>
      </c>
      <c r="U53" s="563" t="e">
        <v>#DIV/0!</v>
      </c>
      <c r="V53" s="563" t="e">
        <v>#DIV/0!</v>
      </c>
      <c r="W53" s="570" t="e">
        <f t="shared" si="10"/>
        <v>#DIV/0!</v>
      </c>
      <c r="X53" s="573" t="e">
        <f t="shared" si="11"/>
        <v>#DIV/0!</v>
      </c>
      <c r="Y53" s="574" t="e">
        <v>#DIV/0!</v>
      </c>
      <c r="Z53" s="563">
        <f t="shared" si="34"/>
        <v>0</v>
      </c>
      <c r="AA53" s="571">
        <v>0</v>
      </c>
      <c r="AB53" s="563" t="e">
        <f t="shared" si="12"/>
        <v>#DIV/0!</v>
      </c>
      <c r="AC53" s="563" t="e">
        <v>#DIV/0!</v>
      </c>
      <c r="AD53" s="563" t="e">
        <v>#DIV/0!</v>
      </c>
      <c r="AE53" s="571" t="e">
        <v>#DIV/0!</v>
      </c>
      <c r="AF53" s="563" t="e">
        <v>#DIV/0!</v>
      </c>
      <c r="AG53" s="575" t="e">
        <f>AH53*AT53</f>
        <v>#DIV/0!</v>
      </c>
      <c r="AH53" s="573" t="e">
        <f>((AI53/AS53)-1)*100</f>
        <v>#DIV/0!</v>
      </c>
      <c r="AI53" s="576" t="e">
        <v>#DIV/0!</v>
      </c>
      <c r="AJ53" s="563">
        <f t="shared" si="35"/>
        <v>0</v>
      </c>
      <c r="AK53" s="571">
        <v>0</v>
      </c>
      <c r="AL53" s="563" t="e">
        <f t="shared" si="36"/>
        <v>#DIV/0!</v>
      </c>
      <c r="AM53" s="563" t="e">
        <v>#DIV/0!</v>
      </c>
      <c r="AN53" s="563" t="e">
        <v>#DIV/0!</v>
      </c>
      <c r="AO53" s="563" t="e">
        <v>#DIV/0!</v>
      </c>
      <c r="AP53" s="571" t="e">
        <v>#DIV/0!</v>
      </c>
      <c r="AQ53" s="563" t="e">
        <f t="shared" si="13"/>
        <v>#DIV/0!</v>
      </c>
      <c r="AR53" s="563" t="e">
        <v>#DIV/0!</v>
      </c>
      <c r="AS53" s="563" t="e">
        <v>#DIV/0!</v>
      </c>
      <c r="AT53" s="563">
        <f t="shared" si="37"/>
        <v>0</v>
      </c>
      <c r="AU53" s="577">
        <v>0</v>
      </c>
      <c r="AV53" s="563" t="e">
        <f t="shared" si="38"/>
        <v>#DIV/0!</v>
      </c>
      <c r="AW53" s="563" t="e">
        <v>#DIV/0!</v>
      </c>
      <c r="AX53" s="563" t="e">
        <v>#DIV/0!</v>
      </c>
      <c r="AY53" s="571" t="e">
        <v>#DIV/0!</v>
      </c>
      <c r="AZ53" s="563" t="e">
        <v>#DIV/0!</v>
      </c>
      <c r="BD53" s="580"/>
      <c r="BF53" s="362">
        <f t="shared" si="15"/>
        <v>0</v>
      </c>
      <c r="BG53" s="578">
        <f>+BF53/$BF$112</f>
        <v>0</v>
      </c>
    </row>
    <row r="54" spans="2:59">
      <c r="B54" s="563" t="s">
        <v>246</v>
      </c>
      <c r="C54" s="570"/>
      <c r="D54" s="569"/>
      <c r="E54" s="571" t="e">
        <v>#DIV/0!</v>
      </c>
      <c r="G54" s="571">
        <v>0</v>
      </c>
      <c r="H54" s="563" t="e">
        <f t="shared" si="5"/>
        <v>#DIV/0!</v>
      </c>
      <c r="I54" s="563" t="e">
        <v>#DIV/0!</v>
      </c>
      <c r="J54" s="563" t="e">
        <v>#DIV/0!</v>
      </c>
      <c r="K54" s="563" t="e">
        <v>#DIV/0!</v>
      </c>
      <c r="L54" s="572" t="e">
        <v>#DIV/0!</v>
      </c>
      <c r="M54" s="570"/>
      <c r="N54" s="569"/>
      <c r="O54" s="571" t="e">
        <v>#DIV/0!</v>
      </c>
      <c r="Q54" s="571">
        <v>0</v>
      </c>
      <c r="R54" s="563" t="e">
        <f t="shared" si="9"/>
        <v>#DIV/0!</v>
      </c>
      <c r="S54" s="572" t="e">
        <v>#DIV/0!</v>
      </c>
      <c r="T54" s="563" t="e">
        <v>#DIV/0!</v>
      </c>
      <c r="U54" s="563" t="e">
        <v>#DIV/0!</v>
      </c>
      <c r="V54" s="563" t="e">
        <v>#DIV/0!</v>
      </c>
      <c r="W54" s="570" t="e">
        <f t="shared" si="10"/>
        <v>#DIV/0!</v>
      </c>
      <c r="X54" s="573" t="e">
        <f t="shared" si="11"/>
        <v>#DIV/0!</v>
      </c>
      <c r="Y54" s="574" t="e">
        <v>#DIV/0!</v>
      </c>
      <c r="Z54" s="563">
        <f t="shared" si="34"/>
        <v>0</v>
      </c>
      <c r="AA54" s="571">
        <v>0</v>
      </c>
      <c r="AB54" s="563" t="e">
        <f t="shared" si="12"/>
        <v>#DIV/0!</v>
      </c>
      <c r="AC54" s="563" t="e">
        <v>#DIV/0!</v>
      </c>
      <c r="AD54" s="563" t="e">
        <v>#DIV/0!</v>
      </c>
      <c r="AE54" s="571" t="e">
        <v>#DIV/0!</v>
      </c>
      <c r="AF54" s="563" t="e">
        <v>#DIV/0!</v>
      </c>
      <c r="AG54" s="575" t="e">
        <f>AH54*AT54</f>
        <v>#DIV/0!</v>
      </c>
      <c r="AH54" s="573" t="e">
        <f>((AI54/AS54)-1)*100</f>
        <v>#DIV/0!</v>
      </c>
      <c r="AI54" s="576" t="e">
        <v>#DIV/0!</v>
      </c>
      <c r="AJ54" s="563">
        <f t="shared" si="35"/>
        <v>0</v>
      </c>
      <c r="AK54" s="571">
        <v>0</v>
      </c>
      <c r="AL54" s="563" t="e">
        <f t="shared" si="36"/>
        <v>#DIV/0!</v>
      </c>
      <c r="AM54" s="563" t="e">
        <v>#DIV/0!</v>
      </c>
      <c r="AN54" s="563" t="e">
        <v>#DIV/0!</v>
      </c>
      <c r="AO54" s="563" t="e">
        <v>#DIV/0!</v>
      </c>
      <c r="AP54" s="571" t="e">
        <v>#DIV/0!</v>
      </c>
      <c r="AQ54" s="563" t="e">
        <f t="shared" si="13"/>
        <v>#DIV/0!</v>
      </c>
      <c r="AR54" s="563" t="e">
        <v>#DIV/0!</v>
      </c>
      <c r="AS54" s="563" t="e">
        <v>#DIV/0!</v>
      </c>
      <c r="AT54" s="563">
        <f t="shared" si="37"/>
        <v>0</v>
      </c>
      <c r="AU54" s="577">
        <v>0</v>
      </c>
      <c r="AV54" s="563" t="e">
        <f t="shared" si="38"/>
        <v>#DIV/0!</v>
      </c>
      <c r="AW54" s="563" t="e">
        <v>#DIV/0!</v>
      </c>
      <c r="AX54" s="563" t="e">
        <v>#DIV/0!</v>
      </c>
      <c r="AY54" s="571" t="e">
        <v>#DIV/0!</v>
      </c>
      <c r="AZ54" s="563" t="e">
        <v>#DIV/0!</v>
      </c>
      <c r="BD54" s="580"/>
      <c r="BF54" s="362">
        <f t="shared" si="15"/>
        <v>0</v>
      </c>
      <c r="BG54" s="578"/>
    </row>
    <row r="55" spans="2:59">
      <c r="B55" s="579" t="s">
        <v>135</v>
      </c>
      <c r="C55" s="570">
        <f>D55*P55</f>
        <v>0.51030962869501528</v>
      </c>
      <c r="D55" s="569">
        <f>((E55/O55)-1)*100</f>
        <v>16.353814651360786</v>
      </c>
      <c r="E55" s="571">
        <v>99.49269603455356</v>
      </c>
      <c r="F55" s="563">
        <f t="shared" si="4"/>
        <v>2.9939497802670172E-2</v>
      </c>
      <c r="G55" s="571">
        <v>30898.080000000002</v>
      </c>
      <c r="H55" s="563">
        <f t="shared" si="5"/>
        <v>0.24615100243679305</v>
      </c>
      <c r="I55" s="563">
        <v>1.2783214485591426E-2</v>
      </c>
      <c r="J55" s="563">
        <v>1.0948297195879564E-2</v>
      </c>
      <c r="K55" s="563">
        <v>1.3135241807262036E-2</v>
      </c>
      <c r="L55" s="572">
        <v>1.3190347002929474E-2</v>
      </c>
      <c r="M55" s="570">
        <f t="shared" si="6"/>
        <v>0.43083380755950507</v>
      </c>
      <c r="N55" s="569">
        <f t="shared" si="7"/>
        <v>17.353807089157279</v>
      </c>
      <c r="O55" s="571">
        <v>85.508753050057365</v>
      </c>
      <c r="P55" s="563">
        <f>Q55/Q$112</f>
        <v>3.1204317743233866E-2</v>
      </c>
      <c r="Q55" s="571">
        <v>27380.67</v>
      </c>
      <c r="R55" s="563">
        <f t="shared" si="9"/>
        <v>0.19609390194513054</v>
      </c>
      <c r="S55" s="572">
        <v>1.2909274159640266E-2</v>
      </c>
      <c r="T55" s="563">
        <v>1.3628498113963518E-2</v>
      </c>
      <c r="U55" s="563">
        <v>1.2289191745435456E-2</v>
      </c>
      <c r="V55" s="563">
        <v>1.1965712617440571E-2</v>
      </c>
      <c r="W55" s="570">
        <f t="shared" si="10"/>
        <v>-6.4969089369743549E-2</v>
      </c>
      <c r="X55" s="573">
        <f t="shared" si="11"/>
        <v>-2.5161694226196185</v>
      </c>
      <c r="Y55" s="574">
        <v>72.864063954136356</v>
      </c>
      <c r="Z55" s="563">
        <f t="shared" si="34"/>
        <v>2.4826472101830126E-2</v>
      </c>
      <c r="AA55" s="571">
        <v>24302.84</v>
      </c>
      <c r="AB55" s="563">
        <f t="shared" si="12"/>
        <v>0.14530122530865075</v>
      </c>
      <c r="AC55" s="563">
        <v>1.3124494482618652E-2</v>
      </c>
      <c r="AD55" s="563">
        <v>1.3835958651854441E-2</v>
      </c>
      <c r="AE55" s="571">
        <v>1.2243330317828031E-2</v>
      </c>
      <c r="AF55" s="563">
        <v>1.093599165677182E-2</v>
      </c>
      <c r="AG55" s="575">
        <f>AH55*AT55</f>
        <v>0.40283117510352179</v>
      </c>
      <c r="AH55" s="573">
        <f>((AI55/AS55)-1)*100</f>
        <v>13.611619878267733</v>
      </c>
      <c r="AI55" s="576">
        <v>74.744768976121193</v>
      </c>
      <c r="AJ55" s="563">
        <f t="shared" si="35"/>
        <v>2.5820633851477034E-2</v>
      </c>
      <c r="AK55" s="571">
        <v>25935</v>
      </c>
      <c r="AL55" s="563">
        <f t="shared" si="36"/>
        <v>9.5161450199577821E-2</v>
      </c>
      <c r="AM55" s="563">
        <v>1.1118390357356123E-2</v>
      </c>
      <c r="AN55" s="563">
        <v>1.2794344223853773E-2</v>
      </c>
      <c r="AO55" s="563">
        <v>1.2135293020940774E-2</v>
      </c>
      <c r="AP55" s="571">
        <v>1.1839909596638607E-2</v>
      </c>
      <c r="AQ55" s="563">
        <f t="shared" si="13"/>
        <v>0.11865118465356522</v>
      </c>
      <c r="AR55" s="563">
        <v>4.0318186064350892</v>
      </c>
      <c r="AS55" s="563">
        <v>65.789722086709546</v>
      </c>
      <c r="AT55" s="563">
        <f t="shared" si="37"/>
        <v>2.9594653590545875E-2</v>
      </c>
      <c r="AU55" s="577">
        <v>26167.27</v>
      </c>
      <c r="AV55" s="563">
        <f t="shared" si="38"/>
        <v>4.7273513000788539E-2</v>
      </c>
      <c r="AW55" s="563">
        <v>1.0929290786642341E-2</v>
      </c>
      <c r="AX55" s="563">
        <v>1.283413999633856E-2</v>
      </c>
      <c r="AY55" s="571">
        <v>1.1874747302677143E-2</v>
      </c>
      <c r="AZ55" s="563">
        <v>1.1635334915130498E-2</v>
      </c>
      <c r="BD55" s="580">
        <v>347</v>
      </c>
      <c r="BE55" s="563">
        <v>75.41</v>
      </c>
      <c r="BF55" s="362">
        <f t="shared" si="15"/>
        <v>26167.27</v>
      </c>
      <c r="BG55" s="578">
        <f>+BF55/$BF$112</f>
        <v>2.9428701098851248E-2</v>
      </c>
    </row>
    <row r="56" spans="2:59">
      <c r="B56" s="579" t="s">
        <v>136</v>
      </c>
      <c r="C56" s="570">
        <f>D56*P56</f>
        <v>1.8896701934883227</v>
      </c>
      <c r="D56" s="569">
        <f>((E56/O56)-1)*100</f>
        <v>21.654633936471555</v>
      </c>
      <c r="E56" s="571">
        <v>100.6402333367185</v>
      </c>
      <c r="F56" s="563">
        <f t="shared" si="4"/>
        <v>8.7503415961446201E-2</v>
      </c>
      <c r="G56" s="571">
        <v>90305.04</v>
      </c>
      <c r="H56" s="563">
        <f t="shared" si="5"/>
        <v>0.22254899582991386</v>
      </c>
      <c r="I56" s="563">
        <v>1.0600135801993473E-2</v>
      </c>
      <c r="J56" s="563">
        <v>9.5995949309142202E-3</v>
      </c>
      <c r="K56" s="563">
        <v>1.1057497392640754E-2</v>
      </c>
      <c r="L56" s="572">
        <v>1.1511654298634122E-2</v>
      </c>
      <c r="M56" s="570">
        <f t="shared" si="6"/>
        <v>0.1763929232758637</v>
      </c>
      <c r="N56" s="569">
        <f t="shared" si="7"/>
        <v>2.2347908357766233</v>
      </c>
      <c r="O56" s="571">
        <v>82.726181552009891</v>
      </c>
      <c r="P56" s="563">
        <f>Q56/Q$112</f>
        <v>8.7264010051246746E-2</v>
      </c>
      <c r="Q56" s="571">
        <v>76571.040000000008</v>
      </c>
      <c r="R56" s="563">
        <f t="shared" si="9"/>
        <v>0.1797801134057313</v>
      </c>
      <c r="S56" s="572">
        <v>1.1661198522790338E-2</v>
      </c>
      <c r="T56" s="563">
        <v>1.2498979523357668E-2</v>
      </c>
      <c r="U56" s="563">
        <v>1.1401465183251702E-2</v>
      </c>
      <c r="V56" s="563">
        <v>1.1074132646170019E-2</v>
      </c>
      <c r="W56" s="570">
        <f t="shared" si="10"/>
        <v>0.59093474667974344</v>
      </c>
      <c r="X56" s="573">
        <f t="shared" si="11"/>
        <v>8.1572921273480823</v>
      </c>
      <c r="Y56" s="574">
        <v>80.917837143028834</v>
      </c>
      <c r="Z56" s="563">
        <f t="shared" si="34"/>
        <v>7.8930394939875664E-2</v>
      </c>
      <c r="AA56" s="571">
        <v>77265.62</v>
      </c>
      <c r="AB56" s="563">
        <f t="shared" si="12"/>
        <v>0.13314433753016156</v>
      </c>
      <c r="AC56" s="563">
        <v>1.0688558045783187E-2</v>
      </c>
      <c r="AD56" s="563">
        <v>1.1113423559251271E-2</v>
      </c>
      <c r="AE56" s="571">
        <v>1.0497469121115243E-2</v>
      </c>
      <c r="AF56" s="563">
        <v>9.9297201761739465E-3</v>
      </c>
      <c r="AG56" s="575">
        <f>AH56*AT56</f>
        <v>1.2338636523016646</v>
      </c>
      <c r="AH56" s="573">
        <f>((AI56/AS56)-1)*100</f>
        <v>16.342240990114519</v>
      </c>
      <c r="AI56" s="576">
        <v>74.814962127337111</v>
      </c>
      <c r="AJ56" s="563">
        <f t="shared" si="35"/>
        <v>7.2442513698703956E-2</v>
      </c>
      <c r="AK56" s="571">
        <v>72763.38</v>
      </c>
      <c r="AL56" s="563">
        <f t="shared" si="36"/>
        <v>9.0915166627837912E-2</v>
      </c>
      <c r="AM56" s="563">
        <v>1.0398671432327745E-2</v>
      </c>
      <c r="AN56" s="563">
        <v>1.1386570123407899E-2</v>
      </c>
      <c r="AO56" s="563">
        <v>1.1535487175863782E-2</v>
      </c>
      <c r="AP56" s="571">
        <v>1.0778032488114533E-2</v>
      </c>
      <c r="AQ56" s="563">
        <f t="shared" si="13"/>
        <v>2.5316316997198238</v>
      </c>
      <c r="AR56" s="563">
        <v>33.719966280351542</v>
      </c>
      <c r="AS56" s="563">
        <v>64.305931784221059</v>
      </c>
      <c r="AT56" s="563">
        <f t="shared" si="37"/>
        <v>7.5501496584711558E-2</v>
      </c>
      <c r="AU56" s="577">
        <v>66757.600000000006</v>
      </c>
      <c r="AV56" s="563">
        <f t="shared" si="38"/>
        <v>4.681640540812395E-2</v>
      </c>
      <c r="AW56" s="563">
        <v>1.079366037475752E-2</v>
      </c>
      <c r="AX56" s="563">
        <v>1.2086302530465814E-2</v>
      </c>
      <c r="AY56" s="571">
        <v>1.2484650851626145E-2</v>
      </c>
      <c r="AZ56" s="563">
        <v>1.1451791651274473E-2</v>
      </c>
      <c r="BD56" s="580">
        <v>1048</v>
      </c>
      <c r="BE56" s="563">
        <v>63.7</v>
      </c>
      <c r="BF56" s="362">
        <f t="shared" si="15"/>
        <v>66757.600000000006</v>
      </c>
      <c r="BG56" s="578">
        <f>+BF56/$BF$112</f>
        <v>7.5078120739254503E-2</v>
      </c>
    </row>
    <row r="57" spans="2:59">
      <c r="B57" s="563" t="s">
        <v>247</v>
      </c>
      <c r="C57" s="570"/>
      <c r="D57" s="569"/>
      <c r="E57" s="571" t="e">
        <v>#DIV/0!</v>
      </c>
      <c r="G57" s="571">
        <v>0</v>
      </c>
      <c r="H57" s="563" t="e">
        <f t="shared" si="5"/>
        <v>#DIV/0!</v>
      </c>
      <c r="I57" s="563" t="e">
        <v>#DIV/0!</v>
      </c>
      <c r="J57" s="563" t="e">
        <v>#DIV/0!</v>
      </c>
      <c r="K57" s="563" t="e">
        <v>#DIV/0!</v>
      </c>
      <c r="L57" s="572" t="e">
        <v>#DIV/0!</v>
      </c>
      <c r="M57" s="570"/>
      <c r="N57" s="569"/>
      <c r="O57" s="571">
        <v>0</v>
      </c>
      <c r="Q57" s="571">
        <v>0</v>
      </c>
      <c r="S57" s="572" t="e">
        <v>#DIV/0!</v>
      </c>
      <c r="T57" s="563" t="e">
        <v>#DIV/0!</v>
      </c>
      <c r="U57" s="563" t="e">
        <v>#DIV/0!</v>
      </c>
      <c r="V57" s="563" t="e">
        <v>#DIV/0!</v>
      </c>
      <c r="W57" s="570"/>
      <c r="X57" s="573"/>
      <c r="Y57" s="574">
        <v>0</v>
      </c>
      <c r="AA57" s="571">
        <v>0</v>
      </c>
      <c r="AC57" s="563" t="e">
        <v>#VALUE!</v>
      </c>
      <c r="AD57" s="563" t="e">
        <v>#VALUE!</v>
      </c>
      <c r="AE57" s="571" t="e">
        <v>#VALUE!</v>
      </c>
      <c r="AF57" s="563" t="e">
        <v>#VALUE!</v>
      </c>
      <c r="AG57" s="575" t="s">
        <v>96</v>
      </c>
      <c r="AH57" s="573" t="s">
        <v>96</v>
      </c>
      <c r="AI57" s="576" t="e">
        <v>#VALUE!</v>
      </c>
      <c r="AJ57" s="563">
        <f t="shared" si="35"/>
        <v>0</v>
      </c>
      <c r="AK57" s="571">
        <v>0</v>
      </c>
      <c r="AL57" s="563" t="s">
        <v>96</v>
      </c>
      <c r="AM57" s="563" t="e">
        <v>#DIV/0!</v>
      </c>
      <c r="AN57" s="563" t="e">
        <v>#DIV/0!</v>
      </c>
      <c r="AO57" s="563" t="e">
        <v>#DIV/0!</v>
      </c>
      <c r="AP57" s="571" t="e">
        <v>#DIV/0!</v>
      </c>
      <c r="AQ57" s="563" t="e">
        <f t="shared" si="13"/>
        <v>#DIV/0!</v>
      </c>
      <c r="AR57" s="563" t="e">
        <v>#DIV/0!</v>
      </c>
      <c r="AS57" s="563" t="e">
        <v>#DIV/0!</v>
      </c>
      <c r="AT57" s="563">
        <f t="shared" si="37"/>
        <v>0</v>
      </c>
      <c r="AU57" s="577">
        <v>0</v>
      </c>
      <c r="AV57" s="563" t="e">
        <f t="shared" si="38"/>
        <v>#DIV/0!</v>
      </c>
      <c r="AW57" s="563" t="e">
        <v>#DIV/0!</v>
      </c>
      <c r="AX57" s="563" t="e">
        <v>#DIV/0!</v>
      </c>
      <c r="AY57" s="571" t="e">
        <v>#DIV/0!</v>
      </c>
      <c r="AZ57" s="563" t="e">
        <v>#DIV/0!</v>
      </c>
      <c r="BD57" s="580"/>
      <c r="BF57" s="362">
        <f t="shared" si="15"/>
        <v>0</v>
      </c>
      <c r="BG57" s="578"/>
    </row>
    <row r="58" spans="2:59">
      <c r="B58" s="563" t="s">
        <v>137</v>
      </c>
      <c r="C58" s="570"/>
      <c r="D58" s="569"/>
      <c r="E58" s="571" t="e">
        <v>#DIV/0!</v>
      </c>
      <c r="F58" s="563">
        <f t="shared" si="4"/>
        <v>0</v>
      </c>
      <c r="G58" s="571">
        <v>0</v>
      </c>
      <c r="H58" s="563" t="e">
        <f t="shared" si="5"/>
        <v>#DIV/0!</v>
      </c>
      <c r="I58" s="563" t="e">
        <v>#DIV/0!</v>
      </c>
      <c r="J58" s="563" t="e">
        <v>#DIV/0!</v>
      </c>
      <c r="K58" s="563" t="e">
        <v>#DIV/0!</v>
      </c>
      <c r="L58" s="572" t="e">
        <v>#DIV/0!</v>
      </c>
      <c r="M58" s="570" t="e">
        <f t="shared" si="6"/>
        <v>#DIV/0!</v>
      </c>
      <c r="N58" s="569" t="e">
        <f t="shared" si="7"/>
        <v>#DIV/0!</v>
      </c>
      <c r="O58" s="571" t="e">
        <v>#DIV/0!</v>
      </c>
      <c r="Q58" s="571">
        <v>0</v>
      </c>
      <c r="R58" s="563" t="e">
        <f t="shared" si="9"/>
        <v>#DIV/0!</v>
      </c>
      <c r="S58" s="572" t="e">
        <v>#DIV/0!</v>
      </c>
      <c r="T58" s="563" t="e">
        <v>#DIV/0!</v>
      </c>
      <c r="U58" s="563" t="e">
        <v>#DIV/0!</v>
      </c>
      <c r="V58" s="563" t="e">
        <v>#DIV/0!</v>
      </c>
      <c r="W58" s="570" t="e">
        <f t="shared" si="10"/>
        <v>#DIV/0!</v>
      </c>
      <c r="X58" s="573" t="e">
        <f t="shared" si="11"/>
        <v>#DIV/0!</v>
      </c>
      <c r="Y58" s="574" t="e">
        <v>#DIV/0!</v>
      </c>
      <c r="Z58" s="563">
        <f t="shared" si="34"/>
        <v>0</v>
      </c>
      <c r="AA58" s="571">
        <v>0</v>
      </c>
      <c r="AB58" s="563" t="e">
        <f t="shared" si="12"/>
        <v>#DIV/0!</v>
      </c>
      <c r="AC58" s="563" t="e">
        <v>#DIV/0!</v>
      </c>
      <c r="AD58" s="563" t="e">
        <v>#DIV/0!</v>
      </c>
      <c r="AE58" s="571" t="e">
        <v>#DIV/0!</v>
      </c>
      <c r="AF58" s="563" t="e">
        <v>#DIV/0!</v>
      </c>
      <c r="AG58" s="575" t="e">
        <f t="shared" ref="AG58:AG66" si="39">AH58*AT58</f>
        <v>#DIV/0!</v>
      </c>
      <c r="AH58" s="573" t="e">
        <f t="shared" ref="AH58:AH66" si="40">((AI58/AS58)-1)*100</f>
        <v>#DIV/0!</v>
      </c>
      <c r="AI58" s="576" t="e">
        <v>#DIV/0!</v>
      </c>
      <c r="AJ58" s="563">
        <f t="shared" si="35"/>
        <v>0</v>
      </c>
      <c r="AK58" s="571">
        <v>0</v>
      </c>
      <c r="AL58" s="563" t="e">
        <f t="shared" ref="AL58:AL78" si="41">AM58+AN58+AO58+AP58+AV58</f>
        <v>#DIV/0!</v>
      </c>
      <c r="AM58" s="563" t="e">
        <v>#DIV/0!</v>
      </c>
      <c r="AN58" s="563" t="e">
        <v>#DIV/0!</v>
      </c>
      <c r="AO58" s="563" t="e">
        <v>#DIV/0!</v>
      </c>
      <c r="AP58" s="571" t="e">
        <v>#DIV/0!</v>
      </c>
      <c r="AQ58" s="563" t="e">
        <f t="shared" si="13"/>
        <v>#DIV/0!</v>
      </c>
      <c r="AR58" s="563" t="e">
        <v>#DIV/0!</v>
      </c>
      <c r="AS58" s="563" t="e">
        <v>#DIV/0!</v>
      </c>
      <c r="AT58" s="563">
        <f t="shared" si="37"/>
        <v>0</v>
      </c>
      <c r="AU58" s="577">
        <v>0</v>
      </c>
      <c r="AV58" s="563" t="e">
        <f t="shared" si="38"/>
        <v>#DIV/0!</v>
      </c>
      <c r="AW58" s="563" t="e">
        <v>#DIV/0!</v>
      </c>
      <c r="AX58" s="563" t="e">
        <v>#DIV/0!</v>
      </c>
      <c r="AY58" s="571" t="e">
        <v>#DIV/0!</v>
      </c>
      <c r="AZ58" s="563" t="e">
        <v>#DIV/0!</v>
      </c>
      <c r="BD58" s="580"/>
      <c r="BF58" s="362">
        <f t="shared" si="15"/>
        <v>0</v>
      </c>
      <c r="BG58" s="578">
        <f>+BF58/$BF$112</f>
        <v>0</v>
      </c>
    </row>
    <row r="59" spans="2:59">
      <c r="B59" s="563" t="s">
        <v>248</v>
      </c>
      <c r="C59" s="570"/>
      <c r="D59" s="569"/>
      <c r="E59" s="571" t="e">
        <v>#DIV/0!</v>
      </c>
      <c r="G59" s="571">
        <v>0</v>
      </c>
      <c r="H59" s="563" t="e">
        <f t="shared" si="5"/>
        <v>#DIV/0!</v>
      </c>
      <c r="I59" s="563" t="e">
        <v>#DIV/0!</v>
      </c>
      <c r="J59" s="563" t="e">
        <v>#DIV/0!</v>
      </c>
      <c r="K59" s="563" t="e">
        <v>#DIV/0!</v>
      </c>
      <c r="L59" s="572" t="e">
        <v>#DIV/0!</v>
      </c>
      <c r="M59" s="570"/>
      <c r="N59" s="569"/>
      <c r="O59" s="571" t="e">
        <v>#DIV/0!</v>
      </c>
      <c r="Q59" s="571">
        <v>0</v>
      </c>
      <c r="R59" s="563" t="e">
        <f t="shared" si="9"/>
        <v>#DIV/0!</v>
      </c>
      <c r="S59" s="572" t="e">
        <v>#DIV/0!</v>
      </c>
      <c r="T59" s="563" t="e">
        <v>#DIV/0!</v>
      </c>
      <c r="U59" s="563" t="e">
        <v>#DIV/0!</v>
      </c>
      <c r="V59" s="563" t="e">
        <v>#DIV/0!</v>
      </c>
      <c r="W59" s="570" t="e">
        <f t="shared" si="10"/>
        <v>#DIV/0!</v>
      </c>
      <c r="X59" s="573" t="e">
        <f t="shared" si="11"/>
        <v>#DIV/0!</v>
      </c>
      <c r="Y59" s="574" t="e">
        <v>#DIV/0!</v>
      </c>
      <c r="Z59" s="563">
        <f t="shared" si="34"/>
        <v>0</v>
      </c>
      <c r="AA59" s="571">
        <v>0</v>
      </c>
      <c r="AB59" s="563" t="e">
        <f t="shared" si="12"/>
        <v>#DIV/0!</v>
      </c>
      <c r="AC59" s="563" t="e">
        <v>#DIV/0!</v>
      </c>
      <c r="AD59" s="563" t="e">
        <v>#DIV/0!</v>
      </c>
      <c r="AE59" s="571" t="e">
        <v>#DIV/0!</v>
      </c>
      <c r="AF59" s="563" t="e">
        <v>#DIV/0!</v>
      </c>
      <c r="AG59" s="575" t="e">
        <f t="shared" si="39"/>
        <v>#DIV/0!</v>
      </c>
      <c r="AH59" s="573" t="e">
        <f t="shared" si="40"/>
        <v>#DIV/0!</v>
      </c>
      <c r="AI59" s="576" t="e">
        <v>#DIV/0!</v>
      </c>
      <c r="AJ59" s="563">
        <f t="shared" si="35"/>
        <v>0</v>
      </c>
      <c r="AK59" s="571">
        <v>0</v>
      </c>
      <c r="AL59" s="563" t="e">
        <f t="shared" si="41"/>
        <v>#DIV/0!</v>
      </c>
      <c r="AM59" s="563" t="e">
        <v>#DIV/0!</v>
      </c>
      <c r="AN59" s="563" t="e">
        <v>#DIV/0!</v>
      </c>
      <c r="AO59" s="563" t="e">
        <v>#DIV/0!</v>
      </c>
      <c r="AP59" s="571" t="e">
        <v>#DIV/0!</v>
      </c>
      <c r="AQ59" s="563" t="e">
        <f t="shared" si="13"/>
        <v>#DIV/0!</v>
      </c>
      <c r="AR59" s="563" t="e">
        <v>#DIV/0!</v>
      </c>
      <c r="AS59" s="563" t="e">
        <v>#DIV/0!</v>
      </c>
      <c r="AT59" s="563">
        <f t="shared" si="37"/>
        <v>0</v>
      </c>
      <c r="AU59" s="577">
        <v>0</v>
      </c>
      <c r="AV59" s="563" t="e">
        <f t="shared" si="38"/>
        <v>#DIV/0!</v>
      </c>
      <c r="AW59" s="563" t="e">
        <v>#DIV/0!</v>
      </c>
      <c r="AX59" s="563" t="e">
        <v>#DIV/0!</v>
      </c>
      <c r="AY59" s="571" t="e">
        <v>#DIV/0!</v>
      </c>
      <c r="AZ59" s="563" t="e">
        <v>#DIV/0!</v>
      </c>
      <c r="BD59" s="580"/>
      <c r="BF59" s="362">
        <f t="shared" si="15"/>
        <v>0</v>
      </c>
      <c r="BG59" s="578"/>
    </row>
    <row r="60" spans="2:59">
      <c r="B60" s="563" t="s">
        <v>249</v>
      </c>
      <c r="C60" s="570"/>
      <c r="D60" s="569"/>
      <c r="E60" s="571" t="e">
        <v>#DIV/0!</v>
      </c>
      <c r="F60" s="563">
        <f t="shared" si="4"/>
        <v>0</v>
      </c>
      <c r="G60" s="571">
        <v>0</v>
      </c>
      <c r="H60" s="563" t="e">
        <f t="shared" si="5"/>
        <v>#DIV/0!</v>
      </c>
      <c r="I60" s="563" t="e">
        <v>#DIV/0!</v>
      </c>
      <c r="J60" s="563" t="e">
        <v>#DIV/0!</v>
      </c>
      <c r="K60" s="563" t="e">
        <v>#DIV/0!</v>
      </c>
      <c r="L60" s="572" t="e">
        <v>#DIV/0!</v>
      </c>
      <c r="M60" s="570" t="e">
        <f t="shared" si="6"/>
        <v>#DIV/0!</v>
      </c>
      <c r="N60" s="569" t="e">
        <f t="shared" si="7"/>
        <v>#DIV/0!</v>
      </c>
      <c r="O60" s="571" t="e">
        <v>#DIV/0!</v>
      </c>
      <c r="Q60" s="571">
        <v>0</v>
      </c>
      <c r="R60" s="563" t="e">
        <f t="shared" si="9"/>
        <v>#DIV/0!</v>
      </c>
      <c r="S60" s="572" t="e">
        <v>#DIV/0!</v>
      </c>
      <c r="T60" s="563" t="e">
        <v>#DIV/0!</v>
      </c>
      <c r="U60" s="563" t="e">
        <v>#DIV/0!</v>
      </c>
      <c r="V60" s="563" t="e">
        <v>#DIV/0!</v>
      </c>
      <c r="W60" s="570" t="e">
        <f t="shared" si="10"/>
        <v>#DIV/0!</v>
      </c>
      <c r="X60" s="573" t="e">
        <f t="shared" si="11"/>
        <v>#DIV/0!</v>
      </c>
      <c r="Y60" s="574" t="e">
        <v>#DIV/0!</v>
      </c>
      <c r="Z60" s="563">
        <f t="shared" si="34"/>
        <v>0</v>
      </c>
      <c r="AA60" s="571">
        <v>0</v>
      </c>
      <c r="AB60" s="563" t="e">
        <f t="shared" si="12"/>
        <v>#DIV/0!</v>
      </c>
      <c r="AC60" s="563" t="e">
        <v>#DIV/0!</v>
      </c>
      <c r="AD60" s="563" t="e">
        <v>#DIV/0!</v>
      </c>
      <c r="AE60" s="571" t="e">
        <v>#DIV/0!</v>
      </c>
      <c r="AF60" s="563" t="e">
        <v>#DIV/0!</v>
      </c>
      <c r="AG60" s="575" t="e">
        <f t="shared" si="39"/>
        <v>#DIV/0!</v>
      </c>
      <c r="AH60" s="573" t="e">
        <f t="shared" si="40"/>
        <v>#DIV/0!</v>
      </c>
      <c r="AI60" s="576" t="e">
        <v>#DIV/0!</v>
      </c>
      <c r="AJ60" s="563">
        <f t="shared" si="35"/>
        <v>0</v>
      </c>
      <c r="AK60" s="571">
        <v>0</v>
      </c>
      <c r="AL60" s="563" t="e">
        <f t="shared" si="41"/>
        <v>#DIV/0!</v>
      </c>
      <c r="AM60" s="563" t="e">
        <v>#DIV/0!</v>
      </c>
      <c r="AN60" s="563" t="e">
        <v>#DIV/0!</v>
      </c>
      <c r="AO60" s="563" t="e">
        <v>#DIV/0!</v>
      </c>
      <c r="AP60" s="571" t="e">
        <v>#DIV/0!</v>
      </c>
      <c r="AQ60" s="563" t="e">
        <f t="shared" si="13"/>
        <v>#DIV/0!</v>
      </c>
      <c r="AR60" s="563" t="e">
        <v>#DIV/0!</v>
      </c>
      <c r="AS60" s="563" t="e">
        <v>#DIV/0!</v>
      </c>
      <c r="AT60" s="563">
        <f t="shared" si="37"/>
        <v>0</v>
      </c>
      <c r="AU60" s="577">
        <v>0</v>
      </c>
      <c r="AV60" s="563" t="e">
        <f t="shared" si="38"/>
        <v>#DIV/0!</v>
      </c>
      <c r="AW60" s="563" t="e">
        <v>#DIV/0!</v>
      </c>
      <c r="AX60" s="563" t="e">
        <v>#DIV/0!</v>
      </c>
      <c r="AY60" s="571" t="e">
        <v>#DIV/0!</v>
      </c>
      <c r="AZ60" s="563" t="e">
        <v>#DIV/0!</v>
      </c>
      <c r="BD60" s="580"/>
      <c r="BF60" s="362">
        <f t="shared" si="15"/>
        <v>0</v>
      </c>
      <c r="BG60" s="578"/>
    </row>
    <row r="61" spans="2:59">
      <c r="B61" s="563" t="s">
        <v>451</v>
      </c>
      <c r="C61" s="570"/>
      <c r="D61" s="569"/>
      <c r="E61" s="571" t="e">
        <v>#DIV/0!</v>
      </c>
      <c r="F61" s="563">
        <f t="shared" si="4"/>
        <v>0</v>
      </c>
      <c r="G61" s="571">
        <v>0</v>
      </c>
      <c r="H61" s="563" t="e">
        <f t="shared" si="5"/>
        <v>#DIV/0!</v>
      </c>
      <c r="I61" s="563" t="e">
        <v>#DIV/0!</v>
      </c>
      <c r="J61" s="563" t="e">
        <v>#DIV/0!</v>
      </c>
      <c r="K61" s="563" t="e">
        <v>#DIV/0!</v>
      </c>
      <c r="L61" s="572" t="e">
        <v>#DIV/0!</v>
      </c>
      <c r="M61" s="570" t="e">
        <f t="shared" si="6"/>
        <v>#DIV/0!</v>
      </c>
      <c r="N61" s="569" t="e">
        <f t="shared" si="7"/>
        <v>#DIV/0!</v>
      </c>
      <c r="O61" s="571" t="e">
        <v>#DIV/0!</v>
      </c>
      <c r="Q61" s="571">
        <v>0</v>
      </c>
      <c r="R61" s="563" t="e">
        <f t="shared" si="9"/>
        <v>#DIV/0!</v>
      </c>
      <c r="S61" s="572" t="e">
        <v>#DIV/0!</v>
      </c>
      <c r="T61" s="563" t="e">
        <v>#DIV/0!</v>
      </c>
      <c r="U61" s="563" t="e">
        <v>#DIV/0!</v>
      </c>
      <c r="V61" s="563" t="e">
        <v>#DIV/0!</v>
      </c>
      <c r="W61" s="570" t="e">
        <f t="shared" si="10"/>
        <v>#DIV/0!</v>
      </c>
      <c r="X61" s="573" t="e">
        <f t="shared" si="11"/>
        <v>#DIV/0!</v>
      </c>
      <c r="Y61" s="574" t="e">
        <v>#DIV/0!</v>
      </c>
      <c r="Z61" s="563">
        <f t="shared" si="34"/>
        <v>0</v>
      </c>
      <c r="AA61" s="571">
        <v>0</v>
      </c>
      <c r="AB61" s="563" t="e">
        <f t="shared" si="12"/>
        <v>#DIV/0!</v>
      </c>
      <c r="AC61" s="563" t="e">
        <v>#DIV/0!</v>
      </c>
      <c r="AD61" s="563" t="e">
        <v>#DIV/0!</v>
      </c>
      <c r="AE61" s="571" t="e">
        <v>#DIV/0!</v>
      </c>
      <c r="AF61" s="563" t="e">
        <v>#DIV/0!</v>
      </c>
      <c r="AG61" s="575" t="e">
        <f t="shared" si="39"/>
        <v>#DIV/0!</v>
      </c>
      <c r="AH61" s="573" t="e">
        <f t="shared" si="40"/>
        <v>#DIV/0!</v>
      </c>
      <c r="AI61" s="576" t="e">
        <v>#DIV/0!</v>
      </c>
      <c r="AJ61" s="563">
        <f t="shared" si="35"/>
        <v>0</v>
      </c>
      <c r="AK61" s="571">
        <v>0</v>
      </c>
      <c r="AL61" s="563" t="e">
        <f t="shared" si="41"/>
        <v>#DIV/0!</v>
      </c>
      <c r="AM61" s="563" t="e">
        <v>#DIV/0!</v>
      </c>
      <c r="AN61" s="563" t="e">
        <v>#DIV/0!</v>
      </c>
      <c r="AO61" s="563" t="e">
        <v>#DIV/0!</v>
      </c>
      <c r="AP61" s="571" t="e">
        <v>#DIV/0!</v>
      </c>
      <c r="AQ61" s="563" t="e">
        <f t="shared" si="13"/>
        <v>#DIV/0!</v>
      </c>
      <c r="AR61" s="563" t="e">
        <v>#DIV/0!</v>
      </c>
      <c r="AS61" s="563" t="e">
        <v>#DIV/0!</v>
      </c>
      <c r="AT61" s="563">
        <f t="shared" si="37"/>
        <v>0</v>
      </c>
      <c r="AU61" s="577">
        <v>0</v>
      </c>
      <c r="AV61" s="563" t="e">
        <f t="shared" si="38"/>
        <v>#DIV/0!</v>
      </c>
      <c r="AW61" s="563" t="e">
        <v>#DIV/0!</v>
      </c>
      <c r="AX61" s="563" t="e">
        <v>#DIV/0!</v>
      </c>
      <c r="AY61" s="571" t="e">
        <v>#DIV/0!</v>
      </c>
      <c r="AZ61" s="563" t="e">
        <v>#DIV/0!</v>
      </c>
      <c r="BD61" s="580"/>
      <c r="BF61" s="362">
        <f t="shared" si="15"/>
        <v>0</v>
      </c>
      <c r="BG61" s="578"/>
    </row>
    <row r="62" spans="2:59">
      <c r="B62" s="579" t="s">
        <v>138</v>
      </c>
      <c r="C62" s="570">
        <f>D62*P62</f>
        <v>0.59415347230322935</v>
      </c>
      <c r="D62" s="569">
        <f>((E62/O62)-1)*100</f>
        <v>27.423580301773519</v>
      </c>
      <c r="E62" s="571">
        <v>103.08298679645205</v>
      </c>
      <c r="F62" s="563">
        <f t="shared" si="4"/>
        <v>2.3044721980973869E-2</v>
      </c>
      <c r="G62" s="571">
        <v>23782.552</v>
      </c>
      <c r="H62" s="563">
        <f t="shared" si="5"/>
        <v>0.15641672421418049</v>
      </c>
      <c r="I62" s="563">
        <v>8.6270928095256751E-3</v>
      </c>
      <c r="J62" s="563">
        <v>8.7259622494169839E-3</v>
      </c>
      <c r="K62" s="563">
        <v>1.0632107249010998E-2</v>
      </c>
      <c r="L62" s="572">
        <v>1.0130633076204905E-2</v>
      </c>
      <c r="M62" s="570">
        <f t="shared" si="6"/>
        <v>-0.37555392868931153</v>
      </c>
      <c r="N62" s="569">
        <f t="shared" si="7"/>
        <v>-16.000087737551905</v>
      </c>
      <c r="O62" s="571">
        <v>80.897889191563792</v>
      </c>
      <c r="P62" s="563">
        <f t="shared" ref="P62:P64" si="42">Q62/Q$112</f>
        <v>2.1665787828032235E-2</v>
      </c>
      <c r="Q62" s="571">
        <v>19010.952000000001</v>
      </c>
      <c r="R62" s="563">
        <f t="shared" si="9"/>
        <v>0.11830092883002193</v>
      </c>
      <c r="S62" s="572">
        <v>9.6550580397822897E-3</v>
      </c>
      <c r="T62" s="563">
        <v>9.2558560641114625E-3</v>
      </c>
      <c r="U62" s="563">
        <v>8.4157437336264979E-3</v>
      </c>
      <c r="V62" s="563">
        <v>7.8983428030944165E-3</v>
      </c>
      <c r="W62" s="570">
        <f t="shared" si="10"/>
        <v>5.9313714909158252E-2</v>
      </c>
      <c r="X62" s="573">
        <f t="shared" si="11"/>
        <v>2.6013326460871511</v>
      </c>
      <c r="Y62" s="574">
        <v>96.3071115346021</v>
      </c>
      <c r="Z62" s="563">
        <f t="shared" si="34"/>
        <v>2.3471991832138116E-2</v>
      </c>
      <c r="AA62" s="571">
        <v>22976.928</v>
      </c>
      <c r="AB62" s="563">
        <f t="shared" si="12"/>
        <v>8.3075928189407261E-2</v>
      </c>
      <c r="AC62" s="563">
        <v>7.139032483876105E-3</v>
      </c>
      <c r="AD62" s="563">
        <v>7.8235490321205726E-3</v>
      </c>
      <c r="AE62" s="571">
        <v>6.9289375979913383E-3</v>
      </c>
      <c r="AF62" s="563">
        <v>6.6359173434498925E-3</v>
      </c>
      <c r="AG62" s="575">
        <f t="shared" si="39"/>
        <v>0.36504729376909939</v>
      </c>
      <c r="AH62" s="573">
        <f t="shared" si="40"/>
        <v>17.091278033578373</v>
      </c>
      <c r="AI62" s="576">
        <v>93.865361249062602</v>
      </c>
      <c r="AJ62" s="563">
        <f t="shared" si="35"/>
        <v>2.2801280335437383E-2</v>
      </c>
      <c r="AK62" s="571">
        <v>22902.273000000001</v>
      </c>
      <c r="AL62" s="563">
        <f t="shared" si="41"/>
        <v>5.4548491731969344E-2</v>
      </c>
      <c r="AM62" s="563">
        <v>6.4761240559689931E-3</v>
      </c>
      <c r="AN62" s="563">
        <v>7.0685444785015348E-3</v>
      </c>
      <c r="AO62" s="563">
        <v>7.1045055560072512E-3</v>
      </c>
      <c r="AP62" s="571">
        <v>6.9423101538618037E-3</v>
      </c>
      <c r="AQ62" s="563">
        <f t="shared" si="13"/>
        <v>0.76236395535788803</v>
      </c>
      <c r="AR62" s="563">
        <v>35.894666900295611</v>
      </c>
      <c r="AS62" s="563">
        <v>80.16426400448438</v>
      </c>
      <c r="AT62" s="563">
        <f t="shared" si="37"/>
        <v>2.1358689095801343E-2</v>
      </c>
      <c r="AU62" s="577">
        <v>18885.12</v>
      </c>
      <c r="AV62" s="563">
        <f t="shared" si="38"/>
        <v>2.6957007487629761E-2</v>
      </c>
      <c r="AW62" s="563">
        <v>6.7309304340582802E-3</v>
      </c>
      <c r="AX62" s="563">
        <v>6.3463639100410666E-3</v>
      </c>
      <c r="AY62" s="571">
        <v>7.0830634112772212E-3</v>
      </c>
      <c r="AZ62" s="563">
        <v>6.7966497322531922E-3</v>
      </c>
      <c r="BD62" s="580">
        <v>245.9</v>
      </c>
      <c r="BE62" s="563">
        <v>76.8</v>
      </c>
      <c r="BF62" s="362">
        <f t="shared" si="15"/>
        <v>18885.12</v>
      </c>
      <c r="BG62" s="578">
        <f>+BF62/$BF$112</f>
        <v>2.1238919906277486E-2</v>
      </c>
    </row>
    <row r="63" spans="2:59">
      <c r="B63" s="563" t="s">
        <v>139</v>
      </c>
      <c r="C63" s="570"/>
      <c r="D63" s="569"/>
      <c r="E63" s="571" t="e">
        <v>#DIV/0!</v>
      </c>
      <c r="F63" s="563">
        <f t="shared" si="4"/>
        <v>0</v>
      </c>
      <c r="G63" s="571">
        <v>0</v>
      </c>
      <c r="H63" s="563" t="e">
        <f t="shared" si="5"/>
        <v>#DIV/0!</v>
      </c>
      <c r="I63" s="563" t="e">
        <v>#DIV/0!</v>
      </c>
      <c r="J63" s="563" t="e">
        <v>#DIV/0!</v>
      </c>
      <c r="K63" s="563" t="e">
        <v>#DIV/0!</v>
      </c>
      <c r="L63" s="572" t="e">
        <v>#DIV/0!</v>
      </c>
      <c r="M63" s="570" t="e">
        <f t="shared" si="6"/>
        <v>#DIV/0!</v>
      </c>
      <c r="N63" s="569" t="e">
        <f t="shared" si="7"/>
        <v>#DIV/0!</v>
      </c>
      <c r="O63" s="571" t="e">
        <v>#DIV/0!</v>
      </c>
      <c r="Q63" s="571">
        <v>0</v>
      </c>
      <c r="R63" s="563" t="e">
        <f t="shared" si="9"/>
        <v>#DIV/0!</v>
      </c>
      <c r="S63" s="572" t="e">
        <v>#DIV/0!</v>
      </c>
      <c r="T63" s="563" t="e">
        <v>#DIV/0!</v>
      </c>
      <c r="U63" s="563" t="e">
        <v>#DIV/0!</v>
      </c>
      <c r="V63" s="563" t="e">
        <v>#DIV/0!</v>
      </c>
      <c r="W63" s="570" t="e">
        <f t="shared" si="10"/>
        <v>#DIV/0!</v>
      </c>
      <c r="X63" s="573" t="e">
        <f t="shared" si="11"/>
        <v>#DIV/0!</v>
      </c>
      <c r="Y63" s="574" t="e">
        <v>#DIV/0!</v>
      </c>
      <c r="Z63" s="563">
        <f t="shared" si="34"/>
        <v>0</v>
      </c>
      <c r="AA63" s="571">
        <v>0</v>
      </c>
      <c r="AB63" s="563" t="e">
        <f t="shared" si="12"/>
        <v>#DIV/0!</v>
      </c>
      <c r="AC63" s="563" t="e">
        <v>#DIV/0!</v>
      </c>
      <c r="AD63" s="563" t="e">
        <v>#DIV/0!</v>
      </c>
      <c r="AE63" s="571" t="e">
        <v>#DIV/0!</v>
      </c>
      <c r="AF63" s="563" t="e">
        <v>#DIV/0!</v>
      </c>
      <c r="AG63" s="575" t="e">
        <f t="shared" si="39"/>
        <v>#DIV/0!</v>
      </c>
      <c r="AH63" s="573" t="e">
        <f t="shared" si="40"/>
        <v>#DIV/0!</v>
      </c>
      <c r="AI63" s="576" t="e">
        <v>#DIV/0!</v>
      </c>
      <c r="AJ63" s="563">
        <f t="shared" si="35"/>
        <v>0</v>
      </c>
      <c r="AK63" s="571">
        <v>0</v>
      </c>
      <c r="AL63" s="563" t="e">
        <f t="shared" si="41"/>
        <v>#DIV/0!</v>
      </c>
      <c r="AM63" s="563" t="e">
        <v>#DIV/0!</v>
      </c>
      <c r="AN63" s="563" t="e">
        <v>#DIV/0!</v>
      </c>
      <c r="AO63" s="563" t="e">
        <v>#DIV/0!</v>
      </c>
      <c r="AP63" s="571" t="e">
        <v>#DIV/0!</v>
      </c>
      <c r="AQ63" s="563" t="e">
        <f t="shared" si="13"/>
        <v>#DIV/0!</v>
      </c>
      <c r="AR63" s="563" t="e">
        <v>#DIV/0!</v>
      </c>
      <c r="AS63" s="563" t="e">
        <v>#DIV/0!</v>
      </c>
      <c r="AT63" s="563">
        <f t="shared" si="37"/>
        <v>0</v>
      </c>
      <c r="AU63" s="577">
        <v>0</v>
      </c>
      <c r="AV63" s="563" t="e">
        <f t="shared" si="38"/>
        <v>#DIV/0!</v>
      </c>
      <c r="AW63" s="563" t="e">
        <v>#DIV/0!</v>
      </c>
      <c r="AX63" s="563" t="e">
        <v>#DIV/0!</v>
      </c>
      <c r="AY63" s="571" t="e">
        <v>#DIV/0!</v>
      </c>
      <c r="AZ63" s="563" t="e">
        <v>#DIV/0!</v>
      </c>
      <c r="BD63" s="580"/>
      <c r="BF63" s="362">
        <f t="shared" si="15"/>
        <v>0</v>
      </c>
      <c r="BG63" s="578">
        <f>+BF63/$BF$112</f>
        <v>0</v>
      </c>
    </row>
    <row r="64" spans="2:59">
      <c r="B64" s="579" t="s">
        <v>140</v>
      </c>
      <c r="C64" s="570">
        <f>D64*P64</f>
        <v>6.1093366600481801E-3</v>
      </c>
      <c r="D64" s="569">
        <f>((E64/O64)-1)*100</f>
        <v>6.3337305610909</v>
      </c>
      <c r="E64" s="571">
        <v>63.567630697160851</v>
      </c>
      <c r="F64" s="563">
        <f t="shared" si="4"/>
        <v>8.4539182736985006E-4</v>
      </c>
      <c r="G64" s="571">
        <v>872.45900000000006</v>
      </c>
      <c r="H64" s="563">
        <f t="shared" si="5"/>
        <v>0.17305094477137578</v>
      </c>
      <c r="I64" s="563">
        <v>9.1283832560255396E-3</v>
      </c>
      <c r="J64" s="563">
        <v>8.1086318931894753E-3</v>
      </c>
      <c r="K64" s="563">
        <v>9.407659103503177E-3</v>
      </c>
      <c r="L64" s="572">
        <v>9.23207323487313E-3</v>
      </c>
      <c r="M64" s="570">
        <f t="shared" si="6"/>
        <v>4.7843936199587697E-3</v>
      </c>
      <c r="N64" s="569">
        <f t="shared" si="7"/>
        <v>5.699331559204035</v>
      </c>
      <c r="O64" s="571">
        <v>59.781247551208551</v>
      </c>
      <c r="P64" s="563">
        <f t="shared" si="42"/>
        <v>9.6457160612085284E-4</v>
      </c>
      <c r="Q64" s="571">
        <v>846.37700000000007</v>
      </c>
      <c r="R64" s="563">
        <f t="shared" si="9"/>
        <v>0.13717419728378447</v>
      </c>
      <c r="S64" s="572">
        <v>8.6938282189699418E-3</v>
      </c>
      <c r="T64" s="563">
        <v>1.0600360651078508E-2</v>
      </c>
      <c r="U64" s="563">
        <v>8.8573100539482159E-3</v>
      </c>
      <c r="V64" s="563">
        <v>7.8188561726123089E-3</v>
      </c>
      <c r="W64" s="570">
        <f t="shared" si="10"/>
        <v>1.0756183098522059E-2</v>
      </c>
      <c r="X64" s="573">
        <f t="shared" si="11"/>
        <v>15.115940352690194</v>
      </c>
      <c r="Y64" s="574">
        <v>56.557829334733334</v>
      </c>
      <c r="Z64" s="563">
        <f t="shared" si="34"/>
        <v>8.3946574615970495E-4</v>
      </c>
      <c r="AA64" s="571">
        <v>821.76</v>
      </c>
      <c r="AB64" s="563">
        <f t="shared" si="12"/>
        <v>0.10120384218717549</v>
      </c>
      <c r="AC64" s="563">
        <v>8.2989275063381357E-3</v>
      </c>
      <c r="AD64" s="563">
        <v>9.0997633801350678E-3</v>
      </c>
      <c r="AE64" s="571">
        <v>7.1508037389151399E-3</v>
      </c>
      <c r="AF64" s="563">
        <v>8.3527987974755698E-3</v>
      </c>
      <c r="AG64" s="575">
        <f t="shared" si="39"/>
        <v>7.6218892329755475E-3</v>
      </c>
      <c r="AH64" s="573">
        <f t="shared" si="40"/>
        <v>7.3172992606786114</v>
      </c>
      <c r="AI64" s="576">
        <v>49.131188227670691</v>
      </c>
      <c r="AJ64" s="563">
        <f t="shared" si="35"/>
        <v>7.1157882656025268E-4</v>
      </c>
      <c r="AK64" s="571">
        <v>714.73059000000001</v>
      </c>
      <c r="AL64" s="563">
        <f t="shared" si="41"/>
        <v>6.8301548764311576E-2</v>
      </c>
      <c r="AM64" s="563">
        <v>8.7546816590562508E-3</v>
      </c>
      <c r="AN64" s="563">
        <v>9.3287258920295869E-3</v>
      </c>
      <c r="AO64" s="563">
        <v>7.4804666103285046E-3</v>
      </c>
      <c r="AP64" s="571">
        <v>8.6008316984827644E-3</v>
      </c>
      <c r="AQ64" s="563">
        <f t="shared" si="13"/>
        <v>3.660849422571495E-4</v>
      </c>
      <c r="AR64" s="563">
        <v>0.35343716654632207</v>
      </c>
      <c r="AS64" s="563">
        <v>45.781238035378429</v>
      </c>
      <c r="AT64" s="563">
        <f t="shared" si="37"/>
        <v>1.0416260100135208E-3</v>
      </c>
      <c r="AU64" s="577">
        <v>920.99436000000003</v>
      </c>
      <c r="AV64" s="563">
        <f t="shared" si="38"/>
        <v>3.4136842904414461E-2</v>
      </c>
      <c r="AW64" s="563">
        <v>8.6863325364353317E-3</v>
      </c>
      <c r="AX64" s="563">
        <v>9.8563101727026075E-3</v>
      </c>
      <c r="AY64" s="571">
        <v>8.4267690026159688E-3</v>
      </c>
      <c r="AZ64" s="563">
        <v>7.16743119266055E-3</v>
      </c>
      <c r="BD64" s="580">
        <v>14.898</v>
      </c>
      <c r="BE64" s="563">
        <v>61.82</v>
      </c>
      <c r="BF64" s="362">
        <f t="shared" si="15"/>
        <v>920.99436000000003</v>
      </c>
      <c r="BG64" s="578">
        <f>+BF64/$BF$112</f>
        <v>1.0357850755607215E-3</v>
      </c>
    </row>
    <row r="65" spans="2:59">
      <c r="B65" s="563" t="s">
        <v>250</v>
      </c>
      <c r="C65" s="570"/>
      <c r="D65" s="569"/>
      <c r="E65" s="571" t="e">
        <v>#DIV/0!</v>
      </c>
      <c r="G65" s="571">
        <v>0</v>
      </c>
      <c r="H65" s="563" t="e">
        <f t="shared" si="5"/>
        <v>#DIV/0!</v>
      </c>
      <c r="I65" s="563" t="e">
        <v>#DIV/0!</v>
      </c>
      <c r="J65" s="563" t="e">
        <v>#DIV/0!</v>
      </c>
      <c r="K65" s="563" t="e">
        <v>#DIV/0!</v>
      </c>
      <c r="L65" s="572" t="e">
        <v>#DIV/0!</v>
      </c>
      <c r="M65" s="570"/>
      <c r="N65" s="569"/>
      <c r="O65" s="571">
        <v>0</v>
      </c>
      <c r="Q65" s="571">
        <v>0</v>
      </c>
      <c r="S65" s="572" t="e">
        <v>#VALUE!</v>
      </c>
      <c r="T65" s="563" t="e">
        <v>#VALUE!</v>
      </c>
      <c r="U65" s="563" t="e">
        <v>#VALUE!</v>
      </c>
      <c r="V65" s="563" t="e">
        <v>#VALUE!</v>
      </c>
      <c r="W65" s="570" t="s">
        <v>96</v>
      </c>
      <c r="X65" s="573" t="s">
        <v>96</v>
      </c>
      <c r="Y65" s="574" t="e">
        <v>#VALUE!</v>
      </c>
      <c r="Z65" s="563">
        <f t="shared" si="34"/>
        <v>0</v>
      </c>
      <c r="AA65" s="571">
        <v>0</v>
      </c>
      <c r="AB65" s="563" t="s">
        <v>96</v>
      </c>
      <c r="AC65" s="563" t="e">
        <v>#DIV/0!</v>
      </c>
      <c r="AD65" s="563" t="e">
        <v>#DIV/0!</v>
      </c>
      <c r="AE65" s="571" t="e">
        <v>#DIV/0!</v>
      </c>
      <c r="AF65" s="563" t="e">
        <v>#DIV/0!</v>
      </c>
      <c r="AG65" s="575" t="e">
        <f t="shared" si="39"/>
        <v>#DIV/0!</v>
      </c>
      <c r="AH65" s="573" t="e">
        <f t="shared" si="40"/>
        <v>#DIV/0!</v>
      </c>
      <c r="AI65" s="576" t="e">
        <v>#DIV/0!</v>
      </c>
      <c r="AJ65" s="563">
        <f t="shared" si="35"/>
        <v>0</v>
      </c>
      <c r="AK65" s="571">
        <v>0</v>
      </c>
      <c r="AL65" s="563" t="e">
        <f t="shared" si="41"/>
        <v>#DIV/0!</v>
      </c>
      <c r="AM65" s="563" t="e">
        <v>#DIV/0!</v>
      </c>
      <c r="AN65" s="563" t="e">
        <v>#DIV/0!</v>
      </c>
      <c r="AO65" s="563" t="e">
        <v>#DIV/0!</v>
      </c>
      <c r="AP65" s="571" t="e">
        <v>#DIV/0!</v>
      </c>
      <c r="AQ65" s="563" t="e">
        <f t="shared" si="13"/>
        <v>#DIV/0!</v>
      </c>
      <c r="AR65" s="563" t="e">
        <v>#DIV/0!</v>
      </c>
      <c r="AS65" s="563" t="e">
        <v>#DIV/0!</v>
      </c>
      <c r="AT65" s="563">
        <f t="shared" si="37"/>
        <v>0</v>
      </c>
      <c r="AU65" s="577">
        <v>0</v>
      </c>
      <c r="AV65" s="563" t="e">
        <f t="shared" si="38"/>
        <v>#DIV/0!</v>
      </c>
      <c r="AW65" s="563" t="e">
        <v>#DIV/0!</v>
      </c>
      <c r="AX65" s="563" t="e">
        <v>#DIV/0!</v>
      </c>
      <c r="AY65" s="571" t="e">
        <v>#DIV/0!</v>
      </c>
      <c r="AZ65" s="563" t="e">
        <v>#DIV/0!</v>
      </c>
      <c r="BD65" s="580"/>
      <c r="BF65" s="362">
        <f t="shared" si="15"/>
        <v>0</v>
      </c>
      <c r="BG65" s="578"/>
    </row>
    <row r="66" spans="2:59">
      <c r="B66" s="563" t="s">
        <v>141</v>
      </c>
      <c r="C66" s="570"/>
      <c r="D66" s="569"/>
      <c r="E66" s="571" t="e">
        <v>#DIV/0!</v>
      </c>
      <c r="F66" s="563">
        <f t="shared" si="4"/>
        <v>0</v>
      </c>
      <c r="G66" s="571">
        <v>0</v>
      </c>
      <c r="H66" s="563" t="e">
        <f t="shared" si="5"/>
        <v>#DIV/0!</v>
      </c>
      <c r="I66" s="563" t="e">
        <v>#DIV/0!</v>
      </c>
      <c r="J66" s="563" t="e">
        <v>#DIV/0!</v>
      </c>
      <c r="K66" s="563" t="e">
        <v>#DIV/0!</v>
      </c>
      <c r="L66" s="572" t="e">
        <v>#DIV/0!</v>
      </c>
      <c r="M66" s="570" t="e">
        <f t="shared" si="6"/>
        <v>#DIV/0!</v>
      </c>
      <c r="N66" s="569" t="e">
        <f t="shared" si="7"/>
        <v>#DIV/0!</v>
      </c>
      <c r="O66" s="571" t="e">
        <v>#DIV/0!</v>
      </c>
      <c r="Q66" s="571">
        <v>0</v>
      </c>
      <c r="R66" s="563" t="e">
        <f t="shared" si="9"/>
        <v>#DIV/0!</v>
      </c>
      <c r="S66" s="572" t="e">
        <v>#DIV/0!</v>
      </c>
      <c r="T66" s="563" t="e">
        <v>#DIV/0!</v>
      </c>
      <c r="U66" s="563" t="e">
        <v>#DIV/0!</v>
      </c>
      <c r="V66" s="563" t="e">
        <v>#DIV/0!</v>
      </c>
      <c r="W66" s="570" t="e">
        <f t="shared" si="10"/>
        <v>#DIV/0!</v>
      </c>
      <c r="X66" s="573" t="e">
        <f t="shared" si="11"/>
        <v>#DIV/0!</v>
      </c>
      <c r="Y66" s="574" t="e">
        <v>#DIV/0!</v>
      </c>
      <c r="Z66" s="563">
        <f t="shared" si="34"/>
        <v>0</v>
      </c>
      <c r="AA66" s="571">
        <v>0</v>
      </c>
      <c r="AB66" s="563" t="e">
        <f t="shared" si="12"/>
        <v>#DIV/0!</v>
      </c>
      <c r="AC66" s="563" t="e">
        <v>#DIV/0!</v>
      </c>
      <c r="AD66" s="563" t="e">
        <v>#DIV/0!</v>
      </c>
      <c r="AE66" s="571" t="e">
        <v>#DIV/0!</v>
      </c>
      <c r="AF66" s="563" t="e">
        <v>#DIV/0!</v>
      </c>
      <c r="AG66" s="575" t="e">
        <f t="shared" si="39"/>
        <v>#DIV/0!</v>
      </c>
      <c r="AH66" s="573" t="e">
        <f t="shared" si="40"/>
        <v>#DIV/0!</v>
      </c>
      <c r="AI66" s="576" t="e">
        <v>#DIV/0!</v>
      </c>
      <c r="AJ66" s="563">
        <f t="shared" si="35"/>
        <v>0</v>
      </c>
      <c r="AK66" s="571">
        <v>0</v>
      </c>
      <c r="AL66" s="563" t="e">
        <f t="shared" si="41"/>
        <v>#DIV/0!</v>
      </c>
      <c r="AM66" s="563" t="e">
        <v>#DIV/0!</v>
      </c>
      <c r="AN66" s="563" t="e">
        <v>#DIV/0!</v>
      </c>
      <c r="AO66" s="563" t="e">
        <v>#DIV/0!</v>
      </c>
      <c r="AP66" s="571" t="e">
        <v>#DIV/0!</v>
      </c>
      <c r="AQ66" s="563" t="e">
        <f t="shared" si="13"/>
        <v>#DIV/0!</v>
      </c>
      <c r="AR66" s="563" t="e">
        <v>#DIV/0!</v>
      </c>
      <c r="AS66" s="563" t="e">
        <v>#DIV/0!</v>
      </c>
      <c r="AT66" s="563">
        <f t="shared" si="37"/>
        <v>0</v>
      </c>
      <c r="AU66" s="577">
        <v>0</v>
      </c>
      <c r="AV66" s="563" t="e">
        <f t="shared" si="38"/>
        <v>#DIV/0!</v>
      </c>
      <c r="AW66" s="563" t="e">
        <v>#DIV/0!</v>
      </c>
      <c r="AX66" s="563" t="e">
        <v>#DIV/0!</v>
      </c>
      <c r="AY66" s="571" t="e">
        <v>#DIV/0!</v>
      </c>
      <c r="AZ66" s="563" t="e">
        <v>#DIV/0!</v>
      </c>
      <c r="BD66" s="580"/>
      <c r="BF66" s="362">
        <f t="shared" si="15"/>
        <v>0</v>
      </c>
      <c r="BG66" s="578"/>
    </row>
    <row r="67" spans="2:59">
      <c r="B67" s="563" t="s">
        <v>251</v>
      </c>
      <c r="C67" s="570"/>
      <c r="D67" s="569"/>
      <c r="E67" s="571" t="e">
        <v>#DIV/0!</v>
      </c>
      <c r="G67" s="571">
        <v>0</v>
      </c>
      <c r="H67" s="563" t="e">
        <f t="shared" si="5"/>
        <v>#DIV/0!</v>
      </c>
      <c r="I67" s="563" t="e">
        <v>#DIV/0!</v>
      </c>
      <c r="J67" s="563" t="e">
        <v>#DIV/0!</v>
      </c>
      <c r="K67" s="563" t="e">
        <v>#DIV/0!</v>
      </c>
      <c r="L67" s="572" t="e">
        <v>#DIV/0!</v>
      </c>
      <c r="M67" s="570"/>
      <c r="N67" s="569"/>
      <c r="O67" s="571">
        <v>0</v>
      </c>
      <c r="Q67" s="571">
        <v>0</v>
      </c>
      <c r="S67" s="572" t="e">
        <v>#VALUE!</v>
      </c>
      <c r="T67" s="563" t="e">
        <v>#VALUE!</v>
      </c>
      <c r="U67" s="563" t="e">
        <v>#VALUE!</v>
      </c>
      <c r="V67" s="563" t="e">
        <v>#VALUE!</v>
      </c>
      <c r="W67" s="570" t="s">
        <v>96</v>
      </c>
      <c r="X67" s="573" t="s">
        <v>96</v>
      </c>
      <c r="Y67" s="574" t="e">
        <v>#VALUE!</v>
      </c>
      <c r="Z67" s="563">
        <f t="shared" si="34"/>
        <v>0</v>
      </c>
      <c r="AA67" s="571">
        <v>0</v>
      </c>
      <c r="AB67" s="563" t="s">
        <v>96</v>
      </c>
      <c r="AC67" s="563" t="e">
        <v>#DIV/0!</v>
      </c>
      <c r="AD67" s="563" t="e">
        <v>#DIV/0!</v>
      </c>
      <c r="AE67" s="571" t="e">
        <v>#DIV/0!</v>
      </c>
      <c r="AF67" s="563" t="e">
        <v>#DIV/0!</v>
      </c>
      <c r="AG67" s="575"/>
      <c r="AH67" s="573"/>
      <c r="AI67" s="576" t="e">
        <v>#DIV/0!</v>
      </c>
      <c r="AJ67" s="563">
        <f t="shared" si="35"/>
        <v>0</v>
      </c>
      <c r="AK67" s="571">
        <v>0</v>
      </c>
      <c r="AL67" s="563" t="e">
        <f t="shared" si="41"/>
        <v>#DIV/0!</v>
      </c>
      <c r="AM67" s="563" t="e">
        <v>#DIV/0!</v>
      </c>
      <c r="AN67" s="563" t="e">
        <v>#DIV/0!</v>
      </c>
      <c r="AO67" s="563" t="e">
        <v>#DIV/0!</v>
      </c>
      <c r="AP67" s="571" t="e">
        <v>#DIV/0!</v>
      </c>
      <c r="AQ67" s="563" t="e">
        <f t="shared" si="13"/>
        <v>#DIV/0!</v>
      </c>
      <c r="AR67" s="563" t="e">
        <v>#DIV/0!</v>
      </c>
      <c r="AS67" s="563" t="e">
        <v>#DIV/0!</v>
      </c>
      <c r="AT67" s="563">
        <f t="shared" si="37"/>
        <v>0</v>
      </c>
      <c r="AU67" s="577">
        <v>0</v>
      </c>
      <c r="AV67" s="563" t="e">
        <f t="shared" si="38"/>
        <v>#DIV/0!</v>
      </c>
      <c r="AW67" s="563" t="e">
        <v>#DIV/0!</v>
      </c>
      <c r="AX67" s="563" t="e">
        <v>#DIV/0!</v>
      </c>
      <c r="AY67" s="571" t="e">
        <v>#DIV/0!</v>
      </c>
      <c r="AZ67" s="563" t="e">
        <v>#DIV/0!</v>
      </c>
      <c r="BD67" s="580"/>
      <c r="BF67" s="362">
        <f t="shared" si="15"/>
        <v>0</v>
      </c>
      <c r="BG67" s="578"/>
    </row>
    <row r="68" spans="2:59">
      <c r="B68" s="579" t="s">
        <v>142</v>
      </c>
      <c r="C68" s="570">
        <f>D68*P68</f>
        <v>0.35659151908468556</v>
      </c>
      <c r="D68" s="569">
        <f>((E68/O68)-1)*100</f>
        <v>18.516358236624409</v>
      </c>
      <c r="E68" s="571">
        <v>77.376321287129159</v>
      </c>
      <c r="F68" s="563">
        <f t="shared" si="4"/>
        <v>1.9245510514157974E-2</v>
      </c>
      <c r="G68" s="571">
        <v>19861.7</v>
      </c>
      <c r="H68" s="563">
        <f t="shared" si="5"/>
        <v>0.16093505307020481</v>
      </c>
      <c r="I68" s="563">
        <v>8.9016832030247208E-3</v>
      </c>
      <c r="J68" s="563">
        <v>8.3392674886723986E-3</v>
      </c>
      <c r="K68" s="563">
        <v>9.8093506990578963E-3</v>
      </c>
      <c r="L68" s="572">
        <v>9.5957710478172132E-3</v>
      </c>
      <c r="M68" s="570">
        <f t="shared" si="6"/>
        <v>-9.7570431290353726E-2</v>
      </c>
      <c r="N68" s="569">
        <f t="shared" si="7"/>
        <v>-5.2077748165118454</v>
      </c>
      <c r="O68" s="571">
        <v>65.287461105278894</v>
      </c>
      <c r="P68" s="563">
        <f>Q68/Q$112</f>
        <v>1.9258188598844764E-2</v>
      </c>
      <c r="Q68" s="571">
        <v>16898.37</v>
      </c>
      <c r="R68" s="563">
        <f t="shared" si="9"/>
        <v>0.12428898063163257</v>
      </c>
      <c r="S68" s="572">
        <v>9.3598749614980277E-3</v>
      </c>
      <c r="T68" s="563">
        <v>1.0140919614052717E-2</v>
      </c>
      <c r="U68" s="563">
        <v>9.0919475113288017E-3</v>
      </c>
      <c r="V68" s="563">
        <v>8.1503924600676986E-3</v>
      </c>
      <c r="W68" s="570">
        <f t="shared" si="10"/>
        <v>3.1008263203885114E-3</v>
      </c>
      <c r="X68" s="573">
        <f t="shared" si="11"/>
        <v>0.16561566100217195</v>
      </c>
      <c r="Y68" s="574">
        <v>68.874278432543122</v>
      </c>
      <c r="Z68" s="563">
        <f t="shared" si="34"/>
        <v>1.8735531916817049E-2</v>
      </c>
      <c r="AA68" s="571">
        <v>18340.368000000002</v>
      </c>
      <c r="AB68" s="563">
        <f t="shared" si="12"/>
        <v>8.7545846084685325E-2</v>
      </c>
      <c r="AC68" s="563">
        <v>7.8424688697124201E-3</v>
      </c>
      <c r="AD68" s="563">
        <v>8.4610486119060906E-3</v>
      </c>
      <c r="AE68" s="571">
        <v>7.250904519679381E-3</v>
      </c>
      <c r="AF68" s="563">
        <v>6.9522166914539529E-3</v>
      </c>
      <c r="AG68" s="575">
        <f t="shared" ref="AG68:AG75" si="43">AH68*AT68</f>
        <v>0.19482465488212547</v>
      </c>
      <c r="AH68" s="573">
        <f t="shared" ref="AH68:AH75" si="44">((AI68/AS68)-1)*100</f>
        <v>9.6864905344930641</v>
      </c>
      <c r="AI68" s="576">
        <v>68.760400440845274</v>
      </c>
      <c r="AJ68" s="563">
        <f t="shared" si="35"/>
        <v>1.8723025960376088E-2</v>
      </c>
      <c r="AK68" s="571">
        <v>18805.955000000002</v>
      </c>
      <c r="AL68" s="563">
        <f t="shared" si="41"/>
        <v>5.7039207391933473E-2</v>
      </c>
      <c r="AM68" s="563">
        <v>7.0216393863555167E-3</v>
      </c>
      <c r="AN68" s="563">
        <v>7.5917500553881224E-3</v>
      </c>
      <c r="AO68" s="563">
        <v>7.6191755155562884E-3</v>
      </c>
      <c r="AP68" s="571">
        <v>7.3009632545465181E-3</v>
      </c>
      <c r="AQ68" s="563">
        <f t="shared" si="13"/>
        <v>0.65066846043562132</v>
      </c>
      <c r="AR68" s="563">
        <v>32.533026399105935</v>
      </c>
      <c r="AS68" s="563">
        <v>62.688121486777099</v>
      </c>
      <c r="AT68" s="563">
        <f t="shared" si="37"/>
        <v>2.0113027952524756E-2</v>
      </c>
      <c r="AU68" s="577">
        <v>17783.72</v>
      </c>
      <c r="AV68" s="563">
        <f t="shared" si="38"/>
        <v>2.7505679180087027E-2</v>
      </c>
      <c r="AW68" s="563">
        <v>6.8174146499920289E-3</v>
      </c>
      <c r="AX68" s="563">
        <v>6.7283611889192166E-3</v>
      </c>
      <c r="AY68" s="571">
        <v>7.0237331284098261E-3</v>
      </c>
      <c r="AZ68" s="563">
        <v>6.9361702127659569E-3</v>
      </c>
      <c r="BD68" s="580">
        <v>283</v>
      </c>
      <c r="BE68" s="563">
        <v>62.84</v>
      </c>
      <c r="BF68" s="362">
        <f t="shared" si="15"/>
        <v>17783.72</v>
      </c>
      <c r="BG68" s="578">
        <f>+BF68/$BF$112</f>
        <v>2.0000243827715421E-2</v>
      </c>
    </row>
    <row r="69" spans="2:59">
      <c r="B69" s="563" t="s">
        <v>143</v>
      </c>
      <c r="C69" s="570"/>
      <c r="D69" s="569"/>
      <c r="E69" s="571" t="e">
        <v>#DIV/0!</v>
      </c>
      <c r="F69" s="563">
        <f t="shared" si="4"/>
        <v>0</v>
      </c>
      <c r="G69" s="571">
        <v>0</v>
      </c>
      <c r="H69" s="563" t="e">
        <f t="shared" si="5"/>
        <v>#DIV/0!</v>
      </c>
      <c r="I69" s="563" t="e">
        <v>#DIV/0!</v>
      </c>
      <c r="J69" s="563" t="e">
        <v>#DIV/0!</v>
      </c>
      <c r="K69" s="563" t="e">
        <v>#DIV/0!</v>
      </c>
      <c r="L69" s="572" t="e">
        <v>#DIV/0!</v>
      </c>
      <c r="M69" s="570" t="e">
        <f t="shared" si="6"/>
        <v>#DIV/0!</v>
      </c>
      <c r="N69" s="569" t="e">
        <f t="shared" si="7"/>
        <v>#DIV/0!</v>
      </c>
      <c r="O69" s="571" t="e">
        <v>#DIV/0!</v>
      </c>
      <c r="Q69" s="571">
        <v>0</v>
      </c>
      <c r="R69" s="563" t="e">
        <f t="shared" si="9"/>
        <v>#DIV/0!</v>
      </c>
      <c r="S69" s="572" t="e">
        <v>#DIV/0!</v>
      </c>
      <c r="T69" s="563" t="e">
        <v>#DIV/0!</v>
      </c>
      <c r="U69" s="563" t="e">
        <v>#DIV/0!</v>
      </c>
      <c r="V69" s="563" t="e">
        <v>#DIV/0!</v>
      </c>
      <c r="W69" s="570" t="e">
        <f t="shared" si="10"/>
        <v>#DIV/0!</v>
      </c>
      <c r="X69" s="573" t="e">
        <f t="shared" si="11"/>
        <v>#DIV/0!</v>
      </c>
      <c r="Y69" s="574" t="e">
        <v>#DIV/0!</v>
      </c>
      <c r="Z69" s="563">
        <f t="shared" si="34"/>
        <v>0</v>
      </c>
      <c r="AA69" s="571">
        <v>0</v>
      </c>
      <c r="AB69" s="563" t="e">
        <f t="shared" si="12"/>
        <v>#DIV/0!</v>
      </c>
      <c r="AC69" s="563" t="e">
        <v>#DIV/0!</v>
      </c>
      <c r="AD69" s="563" t="e">
        <v>#DIV/0!</v>
      </c>
      <c r="AE69" s="571" t="e">
        <v>#DIV/0!</v>
      </c>
      <c r="AF69" s="563" t="e">
        <v>#DIV/0!</v>
      </c>
      <c r="AG69" s="575" t="e">
        <f t="shared" si="43"/>
        <v>#DIV/0!</v>
      </c>
      <c r="AH69" s="573" t="e">
        <f t="shared" si="44"/>
        <v>#DIV/0!</v>
      </c>
      <c r="AI69" s="576" t="e">
        <v>#DIV/0!</v>
      </c>
      <c r="AJ69" s="563">
        <f t="shared" si="35"/>
        <v>0</v>
      </c>
      <c r="AK69" s="571">
        <v>0</v>
      </c>
      <c r="AL69" s="563" t="e">
        <f t="shared" si="41"/>
        <v>#DIV/0!</v>
      </c>
      <c r="AM69" s="563" t="e">
        <v>#DIV/0!</v>
      </c>
      <c r="AN69" s="563" t="e">
        <v>#DIV/0!</v>
      </c>
      <c r="AO69" s="563" t="e">
        <v>#DIV/0!</v>
      </c>
      <c r="AP69" s="571" t="e">
        <v>#DIV/0!</v>
      </c>
      <c r="AQ69" s="563" t="e">
        <f t="shared" si="13"/>
        <v>#DIV/0!</v>
      </c>
      <c r="AR69" s="563" t="e">
        <v>#DIV/0!</v>
      </c>
      <c r="AS69" s="563" t="e">
        <v>#DIV/0!</v>
      </c>
      <c r="AT69" s="563">
        <f t="shared" si="37"/>
        <v>0</v>
      </c>
      <c r="AU69" s="577">
        <v>0</v>
      </c>
      <c r="AV69" s="563" t="e">
        <f t="shared" si="38"/>
        <v>#DIV/0!</v>
      </c>
      <c r="AW69" s="563" t="e">
        <v>#DIV/0!</v>
      </c>
      <c r="AX69" s="563" t="e">
        <v>#DIV/0!</v>
      </c>
      <c r="AY69" s="571" t="e">
        <v>#DIV/0!</v>
      </c>
      <c r="AZ69" s="563" t="e">
        <v>#DIV/0!</v>
      </c>
      <c r="BD69" s="580"/>
      <c r="BF69" s="362">
        <f t="shared" si="15"/>
        <v>0</v>
      </c>
      <c r="BG69" s="578"/>
    </row>
    <row r="70" spans="2:59">
      <c r="B70" s="563" t="s">
        <v>252</v>
      </c>
      <c r="C70" s="570"/>
      <c r="D70" s="569"/>
      <c r="E70" s="571" t="e">
        <v>#VALUE!</v>
      </c>
      <c r="G70" s="571">
        <v>0</v>
      </c>
      <c r="H70" s="563" t="e">
        <f t="shared" si="5"/>
        <v>#VALUE!</v>
      </c>
      <c r="I70" s="563" t="e">
        <v>#VALUE!</v>
      </c>
      <c r="J70" s="563" t="e">
        <v>#VALUE!</v>
      </c>
      <c r="K70" s="563" t="e">
        <v>#VALUE!</v>
      </c>
      <c r="L70" s="572" t="e">
        <v>#VALUE!</v>
      </c>
      <c r="M70" s="570" t="s">
        <v>96</v>
      </c>
      <c r="N70" s="569" t="s">
        <v>96</v>
      </c>
      <c r="O70" s="571" t="e">
        <v>#VALUE!</v>
      </c>
      <c r="Q70" s="571">
        <v>0</v>
      </c>
      <c r="R70" s="563" t="s">
        <v>96</v>
      </c>
      <c r="S70" s="572" t="e">
        <v>#DIV/0!</v>
      </c>
      <c r="T70" s="563" t="e">
        <v>#DIV/0!</v>
      </c>
      <c r="U70" s="563" t="e">
        <v>#DIV/0!</v>
      </c>
      <c r="V70" s="563" t="e">
        <v>#DIV/0!</v>
      </c>
      <c r="W70" s="570" t="e">
        <f t="shared" si="10"/>
        <v>#DIV/0!</v>
      </c>
      <c r="X70" s="573" t="e">
        <f t="shared" si="11"/>
        <v>#DIV/0!</v>
      </c>
      <c r="Y70" s="574" t="e">
        <v>#DIV/0!</v>
      </c>
      <c r="Z70" s="563">
        <f t="shared" si="34"/>
        <v>0</v>
      </c>
      <c r="AA70" s="571">
        <v>0</v>
      </c>
      <c r="AB70" s="563" t="e">
        <f t="shared" si="12"/>
        <v>#DIV/0!</v>
      </c>
      <c r="AC70" s="563" t="e">
        <v>#DIV/0!</v>
      </c>
      <c r="AD70" s="563" t="e">
        <v>#DIV/0!</v>
      </c>
      <c r="AE70" s="571" t="e">
        <v>#DIV/0!</v>
      </c>
      <c r="AF70" s="563" t="e">
        <v>#DIV/0!</v>
      </c>
      <c r="AG70" s="575" t="e">
        <f t="shared" si="43"/>
        <v>#DIV/0!</v>
      </c>
      <c r="AH70" s="573" t="e">
        <f t="shared" si="44"/>
        <v>#DIV/0!</v>
      </c>
      <c r="AI70" s="576" t="e">
        <v>#DIV/0!</v>
      </c>
      <c r="AJ70" s="563">
        <f t="shared" si="35"/>
        <v>0</v>
      </c>
      <c r="AK70" s="571">
        <v>0</v>
      </c>
      <c r="AL70" s="563" t="e">
        <f t="shared" si="41"/>
        <v>#DIV/0!</v>
      </c>
      <c r="AM70" s="563" t="e">
        <v>#DIV/0!</v>
      </c>
      <c r="AN70" s="563" t="e">
        <v>#DIV/0!</v>
      </c>
      <c r="AO70" s="563" t="e">
        <v>#DIV/0!</v>
      </c>
      <c r="AP70" s="571" t="e">
        <v>#DIV/0!</v>
      </c>
      <c r="AQ70" s="563" t="e">
        <f t="shared" si="13"/>
        <v>#DIV/0!</v>
      </c>
      <c r="AR70" s="563" t="e">
        <v>#DIV/0!</v>
      </c>
      <c r="AS70" s="563" t="e">
        <v>#DIV/0!</v>
      </c>
      <c r="AT70" s="563">
        <f t="shared" si="37"/>
        <v>0</v>
      </c>
      <c r="AU70" s="577">
        <v>0</v>
      </c>
      <c r="AV70" s="563" t="e">
        <f t="shared" si="38"/>
        <v>#DIV/0!</v>
      </c>
      <c r="AW70" s="563" t="e">
        <v>#DIV/0!</v>
      </c>
      <c r="AX70" s="563" t="e">
        <v>#DIV/0!</v>
      </c>
      <c r="AY70" s="571" t="e">
        <v>#DIV/0!</v>
      </c>
      <c r="AZ70" s="563" t="e">
        <v>#DIV/0!</v>
      </c>
      <c r="BD70" s="580"/>
      <c r="BF70" s="362">
        <f t="shared" si="15"/>
        <v>0</v>
      </c>
      <c r="BG70" s="578"/>
    </row>
    <row r="71" spans="2:59">
      <c r="B71" s="563" t="s">
        <v>253</v>
      </c>
      <c r="C71" s="570"/>
      <c r="D71" s="569"/>
      <c r="E71" s="571" t="e">
        <v>#DIV/0!</v>
      </c>
      <c r="F71" s="563">
        <f t="shared" si="4"/>
        <v>0</v>
      </c>
      <c r="G71" s="571">
        <v>0</v>
      </c>
      <c r="H71" s="563" t="e">
        <f t="shared" si="5"/>
        <v>#DIV/0!</v>
      </c>
      <c r="I71" s="563" t="e">
        <v>#DIV/0!</v>
      </c>
      <c r="J71" s="563" t="e">
        <v>#DIV/0!</v>
      </c>
      <c r="K71" s="563" t="e">
        <v>#DIV/0!</v>
      </c>
      <c r="L71" s="572" t="e">
        <v>#DIV/0!</v>
      </c>
      <c r="M71" s="570" t="e">
        <f t="shared" si="6"/>
        <v>#DIV/0!</v>
      </c>
      <c r="N71" s="569" t="e">
        <f t="shared" si="7"/>
        <v>#DIV/0!</v>
      </c>
      <c r="O71" s="571" t="e">
        <v>#DIV/0!</v>
      </c>
      <c r="Q71" s="571">
        <v>0</v>
      </c>
      <c r="R71" s="563" t="e">
        <f t="shared" si="9"/>
        <v>#DIV/0!</v>
      </c>
      <c r="S71" s="572" t="e">
        <v>#DIV/0!</v>
      </c>
      <c r="T71" s="563" t="e">
        <v>#DIV/0!</v>
      </c>
      <c r="U71" s="563" t="e">
        <v>#DIV/0!</v>
      </c>
      <c r="V71" s="563" t="e">
        <v>#DIV/0!</v>
      </c>
      <c r="W71" s="570" t="e">
        <f t="shared" si="10"/>
        <v>#DIV/0!</v>
      </c>
      <c r="X71" s="573" t="e">
        <f t="shared" si="11"/>
        <v>#DIV/0!</v>
      </c>
      <c r="Y71" s="574" t="e">
        <v>#DIV/0!</v>
      </c>
      <c r="Z71" s="563">
        <f t="shared" si="34"/>
        <v>0</v>
      </c>
      <c r="AA71" s="571">
        <v>0</v>
      </c>
      <c r="AB71" s="563" t="e">
        <f t="shared" si="12"/>
        <v>#DIV/0!</v>
      </c>
      <c r="AC71" s="563" t="e">
        <v>#DIV/0!</v>
      </c>
      <c r="AD71" s="563" t="e">
        <v>#DIV/0!</v>
      </c>
      <c r="AE71" s="571" t="e">
        <v>#DIV/0!</v>
      </c>
      <c r="AF71" s="563" t="e">
        <v>#DIV/0!</v>
      </c>
      <c r="AG71" s="575" t="e">
        <f t="shared" si="43"/>
        <v>#DIV/0!</v>
      </c>
      <c r="AH71" s="573" t="e">
        <f t="shared" si="44"/>
        <v>#DIV/0!</v>
      </c>
      <c r="AI71" s="576" t="e">
        <v>#DIV/0!</v>
      </c>
      <c r="AJ71" s="563">
        <f t="shared" si="35"/>
        <v>0</v>
      </c>
      <c r="AK71" s="571">
        <v>0</v>
      </c>
      <c r="AL71" s="563" t="e">
        <f t="shared" si="41"/>
        <v>#DIV/0!</v>
      </c>
      <c r="AM71" s="563" t="e">
        <v>#DIV/0!</v>
      </c>
      <c r="AN71" s="563" t="e">
        <v>#DIV/0!</v>
      </c>
      <c r="AO71" s="563" t="e">
        <v>#DIV/0!</v>
      </c>
      <c r="AP71" s="571" t="e">
        <v>#DIV/0!</v>
      </c>
      <c r="AQ71" s="563" t="e">
        <f t="shared" si="13"/>
        <v>#DIV/0!</v>
      </c>
      <c r="AR71" s="563" t="e">
        <v>#DIV/0!</v>
      </c>
      <c r="AS71" s="563" t="e">
        <v>#DIV/0!</v>
      </c>
      <c r="AT71" s="563">
        <f t="shared" si="37"/>
        <v>0</v>
      </c>
      <c r="AU71" s="577">
        <v>0</v>
      </c>
      <c r="AV71" s="563" t="e">
        <f t="shared" si="38"/>
        <v>#DIV/0!</v>
      </c>
      <c r="AW71" s="563" t="e">
        <v>#DIV/0!</v>
      </c>
      <c r="AX71" s="563" t="e">
        <v>#DIV/0!</v>
      </c>
      <c r="AY71" s="571" t="e">
        <v>#DIV/0!</v>
      </c>
      <c r="AZ71" s="563" t="e">
        <v>#DIV/0!</v>
      </c>
      <c r="BD71" s="580"/>
      <c r="BF71" s="362">
        <f t="shared" si="15"/>
        <v>0</v>
      </c>
      <c r="BG71" s="578"/>
    </row>
    <row r="72" spans="2:59">
      <c r="B72" s="563" t="s">
        <v>254</v>
      </c>
      <c r="C72" s="570"/>
      <c r="D72" s="569"/>
      <c r="E72" s="571" t="e">
        <v>#DIV/0!</v>
      </c>
      <c r="F72" s="563" t="s">
        <v>96</v>
      </c>
      <c r="G72" s="571">
        <v>0</v>
      </c>
      <c r="H72" s="563" t="e">
        <f t="shared" ref="H72:H111" si="45">I72+J72+K72+L72+R72</f>
        <v>#DIV/0!</v>
      </c>
      <c r="I72" s="563" t="e">
        <v>#DIV/0!</v>
      </c>
      <c r="J72" s="563" t="e">
        <v>#DIV/0!</v>
      </c>
      <c r="K72" s="563" t="e">
        <v>#DIV/0!</v>
      </c>
      <c r="L72" s="572" t="e">
        <v>#DIV/0!</v>
      </c>
      <c r="M72" s="570" t="s">
        <v>96</v>
      </c>
      <c r="N72" s="569" t="s">
        <v>96</v>
      </c>
      <c r="O72" s="571">
        <v>0</v>
      </c>
      <c r="Q72" s="571">
        <v>0</v>
      </c>
      <c r="S72" s="572" t="e">
        <v>#DIV/0!</v>
      </c>
      <c r="T72" s="563" t="e">
        <v>#DIV/0!</v>
      </c>
      <c r="U72" s="563" t="e">
        <v>#DIV/0!</v>
      </c>
      <c r="V72" s="563" t="e">
        <v>#DIV/0!</v>
      </c>
      <c r="W72" s="570"/>
      <c r="X72" s="573" t="e">
        <f t="shared" ref="X72:X109" si="46">((Y72/AI72)-1)*100</f>
        <v>#DIV/0!</v>
      </c>
      <c r="Y72" s="574" t="e">
        <v>#DIV/0!</v>
      </c>
      <c r="Z72" s="563">
        <f t="shared" si="34"/>
        <v>0</v>
      </c>
      <c r="AA72" s="571">
        <v>0</v>
      </c>
      <c r="AB72" s="563" t="e">
        <f t="shared" ref="AB72:AB109" si="47">(AC72+AD72+AE72+AF72+AL72)</f>
        <v>#DIV/0!</v>
      </c>
      <c r="AC72" s="563" t="e">
        <v>#DIV/0!</v>
      </c>
      <c r="AD72" s="563" t="e">
        <v>#DIV/0!</v>
      </c>
      <c r="AE72" s="571" t="e">
        <v>#DIV/0!</v>
      </c>
      <c r="AF72" s="563" t="e">
        <v>#DIV/0!</v>
      </c>
      <c r="AG72" s="575" t="e">
        <f t="shared" si="43"/>
        <v>#DIV/0!</v>
      </c>
      <c r="AH72" s="573" t="e">
        <f t="shared" si="44"/>
        <v>#DIV/0!</v>
      </c>
      <c r="AI72" s="576" t="e">
        <v>#DIV/0!</v>
      </c>
      <c r="AJ72" s="563">
        <f t="shared" si="35"/>
        <v>0</v>
      </c>
      <c r="AK72" s="571">
        <v>0</v>
      </c>
      <c r="AL72" s="563" t="e">
        <f t="shared" si="41"/>
        <v>#DIV/0!</v>
      </c>
      <c r="AM72" s="563" t="e">
        <v>#DIV/0!</v>
      </c>
      <c r="AN72" s="563" t="e">
        <v>#DIV/0!</v>
      </c>
      <c r="AO72" s="563" t="e">
        <v>#DIV/0!</v>
      </c>
      <c r="AP72" s="571" t="e">
        <v>#DIV/0!</v>
      </c>
      <c r="AQ72" s="563" t="e">
        <f t="shared" ref="AQ72:AQ109" si="48">AR72*BG72</f>
        <v>#DIV/0!</v>
      </c>
      <c r="AR72" s="563" t="e">
        <v>#DIV/0!</v>
      </c>
      <c r="AS72" s="563" t="e">
        <v>#DIV/0!</v>
      </c>
      <c r="AT72" s="563">
        <f t="shared" si="37"/>
        <v>0</v>
      </c>
      <c r="AU72" s="577">
        <v>0</v>
      </c>
      <c r="AV72" s="563" t="e">
        <f t="shared" si="38"/>
        <v>#DIV/0!</v>
      </c>
      <c r="AW72" s="563" t="e">
        <v>#DIV/0!</v>
      </c>
      <c r="AX72" s="563" t="e">
        <v>#DIV/0!</v>
      </c>
      <c r="AY72" s="571" t="e">
        <v>#DIV/0!</v>
      </c>
      <c r="AZ72" s="563" t="e">
        <v>#DIV/0!</v>
      </c>
      <c r="BD72" s="580"/>
      <c r="BF72" s="362">
        <f t="shared" si="15"/>
        <v>0</v>
      </c>
      <c r="BG72" s="578"/>
    </row>
    <row r="73" spans="2:59">
      <c r="B73" s="579" t="s">
        <v>144</v>
      </c>
      <c r="C73" s="570">
        <f>D73*P73</f>
        <v>5.8499525255678517E-2</v>
      </c>
      <c r="D73" s="569">
        <f>((E73/O73)-1)*100</f>
        <v>1.6355522821581925</v>
      </c>
      <c r="E73" s="571">
        <v>107.53026311759815</v>
      </c>
      <c r="F73" s="563">
        <f t="shared" ref="F73:F109" si="49">G73/G$112</f>
        <v>2.9933050236401363E-2</v>
      </c>
      <c r="G73" s="571">
        <v>30891.425999999999</v>
      </c>
      <c r="H73" s="563">
        <f t="shared" si="45"/>
        <v>0.20509092365345899</v>
      </c>
      <c r="I73" s="563">
        <v>1.1106212154478913E-2</v>
      </c>
      <c r="J73" s="563">
        <v>9.4417617239343898E-3</v>
      </c>
      <c r="K73" s="563">
        <v>1.0893857599039202E-2</v>
      </c>
      <c r="L73" s="572">
        <v>1.0629951402292509E-2</v>
      </c>
      <c r="M73" s="570">
        <f>N73*Z73</f>
        <v>-3.7644171594218852E-2</v>
      </c>
      <c r="N73" s="569">
        <f t="shared" ref="N73:N109" si="50">((O73/Y73)-1)*100</f>
        <v>-1.0903415484123768</v>
      </c>
      <c r="O73" s="571">
        <v>105.79985123618476</v>
      </c>
      <c r="P73" s="563">
        <f>Q73/Q$112</f>
        <v>3.5767444363493835E-2</v>
      </c>
      <c r="Q73" s="571">
        <v>31384.649999999998</v>
      </c>
      <c r="R73" s="563">
        <f t="shared" ref="R73:R109" si="51">(S73+T73+U73+V73+AB73)</f>
        <v>0.16301914077371399</v>
      </c>
      <c r="S73" s="572">
        <v>1.0264169797632474E-2</v>
      </c>
      <c r="T73" s="563">
        <v>1.0814587983444824E-2</v>
      </c>
      <c r="U73" s="563">
        <v>1.014112169963859E-2</v>
      </c>
      <c r="V73" s="563">
        <v>9.5020460369747983E-3</v>
      </c>
      <c r="W73" s="570">
        <f t="shared" ref="W73:W109" si="52">X73*AJ73</f>
        <v>0.46748727740160301</v>
      </c>
      <c r="X73" s="573">
        <f t="shared" si="46"/>
        <v>15.572981126376417</v>
      </c>
      <c r="Y73" s="574">
        <v>106.96614758605159</v>
      </c>
      <c r="Z73" s="563">
        <f t="shared" si="34"/>
        <v>3.4525118894195794E-2</v>
      </c>
      <c r="AA73" s="571">
        <v>33796.925999999999</v>
      </c>
      <c r="AB73" s="563">
        <f t="shared" si="47"/>
        <v>0.1222972152560233</v>
      </c>
      <c r="AC73" s="563">
        <v>9.2259604584001911E-3</v>
      </c>
      <c r="AD73" s="563">
        <v>1.0159749177240003E-2</v>
      </c>
      <c r="AE73" s="571">
        <v>9.0864541603931873E-3</v>
      </c>
      <c r="AF73" s="563">
        <v>9.051239034810853E-3</v>
      </c>
      <c r="AG73" s="575">
        <f t="shared" si="43"/>
        <v>0.78054467910600711</v>
      </c>
      <c r="AH73" s="573">
        <f t="shared" si="44"/>
        <v>22.963532873164816</v>
      </c>
      <c r="AI73" s="576">
        <v>92.552901676116278</v>
      </c>
      <c r="AJ73" s="563">
        <f t="shared" si="35"/>
        <v>3.0019125664373023E-2</v>
      </c>
      <c r="AK73" s="571">
        <v>30152.087999999996</v>
      </c>
      <c r="AL73" s="563">
        <f t="shared" si="41"/>
        <v>8.4773812425179063E-2</v>
      </c>
      <c r="AM73" s="563">
        <v>9.7647912727744247E-3</v>
      </c>
      <c r="AN73" s="563">
        <v>1.1355987070034943E-2</v>
      </c>
      <c r="AO73" s="563">
        <v>1.1370868355249832E-2</v>
      </c>
      <c r="AP73" s="571">
        <v>1.0790852509937388E-2</v>
      </c>
      <c r="AQ73" s="563">
        <f t="shared" si="48"/>
        <v>-0.38520569573078772</v>
      </c>
      <c r="AR73" s="563">
        <v>-11.396613059204508</v>
      </c>
      <c r="AS73" s="563">
        <v>75.268577206205777</v>
      </c>
      <c r="AT73" s="563">
        <f t="shared" si="37"/>
        <v>3.3990618230096102E-2</v>
      </c>
      <c r="AU73" s="577">
        <v>30054.133999999998</v>
      </c>
      <c r="AV73" s="563">
        <f t="shared" si="38"/>
        <v>4.1491313217182475E-2</v>
      </c>
      <c r="AW73" s="563">
        <v>1.0909027926489285E-2</v>
      </c>
      <c r="AX73" s="563">
        <v>1.0034944927733476E-2</v>
      </c>
      <c r="AY73" s="571">
        <v>1.0739648055267408E-2</v>
      </c>
      <c r="AZ73" s="563">
        <v>9.8076923076923072E-3</v>
      </c>
      <c r="BD73" s="580">
        <v>332.2</v>
      </c>
      <c r="BE73" s="563">
        <v>90.47</v>
      </c>
      <c r="BF73" s="362">
        <f t="shared" ref="BF73:BF111" si="53">BD73*BE73</f>
        <v>30054.133999999998</v>
      </c>
      <c r="BG73" s="578">
        <f>+BF73/$BF$112</f>
        <v>3.3800015296621411E-2</v>
      </c>
    </row>
    <row r="74" spans="2:59">
      <c r="B74" s="563" t="s">
        <v>255</v>
      </c>
      <c r="C74" s="570"/>
      <c r="D74" s="569"/>
      <c r="E74" s="571" t="e">
        <v>#DIV/0!</v>
      </c>
      <c r="F74" s="563">
        <f t="shared" si="49"/>
        <v>0</v>
      </c>
      <c r="G74" s="571">
        <v>0</v>
      </c>
      <c r="H74" s="563" t="e">
        <f t="shared" si="45"/>
        <v>#DIV/0!</v>
      </c>
      <c r="I74" s="563" t="e">
        <v>#DIV/0!</v>
      </c>
      <c r="J74" s="563" t="e">
        <v>#DIV/0!</v>
      </c>
      <c r="K74" s="563" t="e">
        <v>#DIV/0!</v>
      </c>
      <c r="L74" s="572" t="e">
        <v>#DIV/0!</v>
      </c>
      <c r="M74" s="570" t="e">
        <f>N74*Z74</f>
        <v>#DIV/0!</v>
      </c>
      <c r="N74" s="569" t="e">
        <f t="shared" si="50"/>
        <v>#DIV/0!</v>
      </c>
      <c r="O74" s="571" t="e">
        <v>#DIV/0!</v>
      </c>
      <c r="Q74" s="571">
        <v>0</v>
      </c>
      <c r="R74" s="563" t="e">
        <f t="shared" si="51"/>
        <v>#DIV/0!</v>
      </c>
      <c r="S74" s="572" t="e">
        <v>#DIV/0!</v>
      </c>
      <c r="T74" s="563" t="e">
        <v>#DIV/0!</v>
      </c>
      <c r="U74" s="563" t="e">
        <v>#DIV/0!</v>
      </c>
      <c r="V74" s="563" t="e">
        <v>#DIV/0!</v>
      </c>
      <c r="W74" s="570" t="e">
        <f t="shared" si="52"/>
        <v>#DIV/0!</v>
      </c>
      <c r="X74" s="573" t="e">
        <f t="shared" si="46"/>
        <v>#DIV/0!</v>
      </c>
      <c r="Y74" s="574" t="e">
        <v>#DIV/0!</v>
      </c>
      <c r="Z74" s="563">
        <f t="shared" si="34"/>
        <v>0</v>
      </c>
      <c r="AA74" s="571">
        <v>0</v>
      </c>
      <c r="AB74" s="563" t="e">
        <f t="shared" si="47"/>
        <v>#DIV/0!</v>
      </c>
      <c r="AC74" s="563" t="e">
        <v>#DIV/0!</v>
      </c>
      <c r="AD74" s="563" t="e">
        <v>#DIV/0!</v>
      </c>
      <c r="AE74" s="571" t="e">
        <v>#DIV/0!</v>
      </c>
      <c r="AF74" s="563" t="e">
        <v>#DIV/0!</v>
      </c>
      <c r="AG74" s="575" t="e">
        <f t="shared" si="43"/>
        <v>#DIV/0!</v>
      </c>
      <c r="AH74" s="573" t="e">
        <f t="shared" si="44"/>
        <v>#DIV/0!</v>
      </c>
      <c r="AI74" s="576" t="e">
        <v>#DIV/0!</v>
      </c>
      <c r="AJ74" s="563">
        <f t="shared" si="35"/>
        <v>0</v>
      </c>
      <c r="AK74" s="571">
        <v>0</v>
      </c>
      <c r="AL74" s="563" t="e">
        <f t="shared" si="41"/>
        <v>#DIV/0!</v>
      </c>
      <c r="AM74" s="563" t="e">
        <v>#DIV/0!</v>
      </c>
      <c r="AN74" s="563" t="e">
        <v>#DIV/0!</v>
      </c>
      <c r="AO74" s="563" t="e">
        <v>#DIV/0!</v>
      </c>
      <c r="AP74" s="571" t="e">
        <v>#DIV/0!</v>
      </c>
      <c r="AQ74" s="563" t="e">
        <f t="shared" si="48"/>
        <v>#DIV/0!</v>
      </c>
      <c r="AR74" s="563" t="e">
        <v>#DIV/0!</v>
      </c>
      <c r="AS74" s="563" t="e">
        <v>#DIV/0!</v>
      </c>
      <c r="AT74" s="563">
        <f t="shared" si="37"/>
        <v>0</v>
      </c>
      <c r="AU74" s="577">
        <v>0</v>
      </c>
      <c r="AV74" s="563" t="e">
        <f t="shared" si="38"/>
        <v>#DIV/0!</v>
      </c>
      <c r="AW74" s="563" t="e">
        <v>#DIV/0!</v>
      </c>
      <c r="AX74" s="563" t="e">
        <v>#DIV/0!</v>
      </c>
      <c r="AY74" s="571" t="e">
        <v>#DIV/0!</v>
      </c>
      <c r="AZ74" s="563" t="e">
        <v>#DIV/0!</v>
      </c>
      <c r="BD74" s="580"/>
      <c r="BF74" s="362">
        <f t="shared" si="53"/>
        <v>0</v>
      </c>
      <c r="BG74" s="578"/>
    </row>
    <row r="75" spans="2:59">
      <c r="B75" s="563" t="s">
        <v>256</v>
      </c>
      <c r="C75" s="570"/>
      <c r="D75" s="569"/>
      <c r="E75" s="571" t="e">
        <v>#DIV/0!</v>
      </c>
      <c r="F75" s="563">
        <f t="shared" si="49"/>
        <v>0</v>
      </c>
      <c r="G75" s="571">
        <v>0</v>
      </c>
      <c r="H75" s="563" t="e">
        <f t="shared" si="45"/>
        <v>#DIV/0!</v>
      </c>
      <c r="I75" s="563" t="e">
        <v>#DIV/0!</v>
      </c>
      <c r="J75" s="563" t="e">
        <v>#DIV/0!</v>
      </c>
      <c r="K75" s="563" t="e">
        <v>#DIV/0!</v>
      </c>
      <c r="L75" s="572" t="e">
        <v>#DIV/0!</v>
      </c>
      <c r="M75" s="570" t="e">
        <f>N75*Z75</f>
        <v>#DIV/0!</v>
      </c>
      <c r="N75" s="569" t="e">
        <f t="shared" si="50"/>
        <v>#DIV/0!</v>
      </c>
      <c r="O75" s="571" t="e">
        <v>#DIV/0!</v>
      </c>
      <c r="Q75" s="571">
        <v>0</v>
      </c>
      <c r="R75" s="563" t="e">
        <f t="shared" si="51"/>
        <v>#DIV/0!</v>
      </c>
      <c r="S75" s="572" t="e">
        <v>#DIV/0!</v>
      </c>
      <c r="T75" s="563" t="e">
        <v>#DIV/0!</v>
      </c>
      <c r="U75" s="563" t="e">
        <v>#DIV/0!</v>
      </c>
      <c r="V75" s="563" t="e">
        <v>#DIV/0!</v>
      </c>
      <c r="W75" s="570" t="e">
        <f t="shared" si="52"/>
        <v>#DIV/0!</v>
      </c>
      <c r="X75" s="573" t="e">
        <f t="shared" si="46"/>
        <v>#DIV/0!</v>
      </c>
      <c r="Y75" s="574" t="e">
        <v>#DIV/0!</v>
      </c>
      <c r="Z75" s="563">
        <f t="shared" si="34"/>
        <v>0</v>
      </c>
      <c r="AA75" s="571">
        <v>0</v>
      </c>
      <c r="AB75" s="563" t="e">
        <f t="shared" si="47"/>
        <v>#DIV/0!</v>
      </c>
      <c r="AC75" s="563" t="e">
        <v>#DIV/0!</v>
      </c>
      <c r="AD75" s="563" t="e">
        <v>#DIV/0!</v>
      </c>
      <c r="AE75" s="571" t="e">
        <v>#DIV/0!</v>
      </c>
      <c r="AF75" s="563" t="e">
        <v>#DIV/0!</v>
      </c>
      <c r="AG75" s="575" t="e">
        <f t="shared" si="43"/>
        <v>#DIV/0!</v>
      </c>
      <c r="AH75" s="573" t="e">
        <f t="shared" si="44"/>
        <v>#DIV/0!</v>
      </c>
      <c r="AI75" s="576" t="e">
        <v>#DIV/0!</v>
      </c>
      <c r="AJ75" s="563">
        <f t="shared" si="35"/>
        <v>0</v>
      </c>
      <c r="AK75" s="571">
        <v>0</v>
      </c>
      <c r="AL75" s="563" t="e">
        <f t="shared" si="41"/>
        <v>#DIV/0!</v>
      </c>
      <c r="AM75" s="563" t="e">
        <v>#DIV/0!</v>
      </c>
      <c r="AN75" s="563" t="e">
        <v>#DIV/0!</v>
      </c>
      <c r="AO75" s="563" t="e">
        <v>#DIV/0!</v>
      </c>
      <c r="AP75" s="571" t="e">
        <v>#DIV/0!</v>
      </c>
      <c r="AQ75" s="563" t="e">
        <f t="shared" si="48"/>
        <v>#DIV/0!</v>
      </c>
      <c r="AR75" s="563" t="e">
        <v>#DIV/0!</v>
      </c>
      <c r="AS75" s="563" t="e">
        <v>#DIV/0!</v>
      </c>
      <c r="AT75" s="563">
        <f t="shared" si="37"/>
        <v>0</v>
      </c>
      <c r="AU75" s="577">
        <v>0</v>
      </c>
      <c r="AV75" s="563" t="e">
        <f t="shared" si="38"/>
        <v>#DIV/0!</v>
      </c>
      <c r="AW75" s="563" t="e">
        <v>#DIV/0!</v>
      </c>
      <c r="AX75" s="563" t="e">
        <v>#DIV/0!</v>
      </c>
      <c r="AY75" s="571" t="e">
        <v>#DIV/0!</v>
      </c>
      <c r="AZ75" s="563" t="e">
        <v>#DIV/0!</v>
      </c>
      <c r="BD75" s="580"/>
      <c r="BF75" s="362">
        <f t="shared" si="53"/>
        <v>0</v>
      </c>
      <c r="BG75" s="578"/>
    </row>
    <row r="76" spans="2:59">
      <c r="B76" s="563" t="s">
        <v>257</v>
      </c>
      <c r="C76" s="570"/>
      <c r="D76" s="569"/>
      <c r="E76" s="571" t="e">
        <v>#DIV/0!</v>
      </c>
      <c r="G76" s="571">
        <v>0</v>
      </c>
      <c r="H76" s="563" t="e">
        <f t="shared" si="45"/>
        <v>#DIV/0!</v>
      </c>
      <c r="I76" s="563" t="e">
        <v>#DIV/0!</v>
      </c>
      <c r="J76" s="563" t="e">
        <v>#DIV/0!</v>
      </c>
      <c r="K76" s="563" t="e">
        <v>#DIV/0!</v>
      </c>
      <c r="L76" s="572" t="e">
        <v>#DIV/0!</v>
      </c>
      <c r="M76" s="570"/>
      <c r="N76" s="569"/>
      <c r="O76" s="571">
        <v>0</v>
      </c>
      <c r="Q76" s="571">
        <v>0</v>
      </c>
      <c r="S76" s="572" t="e">
        <v>#VALUE!</v>
      </c>
      <c r="T76" s="563" t="e">
        <v>#VALUE!</v>
      </c>
      <c r="U76" s="563" t="e">
        <v>#VALUE!</v>
      </c>
      <c r="V76" s="563" t="e">
        <v>#VALUE!</v>
      </c>
      <c r="W76" s="570" t="s">
        <v>96</v>
      </c>
      <c r="X76" s="573" t="s">
        <v>96</v>
      </c>
      <c r="Y76" s="574" t="e">
        <v>#VALUE!</v>
      </c>
      <c r="Z76" s="563">
        <f t="shared" si="34"/>
        <v>0</v>
      </c>
      <c r="AA76" s="571">
        <v>0</v>
      </c>
      <c r="AB76" s="563" t="s">
        <v>96</v>
      </c>
      <c r="AC76" s="563" t="e">
        <v>#DIV/0!</v>
      </c>
      <c r="AD76" s="563" t="e">
        <v>#DIV/0!</v>
      </c>
      <c r="AE76" s="571" t="e">
        <v>#DIV/0!</v>
      </c>
      <c r="AF76" s="563" t="e">
        <v>#DIV/0!</v>
      </c>
      <c r="AG76" s="575"/>
      <c r="AH76" s="573"/>
      <c r="AI76" s="576" t="e">
        <v>#DIV/0!</v>
      </c>
      <c r="AJ76" s="563">
        <f t="shared" si="35"/>
        <v>0</v>
      </c>
      <c r="AK76" s="571">
        <v>0</v>
      </c>
      <c r="AL76" s="563" t="e">
        <f t="shared" si="41"/>
        <v>#DIV/0!</v>
      </c>
      <c r="AM76" s="563" t="e">
        <v>#DIV/0!</v>
      </c>
      <c r="AN76" s="563" t="e">
        <v>#DIV/0!</v>
      </c>
      <c r="AO76" s="563" t="e">
        <v>#DIV/0!</v>
      </c>
      <c r="AP76" s="571" t="e">
        <v>#DIV/0!</v>
      </c>
      <c r="AQ76" s="563" t="e">
        <f t="shared" si="48"/>
        <v>#DIV/0!</v>
      </c>
      <c r="AR76" s="563" t="e">
        <v>#DIV/0!</v>
      </c>
      <c r="AS76" s="563" t="e">
        <v>#DIV/0!</v>
      </c>
      <c r="AT76" s="563">
        <f t="shared" si="37"/>
        <v>0</v>
      </c>
      <c r="AU76" s="577">
        <v>0</v>
      </c>
      <c r="AV76" s="563" t="e">
        <f t="shared" si="38"/>
        <v>#DIV/0!</v>
      </c>
      <c r="AW76" s="563" t="e">
        <v>#DIV/0!</v>
      </c>
      <c r="AX76" s="563" t="e">
        <v>#DIV/0!</v>
      </c>
      <c r="AY76" s="571" t="e">
        <v>#DIV/0!</v>
      </c>
      <c r="AZ76" s="563" t="e">
        <v>#DIV/0!</v>
      </c>
      <c r="BD76" s="580"/>
      <c r="BF76" s="362">
        <f t="shared" si="53"/>
        <v>0</v>
      </c>
      <c r="BG76" s="578"/>
    </row>
    <row r="77" spans="2:59">
      <c r="B77" s="563" t="s">
        <v>258</v>
      </c>
      <c r="C77" s="570"/>
      <c r="D77" s="569"/>
      <c r="E77" s="571" t="e">
        <v>#DIV/0!</v>
      </c>
      <c r="G77" s="571">
        <v>0</v>
      </c>
      <c r="H77" s="563" t="e">
        <f t="shared" si="45"/>
        <v>#DIV/0!</v>
      </c>
      <c r="I77" s="563" t="e">
        <v>#DIV/0!</v>
      </c>
      <c r="J77" s="563" t="e">
        <v>#DIV/0!</v>
      </c>
      <c r="K77" s="563" t="e">
        <v>#DIV/0!</v>
      </c>
      <c r="L77" s="572" t="e">
        <v>#DIV/0!</v>
      </c>
      <c r="M77" s="570"/>
      <c r="N77" s="569"/>
      <c r="O77" s="571" t="e">
        <v>#DIV/0!</v>
      </c>
      <c r="Q77" s="571">
        <v>0</v>
      </c>
      <c r="R77" s="563" t="e">
        <f t="shared" si="51"/>
        <v>#DIV/0!</v>
      </c>
      <c r="S77" s="572" t="e">
        <v>#DIV/0!</v>
      </c>
      <c r="T77" s="563" t="e">
        <v>#DIV/0!</v>
      </c>
      <c r="U77" s="563" t="e">
        <v>#DIV/0!</v>
      </c>
      <c r="V77" s="563" t="e">
        <v>#DIV/0!</v>
      </c>
      <c r="W77" s="570" t="e">
        <f t="shared" si="52"/>
        <v>#DIV/0!</v>
      </c>
      <c r="X77" s="573" t="e">
        <f t="shared" si="46"/>
        <v>#DIV/0!</v>
      </c>
      <c r="Y77" s="574" t="e">
        <v>#DIV/0!</v>
      </c>
      <c r="Z77" s="563">
        <f t="shared" si="34"/>
        <v>0</v>
      </c>
      <c r="AA77" s="571">
        <v>0</v>
      </c>
      <c r="AB77" s="563" t="e">
        <f t="shared" si="47"/>
        <v>#DIV/0!</v>
      </c>
      <c r="AC77" s="563" t="e">
        <v>#DIV/0!</v>
      </c>
      <c r="AD77" s="563" t="e">
        <v>#DIV/0!</v>
      </c>
      <c r="AE77" s="571" t="e">
        <v>#DIV/0!</v>
      </c>
      <c r="AF77" s="563" t="e">
        <v>#DIV/0!</v>
      </c>
      <c r="AG77" s="575" t="e">
        <f>AH77*AT77</f>
        <v>#DIV/0!</v>
      </c>
      <c r="AH77" s="573" t="e">
        <f>((AI77/AS77)-1)*100</f>
        <v>#DIV/0!</v>
      </c>
      <c r="AI77" s="576" t="e">
        <v>#DIV/0!</v>
      </c>
      <c r="AJ77" s="563">
        <f t="shared" si="35"/>
        <v>0</v>
      </c>
      <c r="AK77" s="571">
        <v>0</v>
      </c>
      <c r="AL77" s="563" t="e">
        <f t="shared" si="41"/>
        <v>#DIV/0!</v>
      </c>
      <c r="AM77" s="563" t="e">
        <v>#DIV/0!</v>
      </c>
      <c r="AN77" s="563" t="e">
        <v>#DIV/0!</v>
      </c>
      <c r="AO77" s="563" t="e">
        <v>#DIV/0!</v>
      </c>
      <c r="AP77" s="571" t="e">
        <v>#DIV/0!</v>
      </c>
      <c r="AQ77" s="563" t="e">
        <f t="shared" si="48"/>
        <v>#DIV/0!</v>
      </c>
      <c r="AR77" s="563" t="e">
        <v>#DIV/0!</v>
      </c>
      <c r="AS77" s="563" t="e">
        <v>#DIV/0!</v>
      </c>
      <c r="AT77" s="563">
        <f t="shared" si="37"/>
        <v>0</v>
      </c>
      <c r="AU77" s="577">
        <v>0</v>
      </c>
      <c r="AV77" s="563" t="e">
        <f t="shared" si="38"/>
        <v>#DIV/0!</v>
      </c>
      <c r="AW77" s="563" t="e">
        <v>#DIV/0!</v>
      </c>
      <c r="AX77" s="563" t="e">
        <v>#DIV/0!</v>
      </c>
      <c r="AY77" s="571" t="e">
        <v>#DIV/0!</v>
      </c>
      <c r="AZ77" s="563" t="e">
        <v>#DIV/0!</v>
      </c>
      <c r="BD77" s="580"/>
      <c r="BF77" s="362">
        <f t="shared" si="53"/>
        <v>0</v>
      </c>
      <c r="BG77" s="578"/>
    </row>
    <row r="78" spans="2:59">
      <c r="B78" s="563" t="s">
        <v>259</v>
      </c>
      <c r="C78" s="570"/>
      <c r="D78" s="569"/>
      <c r="E78" s="571" t="e">
        <v>#DIV/0!</v>
      </c>
      <c r="G78" s="571">
        <v>0</v>
      </c>
      <c r="H78" s="563" t="e">
        <f t="shared" si="45"/>
        <v>#DIV/0!</v>
      </c>
      <c r="I78" s="563" t="e">
        <v>#DIV/0!</v>
      </c>
      <c r="J78" s="563" t="e">
        <v>#DIV/0!</v>
      </c>
      <c r="K78" s="563" t="e">
        <v>#DIV/0!</v>
      </c>
      <c r="L78" s="572" t="e">
        <v>#DIV/0!</v>
      </c>
      <c r="M78" s="570"/>
      <c r="N78" s="569"/>
      <c r="O78" s="571">
        <v>0</v>
      </c>
      <c r="Q78" s="571">
        <v>0</v>
      </c>
      <c r="S78" s="572" t="e">
        <v>#VALUE!</v>
      </c>
      <c r="T78" s="563" t="e">
        <v>#VALUE!</v>
      </c>
      <c r="U78" s="563" t="e">
        <v>#VALUE!</v>
      </c>
      <c r="V78" s="563" t="e">
        <v>#VALUE!</v>
      </c>
      <c r="W78" s="570" t="s">
        <v>96</v>
      </c>
      <c r="X78" s="573" t="s">
        <v>96</v>
      </c>
      <c r="Y78" s="574" t="e">
        <v>#VALUE!</v>
      </c>
      <c r="Z78" s="563">
        <f t="shared" si="34"/>
        <v>0</v>
      </c>
      <c r="AA78" s="571">
        <v>0</v>
      </c>
      <c r="AB78" s="563" t="s">
        <v>96</v>
      </c>
      <c r="AC78" s="563" t="e">
        <v>#DIV/0!</v>
      </c>
      <c r="AD78" s="563" t="e">
        <v>#DIV/0!</v>
      </c>
      <c r="AE78" s="571" t="e">
        <v>#DIV/0!</v>
      </c>
      <c r="AF78" s="563" t="e">
        <v>#DIV/0!</v>
      </c>
      <c r="AG78" s="575"/>
      <c r="AH78" s="573"/>
      <c r="AI78" s="576" t="e">
        <v>#DIV/0!</v>
      </c>
      <c r="AJ78" s="563">
        <f t="shared" si="35"/>
        <v>0</v>
      </c>
      <c r="AK78" s="571">
        <v>0</v>
      </c>
      <c r="AL78" s="563" t="e">
        <f t="shared" si="41"/>
        <v>#DIV/0!</v>
      </c>
      <c r="AM78" s="563" t="e">
        <v>#DIV/0!</v>
      </c>
      <c r="AN78" s="563" t="e">
        <v>#DIV/0!</v>
      </c>
      <c r="AO78" s="563" t="e">
        <v>#DIV/0!</v>
      </c>
      <c r="AP78" s="571" t="e">
        <v>#DIV/0!</v>
      </c>
      <c r="AQ78" s="563" t="e">
        <f t="shared" si="48"/>
        <v>#DIV/0!</v>
      </c>
      <c r="AR78" s="563" t="e">
        <v>#DIV/0!</v>
      </c>
      <c r="AS78" s="563" t="e">
        <v>#DIV/0!</v>
      </c>
      <c r="AT78" s="563">
        <f t="shared" si="37"/>
        <v>0</v>
      </c>
      <c r="AU78" s="577">
        <v>0</v>
      </c>
      <c r="AV78" s="563" t="e">
        <f t="shared" si="38"/>
        <v>#DIV/0!</v>
      </c>
      <c r="AW78" s="563" t="e">
        <v>#DIV/0!</v>
      </c>
      <c r="AX78" s="563" t="e">
        <v>#DIV/0!</v>
      </c>
      <c r="AY78" s="571" t="e">
        <v>#DIV/0!</v>
      </c>
      <c r="AZ78" s="563" t="e">
        <v>#DIV/0!</v>
      </c>
      <c r="BD78" s="580"/>
      <c r="BF78" s="362">
        <f t="shared" si="53"/>
        <v>0</v>
      </c>
      <c r="BG78" s="578"/>
    </row>
    <row r="79" spans="2:59">
      <c r="B79" s="563" t="s">
        <v>260</v>
      </c>
      <c r="C79" s="570"/>
      <c r="D79" s="569"/>
      <c r="E79" s="571" t="e">
        <v>#DIV/0!</v>
      </c>
      <c r="G79" s="571">
        <v>0</v>
      </c>
      <c r="H79" s="563" t="e">
        <f t="shared" si="45"/>
        <v>#DIV/0!</v>
      </c>
      <c r="I79" s="563" t="e">
        <v>#DIV/0!</v>
      </c>
      <c r="J79" s="563" t="e">
        <v>#DIV/0!</v>
      </c>
      <c r="K79" s="563" t="e">
        <v>#DIV/0!</v>
      </c>
      <c r="L79" s="572" t="e">
        <v>#DIV/0!</v>
      </c>
      <c r="M79" s="570"/>
      <c r="N79" s="569"/>
      <c r="O79" s="571">
        <v>0</v>
      </c>
      <c r="Q79" s="571">
        <v>0</v>
      </c>
      <c r="S79" s="572" t="e">
        <v>#DIV/0!</v>
      </c>
      <c r="T79" s="563" t="e">
        <v>#DIV/0!</v>
      </c>
      <c r="U79" s="563" t="e">
        <v>#DIV/0!</v>
      </c>
      <c r="V79" s="563" t="e">
        <v>#DIV/0!</v>
      </c>
      <c r="W79" s="570"/>
      <c r="X79" s="573"/>
      <c r="Y79" s="574">
        <v>0</v>
      </c>
      <c r="AA79" s="571">
        <v>0</v>
      </c>
      <c r="AC79" s="563" t="e">
        <v>#DIV/0!</v>
      </c>
      <c r="AD79" s="563" t="e">
        <v>#DIV/0!</v>
      </c>
      <c r="AE79" s="571" t="e">
        <v>#DIV/0!</v>
      </c>
      <c r="AF79" s="563" t="e">
        <v>#DIV/0!</v>
      </c>
      <c r="AG79" s="575">
        <f t="shared" ref="AG79:AG109" si="54">AH79*AT79</f>
        <v>0</v>
      </c>
      <c r="AH79" s="573"/>
      <c r="AI79" s="576">
        <v>0</v>
      </c>
      <c r="AK79" s="571">
        <v>0</v>
      </c>
      <c r="AM79" s="563" t="e">
        <v>#DIV/0!</v>
      </c>
      <c r="AN79" s="563" t="e">
        <v>#DIV/0!</v>
      </c>
      <c r="AO79" s="563" t="e">
        <v>#DIV/0!</v>
      </c>
      <c r="AP79" s="571" t="e">
        <v>#DIV/0!</v>
      </c>
      <c r="AQ79" s="563" t="e">
        <f t="shared" si="48"/>
        <v>#DIV/0!</v>
      </c>
      <c r="AR79" s="563" t="e">
        <v>#DIV/0!</v>
      </c>
      <c r="AS79" s="563">
        <v>0</v>
      </c>
      <c r="AU79" s="577">
        <v>0</v>
      </c>
      <c r="AW79" s="563" t="e">
        <v>#DIV/0!</v>
      </c>
      <c r="AX79" s="563" t="e">
        <v>#DIV/0!</v>
      </c>
      <c r="AY79" s="571" t="e">
        <v>#DIV/0!</v>
      </c>
      <c r="AZ79" s="563" t="e">
        <v>#DIV/0!</v>
      </c>
      <c r="BD79" s="580"/>
      <c r="BF79" s="362">
        <f t="shared" si="53"/>
        <v>0</v>
      </c>
      <c r="BG79" s="578"/>
    </row>
    <row r="80" spans="2:59">
      <c r="B80" s="563" t="s">
        <v>261</v>
      </c>
      <c r="C80" s="570"/>
      <c r="D80" s="569"/>
      <c r="E80" s="571" t="e">
        <v>#DIV/0!</v>
      </c>
      <c r="G80" s="571">
        <v>0</v>
      </c>
      <c r="H80" s="563" t="e">
        <f t="shared" si="45"/>
        <v>#DIV/0!</v>
      </c>
      <c r="I80" s="563" t="e">
        <v>#DIV/0!</v>
      </c>
      <c r="J80" s="563" t="e">
        <v>#DIV/0!</v>
      </c>
      <c r="K80" s="563" t="e">
        <v>#DIV/0!</v>
      </c>
      <c r="L80" s="572" t="e">
        <v>#DIV/0!</v>
      </c>
      <c r="M80" s="570" t="e">
        <f>N80*Z80</f>
        <v>#DIV/0!</v>
      </c>
      <c r="N80" s="569" t="e">
        <f t="shared" si="50"/>
        <v>#DIV/0!</v>
      </c>
      <c r="O80" s="571" t="e">
        <v>#DIV/0!</v>
      </c>
      <c r="Q80" s="571">
        <v>0</v>
      </c>
      <c r="R80" s="563" t="e">
        <f t="shared" si="51"/>
        <v>#DIV/0!</v>
      </c>
      <c r="S80" s="572" t="e">
        <v>#DIV/0!</v>
      </c>
      <c r="T80" s="563" t="e">
        <v>#DIV/0!</v>
      </c>
      <c r="U80" s="563" t="e">
        <v>#DIV/0!</v>
      </c>
      <c r="V80" s="563" t="e">
        <v>#DIV/0!</v>
      </c>
      <c r="W80" s="570" t="e">
        <f t="shared" si="52"/>
        <v>#DIV/0!</v>
      </c>
      <c r="X80" s="573" t="e">
        <f t="shared" si="46"/>
        <v>#DIV/0!</v>
      </c>
      <c r="Y80" s="574" t="e">
        <v>#DIV/0!</v>
      </c>
      <c r="Z80" s="563">
        <f t="shared" si="34"/>
        <v>0</v>
      </c>
      <c r="AA80" s="571">
        <v>0</v>
      </c>
      <c r="AB80" s="563" t="e">
        <f t="shared" si="47"/>
        <v>#DIV/0!</v>
      </c>
      <c r="AC80" s="563" t="e">
        <v>#DIV/0!</v>
      </c>
      <c r="AD80" s="563" t="e">
        <v>#DIV/0!</v>
      </c>
      <c r="AE80" s="571" t="e">
        <v>#DIV/0!</v>
      </c>
      <c r="AF80" s="563" t="e">
        <v>#DIV/0!</v>
      </c>
      <c r="AG80" s="575" t="e">
        <f t="shared" si="54"/>
        <v>#DIV/0!</v>
      </c>
      <c r="AH80" s="573" t="e">
        <f t="shared" ref="AH80:AH109" si="55">((AI80/AS80)-1)*100</f>
        <v>#DIV/0!</v>
      </c>
      <c r="AI80" s="576" t="e">
        <v>#DIV/0!</v>
      </c>
      <c r="AJ80" s="563">
        <f t="shared" ref="AJ80:AJ109" si="56">AK80/$AK$112</f>
        <v>0</v>
      </c>
      <c r="AK80" s="571">
        <v>0</v>
      </c>
      <c r="AL80" s="563" t="e">
        <f t="shared" ref="AL80:AL109" si="57">AM80+AN80+AO80+AP80+AV80</f>
        <v>#DIV/0!</v>
      </c>
      <c r="AM80" s="563" t="e">
        <v>#DIV/0!</v>
      </c>
      <c r="AN80" s="563" t="e">
        <v>#DIV/0!</v>
      </c>
      <c r="AO80" s="563" t="e">
        <v>#DIV/0!</v>
      </c>
      <c r="AP80" s="571" t="e">
        <v>#DIV/0!</v>
      </c>
      <c r="AQ80" s="563" t="e">
        <f t="shared" si="48"/>
        <v>#DIV/0!</v>
      </c>
      <c r="AR80" s="563" t="e">
        <v>#DIV/0!</v>
      </c>
      <c r="AS80" s="563" t="e">
        <v>#DIV/0!</v>
      </c>
      <c r="AT80" s="563">
        <f t="shared" ref="AT80:AT109" si="58">AU80/$AU$112</f>
        <v>0</v>
      </c>
      <c r="AU80" s="577">
        <v>0</v>
      </c>
      <c r="AV80" s="563" t="e">
        <f t="shared" ref="AV80:AV109" si="59">AW80+AX80+AY80+AZ80</f>
        <v>#DIV/0!</v>
      </c>
      <c r="AW80" s="563" t="e">
        <v>#DIV/0!</v>
      </c>
      <c r="AX80" s="563" t="e">
        <v>#DIV/0!</v>
      </c>
      <c r="AY80" s="571" t="e">
        <v>#DIV/0!</v>
      </c>
      <c r="AZ80" s="563" t="e">
        <v>#DIV/0!</v>
      </c>
      <c r="BD80" s="580"/>
      <c r="BF80" s="362">
        <f t="shared" si="53"/>
        <v>0</v>
      </c>
      <c r="BG80" s="578"/>
    </row>
    <row r="81" spans="2:59">
      <c r="B81" s="563" t="s">
        <v>262</v>
      </c>
      <c r="C81" s="570"/>
      <c r="D81" s="569"/>
      <c r="E81" s="571" t="e">
        <v>#DIV/0!</v>
      </c>
      <c r="F81" s="563">
        <f t="shared" si="49"/>
        <v>0</v>
      </c>
      <c r="G81" s="571">
        <v>0</v>
      </c>
      <c r="H81" s="563" t="e">
        <f t="shared" si="45"/>
        <v>#DIV/0!</v>
      </c>
      <c r="I81" s="563" t="e">
        <v>#DIV/0!</v>
      </c>
      <c r="J81" s="563" t="e">
        <v>#DIV/0!</v>
      </c>
      <c r="K81" s="563" t="e">
        <v>#DIV/0!</v>
      </c>
      <c r="L81" s="572" t="e">
        <v>#DIV/0!</v>
      </c>
      <c r="M81" s="570" t="e">
        <f>N81*Z81</f>
        <v>#DIV/0!</v>
      </c>
      <c r="N81" s="569" t="e">
        <f t="shared" si="50"/>
        <v>#DIV/0!</v>
      </c>
      <c r="O81" s="571" t="e">
        <v>#DIV/0!</v>
      </c>
      <c r="Q81" s="571">
        <v>0</v>
      </c>
      <c r="R81" s="563" t="e">
        <f t="shared" si="51"/>
        <v>#DIV/0!</v>
      </c>
      <c r="S81" s="572" t="e">
        <v>#DIV/0!</v>
      </c>
      <c r="T81" s="563" t="e">
        <v>#DIV/0!</v>
      </c>
      <c r="U81" s="563" t="e">
        <v>#DIV/0!</v>
      </c>
      <c r="V81" s="563" t="e">
        <v>#DIV/0!</v>
      </c>
      <c r="W81" s="570" t="e">
        <f t="shared" si="52"/>
        <v>#DIV/0!</v>
      </c>
      <c r="X81" s="573" t="e">
        <f t="shared" si="46"/>
        <v>#DIV/0!</v>
      </c>
      <c r="Y81" s="574" t="e">
        <v>#DIV/0!</v>
      </c>
      <c r="Z81" s="563">
        <f t="shared" si="34"/>
        <v>0</v>
      </c>
      <c r="AA81" s="571">
        <v>0</v>
      </c>
      <c r="AB81" s="563" t="e">
        <f t="shared" si="47"/>
        <v>#DIV/0!</v>
      </c>
      <c r="AC81" s="563" t="e">
        <v>#DIV/0!</v>
      </c>
      <c r="AD81" s="563" t="e">
        <v>#DIV/0!</v>
      </c>
      <c r="AE81" s="571" t="e">
        <v>#DIV/0!</v>
      </c>
      <c r="AF81" s="563" t="e">
        <v>#DIV/0!</v>
      </c>
      <c r="AG81" s="575" t="e">
        <f t="shared" si="54"/>
        <v>#DIV/0!</v>
      </c>
      <c r="AH81" s="573" t="e">
        <f t="shared" si="55"/>
        <v>#DIV/0!</v>
      </c>
      <c r="AI81" s="576" t="e">
        <v>#DIV/0!</v>
      </c>
      <c r="AJ81" s="563">
        <f t="shared" si="56"/>
        <v>0</v>
      </c>
      <c r="AK81" s="571">
        <v>0</v>
      </c>
      <c r="AL81" s="563" t="e">
        <f t="shared" si="57"/>
        <v>#DIV/0!</v>
      </c>
      <c r="AM81" s="563" t="e">
        <v>#DIV/0!</v>
      </c>
      <c r="AN81" s="563" t="e">
        <v>#DIV/0!</v>
      </c>
      <c r="AO81" s="563" t="e">
        <v>#DIV/0!</v>
      </c>
      <c r="AP81" s="571" t="e">
        <v>#DIV/0!</v>
      </c>
      <c r="AQ81" s="563" t="e">
        <f t="shared" si="48"/>
        <v>#DIV/0!</v>
      </c>
      <c r="AR81" s="563" t="e">
        <v>#DIV/0!</v>
      </c>
      <c r="AS81" s="563" t="e">
        <v>#DIV/0!</v>
      </c>
      <c r="AT81" s="563">
        <f t="shared" si="58"/>
        <v>0</v>
      </c>
      <c r="AU81" s="577">
        <v>0</v>
      </c>
      <c r="AV81" s="563" t="e">
        <f t="shared" si="59"/>
        <v>#DIV/0!</v>
      </c>
      <c r="AW81" s="563" t="e">
        <v>#DIV/0!</v>
      </c>
      <c r="AX81" s="563" t="e">
        <v>#DIV/0!</v>
      </c>
      <c r="AY81" s="571" t="e">
        <v>#DIV/0!</v>
      </c>
      <c r="AZ81" s="563" t="e">
        <v>#DIV/0!</v>
      </c>
      <c r="BD81" s="580"/>
      <c r="BF81" s="362">
        <f t="shared" si="53"/>
        <v>0</v>
      </c>
      <c r="BG81" s="578"/>
    </row>
    <row r="82" spans="2:59">
      <c r="B82" s="579" t="s">
        <v>145</v>
      </c>
      <c r="C82" s="570">
        <f>D82*P82</f>
        <v>9.7368185895040316E-2</v>
      </c>
      <c r="D82" s="569">
        <f>((E82/O82)-1)*100</f>
        <v>32.672596185477772</v>
      </c>
      <c r="E82" s="571">
        <v>104.58471391237298</v>
      </c>
      <c r="F82" s="563">
        <f t="shared" si="49"/>
        <v>3.294098582858564E-3</v>
      </c>
      <c r="G82" s="571">
        <v>3399.5667599999997</v>
      </c>
      <c r="H82" s="563">
        <f t="shared" si="45"/>
        <v>0.11307698927600027</v>
      </c>
      <c r="I82" s="563">
        <v>5.3054193959771231E-3</v>
      </c>
      <c r="J82" s="563">
        <v>5.4243439221546294E-3</v>
      </c>
      <c r="K82" s="563">
        <v>6.271046130569731E-3</v>
      </c>
      <c r="L82" s="572">
        <v>5.9202446934668845E-3</v>
      </c>
      <c r="M82" s="570">
        <f>N82*Z82</f>
        <v>1.3130626075721071E-2</v>
      </c>
      <c r="N82" s="569">
        <f t="shared" si="50"/>
        <v>5.0488252767348918</v>
      </c>
      <c r="O82" s="571">
        <v>78.829175669527388</v>
      </c>
      <c r="P82" s="563">
        <f>Q82/Q$112</f>
        <v>2.9801178131757485E-3</v>
      </c>
      <c r="Q82" s="571">
        <v>2614.9465299999997</v>
      </c>
      <c r="R82" s="563">
        <f t="shared" si="51"/>
        <v>9.0155935133831896E-2</v>
      </c>
      <c r="S82" s="572">
        <v>6.4071718476674767E-3</v>
      </c>
      <c r="T82" s="563">
        <v>6.7206178974409453E-3</v>
      </c>
      <c r="U82" s="563">
        <v>5.5194010028723839E-3</v>
      </c>
      <c r="V82" s="563">
        <v>5.592389783705091E-3</v>
      </c>
      <c r="W82" s="570">
        <f t="shared" si="52"/>
        <v>-3.7085051988671604E-2</v>
      </c>
      <c r="X82" s="573">
        <f t="shared" si="46"/>
        <v>-12.523274131047401</v>
      </c>
      <c r="Y82" s="574">
        <v>75.040511363991087</v>
      </c>
      <c r="Z82" s="563">
        <f t="shared" si="34"/>
        <v>2.6007289529759153E-3</v>
      </c>
      <c r="AA82" s="571">
        <v>2545.8751999999999</v>
      </c>
      <c r="AB82" s="563">
        <f t="shared" si="47"/>
        <v>6.5916354602145996E-2</v>
      </c>
      <c r="AC82" s="563">
        <v>6.1343913356688828E-3</v>
      </c>
      <c r="AD82" s="563">
        <v>6.5396350563102692E-3</v>
      </c>
      <c r="AE82" s="571">
        <v>5.217903949646047E-3</v>
      </c>
      <c r="AF82" s="563">
        <v>5.065130047718522E-3</v>
      </c>
      <c r="AG82" s="575">
        <f t="shared" si="54"/>
        <v>6.1291452986006668E-2</v>
      </c>
      <c r="AH82" s="573">
        <f t="shared" si="55"/>
        <v>19.832609154587487</v>
      </c>
      <c r="AI82" s="576">
        <v>85.783401949002993</v>
      </c>
      <c r="AJ82" s="563">
        <f t="shared" si="56"/>
        <v>2.9612904421481307E-3</v>
      </c>
      <c r="AK82" s="571">
        <v>2974.4067499999996</v>
      </c>
      <c r="AL82" s="563">
        <f t="shared" si="57"/>
        <v>4.2959294212802278E-2</v>
      </c>
      <c r="AM82" s="563">
        <v>4.8905972047491864E-3</v>
      </c>
      <c r="AN82" s="563">
        <v>5.4441092213245888E-3</v>
      </c>
      <c r="AO82" s="563">
        <v>5.1072195893742756E-3</v>
      </c>
      <c r="AP82" s="571">
        <v>5.2979574447187998E-3</v>
      </c>
      <c r="AQ82" s="563">
        <f t="shared" si="48"/>
        <v>4.1328806285869282E-2</v>
      </c>
      <c r="AR82" s="563">
        <v>13.448534603814677</v>
      </c>
      <c r="AS82" s="563">
        <v>71.586025335007065</v>
      </c>
      <c r="AT82" s="563">
        <f t="shared" si="58"/>
        <v>3.0904382024706679E-3</v>
      </c>
      <c r="AU82" s="577">
        <v>2732.5317599999998</v>
      </c>
      <c r="AV82" s="563">
        <f t="shared" si="59"/>
        <v>2.2219410752635428E-2</v>
      </c>
      <c r="AW82" s="563">
        <v>5.3724599712851578E-3</v>
      </c>
      <c r="AX82" s="563">
        <v>5.9691158462493992E-3</v>
      </c>
      <c r="AY82" s="571">
        <v>5.4936895249893709E-3</v>
      </c>
      <c r="AZ82" s="563">
        <v>5.3841454101115011E-3</v>
      </c>
      <c r="BD82" s="580">
        <v>34.667999999999999</v>
      </c>
      <c r="BE82" s="563">
        <v>78.819999999999993</v>
      </c>
      <c r="BF82" s="362">
        <f t="shared" si="53"/>
        <v>2732.5317599999998</v>
      </c>
      <c r="BG82" s="578">
        <f>+BF82/$BF$112</f>
        <v>3.0731085209942774E-3</v>
      </c>
    </row>
    <row r="83" spans="2:59">
      <c r="B83" s="563" t="s">
        <v>263</v>
      </c>
      <c r="C83" s="570"/>
      <c r="D83" s="569"/>
      <c r="E83" s="571" t="e">
        <v>#VALUE!</v>
      </c>
      <c r="G83" s="571">
        <v>0</v>
      </c>
      <c r="H83" s="563" t="e">
        <f t="shared" si="45"/>
        <v>#VALUE!</v>
      </c>
      <c r="I83" s="563" t="e">
        <v>#VALUE!</v>
      </c>
      <c r="J83" s="563" t="e">
        <v>#VALUE!</v>
      </c>
      <c r="K83" s="563" t="e">
        <v>#VALUE!</v>
      </c>
      <c r="L83" s="572" t="e">
        <v>#VALUE!</v>
      </c>
      <c r="M83" s="570" t="s">
        <v>96</v>
      </c>
      <c r="N83" s="569" t="s">
        <v>96</v>
      </c>
      <c r="O83" s="571" t="e">
        <v>#VALUE!</v>
      </c>
      <c r="Q83" s="571">
        <v>0</v>
      </c>
      <c r="R83" s="563" t="s">
        <v>96</v>
      </c>
      <c r="S83" s="572" t="e">
        <v>#DIV/0!</v>
      </c>
      <c r="T83" s="563" t="e">
        <v>#DIV/0!</v>
      </c>
      <c r="U83" s="563" t="e">
        <v>#DIV/0!</v>
      </c>
      <c r="V83" s="563" t="e">
        <v>#DIV/0!</v>
      </c>
      <c r="W83" s="570"/>
      <c r="X83" s="573" t="e">
        <f t="shared" si="46"/>
        <v>#DIV/0!</v>
      </c>
      <c r="Y83" s="574" t="e">
        <v>#DIV/0!</v>
      </c>
      <c r="Z83" s="563">
        <f t="shared" si="34"/>
        <v>0</v>
      </c>
      <c r="AA83" s="571">
        <v>0</v>
      </c>
      <c r="AB83" s="563" t="e">
        <f t="shared" si="47"/>
        <v>#DIV/0!</v>
      </c>
      <c r="AC83" s="563" t="e">
        <v>#DIV/0!</v>
      </c>
      <c r="AD83" s="563" t="e">
        <v>#DIV/0!</v>
      </c>
      <c r="AE83" s="571" t="e">
        <v>#DIV/0!</v>
      </c>
      <c r="AF83" s="563" t="e">
        <v>#DIV/0!</v>
      </c>
      <c r="AG83" s="575" t="e">
        <f t="shared" si="54"/>
        <v>#DIV/0!</v>
      </c>
      <c r="AH83" s="573" t="e">
        <f t="shared" si="55"/>
        <v>#DIV/0!</v>
      </c>
      <c r="AI83" s="576" t="e">
        <v>#DIV/0!</v>
      </c>
      <c r="AJ83" s="563">
        <f t="shared" si="56"/>
        <v>0</v>
      </c>
      <c r="AK83" s="571">
        <v>0</v>
      </c>
      <c r="AL83" s="563" t="e">
        <f t="shared" si="57"/>
        <v>#DIV/0!</v>
      </c>
      <c r="AM83" s="563" t="e">
        <v>#DIV/0!</v>
      </c>
      <c r="AN83" s="563" t="e">
        <v>#DIV/0!</v>
      </c>
      <c r="AO83" s="563" t="e">
        <v>#DIV/0!</v>
      </c>
      <c r="AP83" s="571" t="e">
        <v>#DIV/0!</v>
      </c>
      <c r="AQ83" s="563" t="e">
        <f t="shared" si="48"/>
        <v>#DIV/0!</v>
      </c>
      <c r="AR83" s="563" t="e">
        <v>#DIV/0!</v>
      </c>
      <c r="AS83" s="563" t="e">
        <v>#DIV/0!</v>
      </c>
      <c r="AT83" s="563">
        <f t="shared" si="58"/>
        <v>0</v>
      </c>
      <c r="AU83" s="577">
        <v>0</v>
      </c>
      <c r="AV83" s="563" t="e">
        <f t="shared" si="59"/>
        <v>#DIV/0!</v>
      </c>
      <c r="AW83" s="563" t="e">
        <v>#DIV/0!</v>
      </c>
      <c r="AX83" s="563" t="e">
        <v>#DIV/0!</v>
      </c>
      <c r="AY83" s="571" t="e">
        <v>#DIV/0!</v>
      </c>
      <c r="AZ83" s="563" t="e">
        <v>#DIV/0!</v>
      </c>
      <c r="BD83" s="580"/>
      <c r="BF83" s="362">
        <f t="shared" si="53"/>
        <v>0</v>
      </c>
      <c r="BG83" s="578"/>
    </row>
    <row r="84" spans="2:59">
      <c r="B84" s="579" t="s">
        <v>146</v>
      </c>
      <c r="C84" s="570">
        <f>D84*P84</f>
        <v>4.3206711706161437E-2</v>
      </c>
      <c r="D84" s="569">
        <f>((E84/O84)-1)*100</f>
        <v>10.799439740200633</v>
      </c>
      <c r="E84" s="571">
        <v>80.391784907116431</v>
      </c>
      <c r="F84" s="563">
        <f t="shared" si="49"/>
        <v>3.6292414496315937E-3</v>
      </c>
      <c r="G84" s="571">
        <v>3745.4399999999996</v>
      </c>
      <c r="H84" s="563">
        <f t="shared" si="45"/>
        <v>0.24061396461599444</v>
      </c>
      <c r="I84" s="563">
        <v>1.3352153958541727E-2</v>
      </c>
      <c r="J84" s="563">
        <v>1.3332607697257168E-2</v>
      </c>
      <c r="K84" s="563">
        <v>1.3572596750248793E-2</v>
      </c>
      <c r="L84" s="572">
        <v>1.4023554683536537E-2</v>
      </c>
      <c r="M84" s="570">
        <f t="shared" ref="M84:M90" si="60">N84*Z84</f>
        <v>-2.8007999432166754E-3</v>
      </c>
      <c r="N84" s="569">
        <f t="shared" si="50"/>
        <v>-0.74432217331129591</v>
      </c>
      <c r="O84" s="571">
        <v>72.556129431355245</v>
      </c>
      <c r="P84" s="563">
        <f>Q84/Q$112</f>
        <v>4.0008290009087765E-3</v>
      </c>
      <c r="Q84" s="571">
        <v>3510.5839999999998</v>
      </c>
      <c r="R84" s="563">
        <f t="shared" si="51"/>
        <v>0.18633305152641022</v>
      </c>
      <c r="S84" s="572">
        <v>1.2997625104655637E-2</v>
      </c>
      <c r="T84" s="563">
        <v>1.4864845054475972E-2</v>
      </c>
      <c r="U84" s="563">
        <v>1.3382732748647959E-2</v>
      </c>
      <c r="V84" s="563">
        <v>1.1926623120629112E-2</v>
      </c>
      <c r="W84" s="570">
        <f t="shared" si="52"/>
        <v>5.3931003823169165E-3</v>
      </c>
      <c r="X84" s="573">
        <f t="shared" si="46"/>
        <v>1.5580652549034069</v>
      </c>
      <c r="Y84" s="574">
        <v>73.100230656876079</v>
      </c>
      <c r="Z84" s="563">
        <f t="shared" si="34"/>
        <v>3.7628866150213481E-3</v>
      </c>
      <c r="AA84" s="571">
        <v>3683.5210000000002</v>
      </c>
      <c r="AB84" s="563">
        <f t="shared" si="47"/>
        <v>0.13316122549800152</v>
      </c>
      <c r="AC84" s="563">
        <v>1.1303787547171592E-2</v>
      </c>
      <c r="AD84" s="563">
        <v>1.4382787666036281E-2</v>
      </c>
      <c r="AE84" s="571">
        <v>1.2112712816508765E-2</v>
      </c>
      <c r="AF84" s="563">
        <v>1.0527654285884742E-2</v>
      </c>
      <c r="AG84" s="575">
        <f t="shared" si="54"/>
        <v>5.3627665200309489E-2</v>
      </c>
      <c r="AH84" s="573">
        <f t="shared" si="55"/>
        <v>11.299206742972956</v>
      </c>
      <c r="AI84" s="576">
        <v>71.97875468915224</v>
      </c>
      <c r="AJ84" s="563">
        <f t="shared" si="56"/>
        <v>3.4614085420005495E-3</v>
      </c>
      <c r="AK84" s="571">
        <v>3476.74</v>
      </c>
      <c r="AL84" s="563">
        <f t="shared" si="57"/>
        <v>8.4834283182400133E-2</v>
      </c>
      <c r="AM84" s="563">
        <v>1.0203726461703675E-2</v>
      </c>
      <c r="AN84" s="563">
        <v>1.1255482140216769E-2</v>
      </c>
      <c r="AO84" s="563">
        <v>9.4876971673375169E-3</v>
      </c>
      <c r="AP84" s="571">
        <v>9.7898709491341714E-3</v>
      </c>
      <c r="AQ84" s="563">
        <f t="shared" si="48"/>
        <v>-6.1492256867024093E-2</v>
      </c>
      <c r="AR84" s="563">
        <v>-13.029317441661325</v>
      </c>
      <c r="AS84" s="563">
        <v>64.671399550380642</v>
      </c>
      <c r="AT84" s="563">
        <f t="shared" si="58"/>
        <v>4.7461442577516211E-3</v>
      </c>
      <c r="AU84" s="577">
        <v>4196.4890000000005</v>
      </c>
      <c r="AV84" s="563">
        <f t="shared" si="59"/>
        <v>4.4097506464008E-2</v>
      </c>
      <c r="AW84" s="563">
        <v>1.0306201658338726E-2</v>
      </c>
      <c r="AX84" s="563">
        <v>1.2192448660029618E-2</v>
      </c>
      <c r="AY84" s="571">
        <v>1.1422521274182834E-2</v>
      </c>
      <c r="AZ84" s="563">
        <v>1.0176334871456824E-2</v>
      </c>
      <c r="BD84" s="580">
        <v>51.7</v>
      </c>
      <c r="BE84" s="563">
        <v>81.17</v>
      </c>
      <c r="BF84" s="362">
        <f t="shared" si="53"/>
        <v>4196.4890000000005</v>
      </c>
      <c r="BG84" s="578">
        <f>+BF84/$BF$112</f>
        <v>4.7195301781812618E-3</v>
      </c>
    </row>
    <row r="85" spans="2:59">
      <c r="B85" s="563" t="s">
        <v>264</v>
      </c>
      <c r="C85" s="570"/>
      <c r="D85" s="569"/>
      <c r="E85" s="571" t="e">
        <v>#DIV/0!</v>
      </c>
      <c r="F85" s="563">
        <f t="shared" si="49"/>
        <v>0</v>
      </c>
      <c r="G85" s="571">
        <v>0</v>
      </c>
      <c r="H85" s="563" t="e">
        <f t="shared" si="45"/>
        <v>#DIV/0!</v>
      </c>
      <c r="I85" s="563" t="e">
        <v>#DIV/0!</v>
      </c>
      <c r="J85" s="563" t="e">
        <v>#DIV/0!</v>
      </c>
      <c r="K85" s="563" t="e">
        <v>#DIV/0!</v>
      </c>
      <c r="L85" s="572" t="e">
        <v>#DIV/0!</v>
      </c>
      <c r="M85" s="570" t="e">
        <f t="shared" si="60"/>
        <v>#DIV/0!</v>
      </c>
      <c r="N85" s="569" t="e">
        <f t="shared" si="50"/>
        <v>#DIV/0!</v>
      </c>
      <c r="O85" s="571" t="e">
        <v>#DIV/0!</v>
      </c>
      <c r="Q85" s="571">
        <v>0</v>
      </c>
      <c r="R85" s="563" t="e">
        <f t="shared" si="51"/>
        <v>#DIV/0!</v>
      </c>
      <c r="S85" s="572" t="e">
        <v>#DIV/0!</v>
      </c>
      <c r="T85" s="563" t="e">
        <v>#DIV/0!</v>
      </c>
      <c r="U85" s="563" t="e">
        <v>#DIV/0!</v>
      </c>
      <c r="V85" s="563" t="e">
        <v>#DIV/0!</v>
      </c>
      <c r="W85" s="570" t="e">
        <f t="shared" si="52"/>
        <v>#DIV/0!</v>
      </c>
      <c r="X85" s="573" t="e">
        <f t="shared" si="46"/>
        <v>#DIV/0!</v>
      </c>
      <c r="Y85" s="574" t="e">
        <v>#DIV/0!</v>
      </c>
      <c r="Z85" s="563">
        <f t="shared" si="34"/>
        <v>0</v>
      </c>
      <c r="AA85" s="571">
        <v>0</v>
      </c>
      <c r="AB85" s="563" t="e">
        <f t="shared" si="47"/>
        <v>#DIV/0!</v>
      </c>
      <c r="AC85" s="563" t="e">
        <v>#DIV/0!</v>
      </c>
      <c r="AD85" s="563" t="e">
        <v>#DIV/0!</v>
      </c>
      <c r="AE85" s="571" t="e">
        <v>#DIV/0!</v>
      </c>
      <c r="AF85" s="563" t="e">
        <v>#DIV/0!</v>
      </c>
      <c r="AG85" s="575" t="e">
        <f t="shared" si="54"/>
        <v>#DIV/0!</v>
      </c>
      <c r="AH85" s="573" t="e">
        <f t="shared" si="55"/>
        <v>#DIV/0!</v>
      </c>
      <c r="AI85" s="576" t="e">
        <v>#DIV/0!</v>
      </c>
      <c r="AJ85" s="563">
        <f t="shared" si="56"/>
        <v>0</v>
      </c>
      <c r="AK85" s="571">
        <v>0</v>
      </c>
      <c r="AL85" s="563" t="e">
        <f t="shared" si="57"/>
        <v>#DIV/0!</v>
      </c>
      <c r="AM85" s="563" t="e">
        <v>#DIV/0!</v>
      </c>
      <c r="AN85" s="563" t="e">
        <v>#DIV/0!</v>
      </c>
      <c r="AO85" s="563" t="e">
        <v>#DIV/0!</v>
      </c>
      <c r="AP85" s="571" t="e">
        <v>#DIV/0!</v>
      </c>
      <c r="AQ85" s="563" t="e">
        <f t="shared" si="48"/>
        <v>#DIV/0!</v>
      </c>
      <c r="AR85" s="563" t="e">
        <v>#DIV/0!</v>
      </c>
      <c r="AS85" s="563" t="e">
        <v>#DIV/0!</v>
      </c>
      <c r="AT85" s="563">
        <f t="shared" si="58"/>
        <v>0</v>
      </c>
      <c r="AU85" s="577">
        <v>0</v>
      </c>
      <c r="AV85" s="563" t="e">
        <f t="shared" si="59"/>
        <v>#DIV/0!</v>
      </c>
      <c r="AW85" s="563" t="e">
        <v>#DIV/0!</v>
      </c>
      <c r="AX85" s="563" t="e">
        <v>#DIV/0!</v>
      </c>
      <c r="AY85" s="571" t="e">
        <v>#DIV/0!</v>
      </c>
      <c r="AZ85" s="563" t="e">
        <v>#DIV/0!</v>
      </c>
      <c r="BD85" s="580"/>
      <c r="BF85" s="362">
        <f t="shared" si="53"/>
        <v>0</v>
      </c>
      <c r="BG85" s="578"/>
    </row>
    <row r="86" spans="2:59">
      <c r="B86" s="579" t="s">
        <v>147</v>
      </c>
      <c r="C86" s="570">
        <f>D86*P86</f>
        <v>0.54014282532305424</v>
      </c>
      <c r="D86" s="569">
        <f>((E86/O86)-1)*100</f>
        <v>43.17158085905308</v>
      </c>
      <c r="E86" s="571">
        <v>43.800847689102646</v>
      </c>
      <c r="F86" s="563">
        <f t="shared" si="49"/>
        <v>1.6096478063889395E-2</v>
      </c>
      <c r="G86" s="571">
        <v>16611.843999999997</v>
      </c>
      <c r="H86" s="563">
        <f t="shared" si="45"/>
        <v>0.19153557369702526</v>
      </c>
      <c r="I86" s="563">
        <v>8.5282086976289466E-3</v>
      </c>
      <c r="J86" s="563">
        <v>8.9788615702374348E-3</v>
      </c>
      <c r="K86" s="563">
        <v>1.070051774406628E-2</v>
      </c>
      <c r="L86" s="572">
        <v>1.1039638897280201E-2</v>
      </c>
      <c r="M86" s="570">
        <f t="shared" si="60"/>
        <v>5.9463733221817089E-3</v>
      </c>
      <c r="N86" s="569">
        <f t="shared" si="50"/>
        <v>0.52223525763790413</v>
      </c>
      <c r="O86" s="571">
        <v>30.59325560721642</v>
      </c>
      <c r="P86" s="563">
        <f>Q86/Q$112</f>
        <v>1.2511536862328873E-2</v>
      </c>
      <c r="Q86" s="571">
        <v>10978.425000000001</v>
      </c>
      <c r="R86" s="563">
        <f t="shared" si="51"/>
        <v>0.15228834678781239</v>
      </c>
      <c r="S86" s="572">
        <v>1.074895845884153E-2</v>
      </c>
      <c r="T86" s="563">
        <v>1.1447446734145314E-2</v>
      </c>
      <c r="U86" s="563">
        <v>1.0236340050677766E-2</v>
      </c>
      <c r="V86" s="563">
        <v>9.9242786382856048E-3</v>
      </c>
      <c r="W86" s="570">
        <f t="shared" si="52"/>
        <v>2.8708105560263743E-2</v>
      </c>
      <c r="X86" s="573">
        <f t="shared" si="46"/>
        <v>2.6560972474396038</v>
      </c>
      <c r="Y86" s="574">
        <v>30.434316874078739</v>
      </c>
      <c r="Z86" s="563">
        <f t="shared" si="34"/>
        <v>1.13863880984931E-2</v>
      </c>
      <c r="AA86" s="571">
        <v>11146.230000000001</v>
      </c>
      <c r="AB86" s="563">
        <f t="shared" si="47"/>
        <v>0.10993132290586216</v>
      </c>
      <c r="AC86" s="563">
        <v>9.4317071373305923E-3</v>
      </c>
      <c r="AD86" s="563">
        <v>1.0171776192944142E-2</v>
      </c>
      <c r="AE86" s="571">
        <v>8.6199173187641032E-3</v>
      </c>
      <c r="AF86" s="563">
        <v>7.9351135236570437E-3</v>
      </c>
      <c r="AG86" s="575">
        <f t="shared" si="54"/>
        <v>0.29028779452140063</v>
      </c>
      <c r="AH86" s="573">
        <f t="shared" si="55"/>
        <v>24.644328627405244</v>
      </c>
      <c r="AI86" s="576">
        <v>29.646867249122717</v>
      </c>
      <c r="AJ86" s="563">
        <f t="shared" si="56"/>
        <v>1.0808378943179688E-2</v>
      </c>
      <c r="AK86" s="571">
        <v>10856.251999999999</v>
      </c>
      <c r="AL86" s="563">
        <f t="shared" si="57"/>
        <v>7.3772808733166273E-2</v>
      </c>
      <c r="AM86" s="563">
        <v>8.488322598681158E-3</v>
      </c>
      <c r="AN86" s="563">
        <v>9.5853818793287006E-3</v>
      </c>
      <c r="AO86" s="563">
        <v>9.395380377675339E-3</v>
      </c>
      <c r="AP86" s="571">
        <v>9.4610283293483696E-3</v>
      </c>
      <c r="AQ86" s="563">
        <f t="shared" si="48"/>
        <v>-8.6003396624802081E-2</v>
      </c>
      <c r="AR86" s="563">
        <v>-7.3425343362907514</v>
      </c>
      <c r="AS86" s="563">
        <v>23.785171435874165</v>
      </c>
      <c r="AT86" s="563">
        <f t="shared" si="58"/>
        <v>1.177909120228951E-2</v>
      </c>
      <c r="AU86" s="577">
        <v>10414.944000000001</v>
      </c>
      <c r="AV86" s="563">
        <f t="shared" si="59"/>
        <v>3.6842695548132708E-2</v>
      </c>
      <c r="AW86" s="563">
        <v>9.4054844952530369E-3</v>
      </c>
      <c r="AX86" s="563">
        <v>9.7146246880281256E-3</v>
      </c>
      <c r="AY86" s="571">
        <v>9.312494254318902E-3</v>
      </c>
      <c r="AZ86" s="563">
        <v>8.4100921105326396E-3</v>
      </c>
      <c r="BD86" s="580">
        <v>374.1</v>
      </c>
      <c r="BE86" s="563">
        <v>27.84</v>
      </c>
      <c r="BF86" s="362">
        <f t="shared" si="53"/>
        <v>10414.944000000001</v>
      </c>
      <c r="BG86" s="578">
        <f>+BF86/$BF$112</f>
        <v>1.1713039760635108E-2</v>
      </c>
    </row>
    <row r="87" spans="2:59">
      <c r="B87" s="563" t="s">
        <v>265</v>
      </c>
      <c r="C87" s="570"/>
      <c r="D87" s="569"/>
      <c r="E87" s="571" t="e">
        <v>#DIV/0!</v>
      </c>
      <c r="G87" s="571">
        <v>0</v>
      </c>
      <c r="H87" s="563" t="e">
        <f t="shared" si="45"/>
        <v>#DIV/0!</v>
      </c>
      <c r="I87" s="563" t="e">
        <v>#DIV/0!</v>
      </c>
      <c r="J87" s="563" t="e">
        <v>#DIV/0!</v>
      </c>
      <c r="K87" s="563" t="e">
        <v>#DIV/0!</v>
      </c>
      <c r="L87" s="572" t="e">
        <v>#DIV/0!</v>
      </c>
      <c r="M87" s="570"/>
      <c r="N87" s="569"/>
      <c r="O87" s="571" t="e">
        <v>#DIV/0!</v>
      </c>
      <c r="Q87" s="571">
        <v>0</v>
      </c>
      <c r="R87" s="563" t="e">
        <f t="shared" si="51"/>
        <v>#DIV/0!</v>
      </c>
      <c r="S87" s="572" t="e">
        <v>#DIV/0!</v>
      </c>
      <c r="T87" s="563" t="e">
        <v>#DIV/0!</v>
      </c>
      <c r="U87" s="563" t="e">
        <v>#DIV/0!</v>
      </c>
      <c r="V87" s="563" t="e">
        <v>#DIV/0!</v>
      </c>
      <c r="W87" s="570" t="e">
        <f t="shared" si="52"/>
        <v>#DIV/0!</v>
      </c>
      <c r="X87" s="573" t="e">
        <f t="shared" si="46"/>
        <v>#DIV/0!</v>
      </c>
      <c r="Y87" s="574" t="e">
        <v>#DIV/0!</v>
      </c>
      <c r="Z87" s="563">
        <f t="shared" si="34"/>
        <v>0</v>
      </c>
      <c r="AA87" s="571">
        <v>0</v>
      </c>
      <c r="AB87" s="563" t="e">
        <f t="shared" si="47"/>
        <v>#DIV/0!</v>
      </c>
      <c r="AC87" s="563" t="e">
        <v>#DIV/0!</v>
      </c>
      <c r="AD87" s="563" t="e">
        <v>#DIV/0!</v>
      </c>
      <c r="AE87" s="571" t="e">
        <v>#DIV/0!</v>
      </c>
      <c r="AF87" s="563" t="e">
        <v>#DIV/0!</v>
      </c>
      <c r="AG87" s="575" t="e">
        <f t="shared" si="54"/>
        <v>#DIV/0!</v>
      </c>
      <c r="AH87" s="573" t="e">
        <f t="shared" si="55"/>
        <v>#DIV/0!</v>
      </c>
      <c r="AI87" s="576" t="e">
        <v>#DIV/0!</v>
      </c>
      <c r="AJ87" s="563">
        <f t="shared" si="56"/>
        <v>0</v>
      </c>
      <c r="AK87" s="571">
        <v>0</v>
      </c>
      <c r="AL87" s="563" t="e">
        <f t="shared" si="57"/>
        <v>#DIV/0!</v>
      </c>
      <c r="AM87" s="563" t="e">
        <v>#DIV/0!</v>
      </c>
      <c r="AN87" s="563" t="e">
        <v>#DIV/0!</v>
      </c>
      <c r="AO87" s="563" t="e">
        <v>#DIV/0!</v>
      </c>
      <c r="AP87" s="571" t="e">
        <v>#DIV/0!</v>
      </c>
      <c r="AQ87" s="563" t="e">
        <f t="shared" si="48"/>
        <v>#DIV/0!</v>
      </c>
      <c r="AR87" s="563" t="e">
        <v>#DIV/0!</v>
      </c>
      <c r="AS87" s="563" t="e">
        <v>#DIV/0!</v>
      </c>
      <c r="AT87" s="563">
        <f t="shared" si="58"/>
        <v>0</v>
      </c>
      <c r="AU87" s="577">
        <v>0</v>
      </c>
      <c r="AV87" s="563" t="e">
        <f t="shared" si="59"/>
        <v>#DIV/0!</v>
      </c>
      <c r="AW87" s="563" t="e">
        <v>#DIV/0!</v>
      </c>
      <c r="AX87" s="563" t="e">
        <v>#DIV/0!</v>
      </c>
      <c r="AY87" s="571" t="e">
        <v>#DIV/0!</v>
      </c>
      <c r="AZ87" s="563" t="e">
        <v>#DIV/0!</v>
      </c>
      <c r="BD87" s="580"/>
      <c r="BF87" s="362">
        <f t="shared" si="53"/>
        <v>0</v>
      </c>
      <c r="BG87" s="578"/>
    </row>
    <row r="88" spans="2:59">
      <c r="B88" s="563" t="s">
        <v>266</v>
      </c>
      <c r="C88" s="570"/>
      <c r="D88" s="569"/>
      <c r="E88" s="571" t="e">
        <v>#DIV/0!</v>
      </c>
      <c r="F88" s="563">
        <f t="shared" si="49"/>
        <v>0</v>
      </c>
      <c r="G88" s="571">
        <v>0</v>
      </c>
      <c r="H88" s="563" t="e">
        <f t="shared" si="45"/>
        <v>#DIV/0!</v>
      </c>
      <c r="I88" s="563" t="e">
        <v>#DIV/0!</v>
      </c>
      <c r="J88" s="563" t="e">
        <v>#DIV/0!</v>
      </c>
      <c r="K88" s="563" t="e">
        <v>#DIV/0!</v>
      </c>
      <c r="L88" s="572" t="e">
        <v>#DIV/0!</v>
      </c>
      <c r="M88" s="570" t="e">
        <f t="shared" si="60"/>
        <v>#DIV/0!</v>
      </c>
      <c r="N88" s="569" t="e">
        <f t="shared" si="50"/>
        <v>#DIV/0!</v>
      </c>
      <c r="O88" s="571" t="e">
        <v>#DIV/0!</v>
      </c>
      <c r="Q88" s="571">
        <v>0</v>
      </c>
      <c r="R88" s="563" t="e">
        <f t="shared" si="51"/>
        <v>#DIV/0!</v>
      </c>
      <c r="S88" s="572" t="e">
        <v>#DIV/0!</v>
      </c>
      <c r="T88" s="563" t="e">
        <v>#DIV/0!</v>
      </c>
      <c r="U88" s="563" t="e">
        <v>#DIV/0!</v>
      </c>
      <c r="V88" s="563" t="e">
        <v>#DIV/0!</v>
      </c>
      <c r="W88" s="570" t="e">
        <f t="shared" si="52"/>
        <v>#DIV/0!</v>
      </c>
      <c r="X88" s="573" t="e">
        <f t="shared" si="46"/>
        <v>#DIV/0!</v>
      </c>
      <c r="Y88" s="574" t="e">
        <v>#DIV/0!</v>
      </c>
      <c r="Z88" s="563">
        <f t="shared" si="34"/>
        <v>0</v>
      </c>
      <c r="AA88" s="571">
        <v>0</v>
      </c>
      <c r="AB88" s="563" t="e">
        <f t="shared" si="47"/>
        <v>#DIV/0!</v>
      </c>
      <c r="AC88" s="563" t="e">
        <v>#DIV/0!</v>
      </c>
      <c r="AD88" s="563" t="e">
        <v>#DIV/0!</v>
      </c>
      <c r="AE88" s="571" t="e">
        <v>#DIV/0!</v>
      </c>
      <c r="AF88" s="563" t="e">
        <v>#DIV/0!</v>
      </c>
      <c r="AG88" s="575" t="e">
        <f t="shared" si="54"/>
        <v>#DIV/0!</v>
      </c>
      <c r="AH88" s="573" t="e">
        <f t="shared" si="55"/>
        <v>#DIV/0!</v>
      </c>
      <c r="AI88" s="576" t="e">
        <v>#DIV/0!</v>
      </c>
      <c r="AJ88" s="563">
        <f t="shared" si="56"/>
        <v>0</v>
      </c>
      <c r="AK88" s="571">
        <v>0</v>
      </c>
      <c r="AL88" s="563" t="e">
        <f t="shared" si="57"/>
        <v>#DIV/0!</v>
      </c>
      <c r="AM88" s="563" t="e">
        <v>#DIV/0!</v>
      </c>
      <c r="AN88" s="563" t="e">
        <v>#DIV/0!</v>
      </c>
      <c r="AO88" s="563" t="e">
        <v>#DIV/0!</v>
      </c>
      <c r="AP88" s="571" t="e">
        <v>#DIV/0!</v>
      </c>
      <c r="AQ88" s="563" t="e">
        <f t="shared" si="48"/>
        <v>#DIV/0!</v>
      </c>
      <c r="AR88" s="563" t="e">
        <v>#DIV/0!</v>
      </c>
      <c r="AS88" s="563" t="e">
        <v>#DIV/0!</v>
      </c>
      <c r="AT88" s="563">
        <f t="shared" si="58"/>
        <v>0</v>
      </c>
      <c r="AU88" s="577">
        <v>0</v>
      </c>
      <c r="AV88" s="563" t="e">
        <f t="shared" si="59"/>
        <v>#DIV/0!</v>
      </c>
      <c r="AW88" s="563" t="e">
        <v>#DIV/0!</v>
      </c>
      <c r="AX88" s="563" t="e">
        <v>#DIV/0!</v>
      </c>
      <c r="AY88" s="571" t="e">
        <v>#DIV/0!</v>
      </c>
      <c r="AZ88" s="563" t="e">
        <v>#DIV/0!</v>
      </c>
      <c r="BD88" s="580"/>
      <c r="BF88" s="362">
        <f t="shared" si="53"/>
        <v>0</v>
      </c>
      <c r="BG88" s="578"/>
    </row>
    <row r="89" spans="2:59">
      <c r="B89" s="579" t="s">
        <v>148</v>
      </c>
      <c r="C89" s="570">
        <f>D89*P89</f>
        <v>0.51195768758793203</v>
      </c>
      <c r="D89" s="569">
        <f>((E89/O89)-1)*100</f>
        <v>13.145090079277221</v>
      </c>
      <c r="E89" s="571">
        <v>78.65931855997006</v>
      </c>
      <c r="F89" s="563">
        <f t="shared" si="49"/>
        <v>3.6899846167880578E-2</v>
      </c>
      <c r="G89" s="571">
        <v>38081.279999999999</v>
      </c>
      <c r="H89" s="563">
        <f t="shared" si="45"/>
        <v>0.1649780592412628</v>
      </c>
      <c r="I89" s="563">
        <v>9.3704849955498805E-3</v>
      </c>
      <c r="J89" s="563">
        <v>9.6084915433316039E-3</v>
      </c>
      <c r="K89" s="563">
        <v>1.1628309276366655E-2</v>
      </c>
      <c r="L89" s="572">
        <v>1.1438242984497317E-2</v>
      </c>
      <c r="M89" s="570">
        <f t="shared" si="60"/>
        <v>-0.34125433703643432</v>
      </c>
      <c r="N89" s="569">
        <f t="shared" si="50"/>
        <v>-8.6948015066898972</v>
      </c>
      <c r="O89" s="571">
        <v>69.520752959634336</v>
      </c>
      <c r="P89" s="563">
        <f>Q89/Q$112</f>
        <v>3.8946685378369192E-2</v>
      </c>
      <c r="Q89" s="571">
        <v>34174.32</v>
      </c>
      <c r="R89" s="563">
        <f t="shared" si="51"/>
        <v>0.12293253044151733</v>
      </c>
      <c r="S89" s="572">
        <v>9.3532743205124013E-3</v>
      </c>
      <c r="T89" s="563">
        <v>1.0028770578159383E-2</v>
      </c>
      <c r="U89" s="563">
        <v>9.1537127529475164E-3</v>
      </c>
      <c r="V89" s="563">
        <v>8.3738422873859183E-3</v>
      </c>
      <c r="W89" s="570">
        <f t="shared" si="52"/>
        <v>0.23660576856679544</v>
      </c>
      <c r="X89" s="573">
        <f t="shared" si="46"/>
        <v>6.5127925952616739</v>
      </c>
      <c r="Y89" s="574">
        <v>76.141067657531124</v>
      </c>
      <c r="Z89" s="563">
        <f t="shared" si="34"/>
        <v>3.9248088271350262E-2</v>
      </c>
      <c r="AA89" s="571">
        <v>38420.28</v>
      </c>
      <c r="AB89" s="563">
        <f t="shared" si="47"/>
        <v>8.6022930502512113E-2</v>
      </c>
      <c r="AC89" s="563">
        <v>7.4993615725765734E-3</v>
      </c>
      <c r="AD89" s="563">
        <v>8.1532117054211057E-3</v>
      </c>
      <c r="AE89" s="571">
        <v>7.3238436316635774E-3</v>
      </c>
      <c r="AF89" s="563">
        <v>7.1325764769846851E-3</v>
      </c>
      <c r="AG89" s="575">
        <f t="shared" si="54"/>
        <v>0.16426985993536383</v>
      </c>
      <c r="AH89" s="573">
        <f t="shared" si="55"/>
        <v>4.4078860273063958</v>
      </c>
      <c r="AI89" s="576">
        <v>71.485373542744142</v>
      </c>
      <c r="AJ89" s="563">
        <f t="shared" si="56"/>
        <v>3.6329387909410156E-2</v>
      </c>
      <c r="AK89" s="571">
        <v>36490.300000000003</v>
      </c>
      <c r="AL89" s="563">
        <f t="shared" si="57"/>
        <v>5.5913937115866175E-2</v>
      </c>
      <c r="AM89" s="563">
        <v>7.0877104681144228E-3</v>
      </c>
      <c r="AN89" s="563">
        <v>7.621617737225056E-3</v>
      </c>
      <c r="AO89" s="563">
        <v>7.1807214407622541E-3</v>
      </c>
      <c r="AP89" s="571">
        <v>7.0641121218115834E-3</v>
      </c>
      <c r="AQ89" s="563">
        <f t="shared" si="48"/>
        <v>1.5680954401755036</v>
      </c>
      <c r="AR89" s="563">
        <v>42.314296866447791</v>
      </c>
      <c r="AS89" s="563">
        <v>68.467408222448029</v>
      </c>
      <c r="AT89" s="563">
        <f t="shared" si="58"/>
        <v>3.7267265740930942E-2</v>
      </c>
      <c r="AU89" s="577">
        <v>32951.31</v>
      </c>
      <c r="AV89" s="563">
        <f t="shared" si="59"/>
        <v>2.6959775347952859E-2</v>
      </c>
      <c r="AW89" s="563">
        <v>6.5811133144503698E-3</v>
      </c>
      <c r="AX89" s="563">
        <v>6.3185890650116084E-3</v>
      </c>
      <c r="AY89" s="571">
        <v>6.9290613598673306E-3</v>
      </c>
      <c r="AZ89" s="563">
        <v>7.1310116086235487E-3</v>
      </c>
      <c r="BD89" s="580">
        <v>519</v>
      </c>
      <c r="BE89" s="563">
        <v>63.49</v>
      </c>
      <c r="BF89" s="362">
        <f t="shared" si="53"/>
        <v>32951.31</v>
      </c>
      <c r="BG89" s="578">
        <f>+BF89/$BF$112</f>
        <v>3.7058288954315372E-2</v>
      </c>
    </row>
    <row r="90" spans="2:59">
      <c r="B90" s="579" t="s">
        <v>149</v>
      </c>
      <c r="C90" s="570">
        <f>D90*P90</f>
        <v>3.6180337438969631E-2</v>
      </c>
      <c r="D90" s="569">
        <f>((E90/O90)-1)*100</f>
        <v>10.321184386893133</v>
      </c>
      <c r="E90" s="571">
        <v>67.005118469766785</v>
      </c>
      <c r="F90" s="563">
        <f t="shared" si="49"/>
        <v>3.175517149587026E-3</v>
      </c>
      <c r="G90" s="571">
        <v>3277.1886681599999</v>
      </c>
      <c r="H90" s="563">
        <f t="shared" si="45"/>
        <v>0.25336921941202362</v>
      </c>
      <c r="I90" s="563">
        <v>1.5056181715354194E-2</v>
      </c>
      <c r="J90" s="563">
        <v>1.3908821055863749E-2</v>
      </c>
      <c r="K90" s="563">
        <v>1.5688206994214936E-2</v>
      </c>
      <c r="L90" s="572">
        <v>1.5231977632227296E-2</v>
      </c>
      <c r="M90" s="570">
        <f t="shared" si="60"/>
        <v>-3.4232064501505746E-2</v>
      </c>
      <c r="N90" s="569">
        <f t="shared" si="50"/>
        <v>-10.028546294360218</v>
      </c>
      <c r="O90" s="571">
        <v>60.736402389210951</v>
      </c>
      <c r="P90" s="563">
        <f>Q90/Q$112</f>
        <v>3.5054443446350036E-3</v>
      </c>
      <c r="Q90" s="571">
        <v>3075.90172596</v>
      </c>
      <c r="R90" s="563">
        <f t="shared" si="51"/>
        <v>0.19348403201436343</v>
      </c>
      <c r="S90" s="572">
        <v>1.482301145913434E-2</v>
      </c>
      <c r="T90" s="563">
        <v>1.5489590413867488E-2</v>
      </c>
      <c r="U90" s="563">
        <v>1.296915880296989E-2</v>
      </c>
      <c r="V90" s="563">
        <v>1.2583409464214882E-2</v>
      </c>
      <c r="W90" s="570">
        <f t="shared" si="52"/>
        <v>2.5135508490054245E-2</v>
      </c>
      <c r="X90" s="573">
        <f t="shared" si="46"/>
        <v>8.5117352446392189</v>
      </c>
      <c r="Y90" s="574">
        <v>67.506303263613646</v>
      </c>
      <c r="Z90" s="563">
        <f t="shared" si="34"/>
        <v>3.4134622802466327E-3</v>
      </c>
      <c r="AA90" s="571">
        <v>3341.4666128400004</v>
      </c>
      <c r="AB90" s="563">
        <f t="shared" si="47"/>
        <v>0.13761886187417682</v>
      </c>
      <c r="AC90" s="563">
        <v>1.1950973536447081E-2</v>
      </c>
      <c r="AD90" s="563">
        <v>1.4208991577895607E-2</v>
      </c>
      <c r="AE90" s="571">
        <v>1.1756532991247407E-2</v>
      </c>
      <c r="AF90" s="563">
        <v>1.1335282872614686E-2</v>
      </c>
      <c r="AG90" s="575">
        <f t="shared" si="54"/>
        <v>8.8187079370781393E-3</v>
      </c>
      <c r="AH90" s="573">
        <f t="shared" si="55"/>
        <v>2.1567725453157216</v>
      </c>
      <c r="AI90" s="576">
        <v>62.211062344013754</v>
      </c>
      <c r="AJ90" s="563">
        <f t="shared" si="56"/>
        <v>2.9530416263692945E-3</v>
      </c>
      <c r="AK90" s="571">
        <v>2966.1213981199999</v>
      </c>
      <c r="AL90" s="563">
        <f t="shared" si="57"/>
        <v>8.8367080895972033E-2</v>
      </c>
      <c r="AM90" s="563">
        <v>1.1678566807814169E-2</v>
      </c>
      <c r="AN90" s="563">
        <v>1.1525325945004453E-2</v>
      </c>
      <c r="AO90" s="563">
        <v>1.0854720194752714E-2</v>
      </c>
      <c r="AP90" s="571">
        <v>9.9311949274993681E-3</v>
      </c>
      <c r="AQ90" s="563">
        <f t="shared" si="48"/>
        <v>8.1566150969142187E-3</v>
      </c>
      <c r="AR90" s="563">
        <v>2.0060951253747961</v>
      </c>
      <c r="AS90" s="563">
        <v>60.897638789848756</v>
      </c>
      <c r="AT90" s="563">
        <f t="shared" si="58"/>
        <v>4.088844674989686E-3</v>
      </c>
      <c r="AU90" s="577">
        <v>3615.3118762200002</v>
      </c>
      <c r="AV90" s="563">
        <f t="shared" si="59"/>
        <v>4.4377273020901338E-2</v>
      </c>
      <c r="AW90" s="563">
        <v>1.0637011777500267E-2</v>
      </c>
      <c r="AX90" s="563">
        <v>1.259634761872544E-2</v>
      </c>
      <c r="AY90" s="571">
        <v>1.1115499785464538E-2</v>
      </c>
      <c r="AZ90" s="563">
        <v>1.0028413839211098E-2</v>
      </c>
      <c r="BD90" s="580">
        <v>50.443866</v>
      </c>
      <c r="BE90" s="563">
        <v>71.67</v>
      </c>
      <c r="BF90" s="362">
        <f t="shared" si="53"/>
        <v>3615.3118762200002</v>
      </c>
      <c r="BG90" s="578">
        <f>+BF90/$BF$112</f>
        <v>4.0659164133058394E-3</v>
      </c>
    </row>
    <row r="91" spans="2:59">
      <c r="B91" s="563" t="s">
        <v>267</v>
      </c>
      <c r="C91" s="570"/>
      <c r="D91" s="569"/>
      <c r="E91" s="571" t="e">
        <v>#DIV/0!</v>
      </c>
      <c r="F91" s="563" t="s">
        <v>96</v>
      </c>
      <c r="G91" s="571">
        <v>0</v>
      </c>
      <c r="H91" s="563" t="e">
        <f t="shared" si="45"/>
        <v>#DIV/0!</v>
      </c>
      <c r="I91" s="563" t="e">
        <v>#DIV/0!</v>
      </c>
      <c r="J91" s="563" t="e">
        <v>#DIV/0!</v>
      </c>
      <c r="K91" s="563" t="e">
        <v>#DIV/0!</v>
      </c>
      <c r="L91" s="572" t="e">
        <v>#DIV/0!</v>
      </c>
      <c r="M91" s="570"/>
      <c r="N91" s="569"/>
      <c r="O91" s="571" t="e">
        <v>#DIV/0!</v>
      </c>
      <c r="Q91" s="571">
        <v>0</v>
      </c>
      <c r="R91" s="563" t="e">
        <f t="shared" si="51"/>
        <v>#DIV/0!</v>
      </c>
      <c r="S91" s="572" t="e">
        <v>#DIV/0!</v>
      </c>
      <c r="T91" s="563" t="e">
        <v>#DIV/0!</v>
      </c>
      <c r="U91" s="563" t="e">
        <v>#DIV/0!</v>
      </c>
      <c r="V91" s="563" t="e">
        <v>#DIV/0!</v>
      </c>
      <c r="W91" s="570"/>
      <c r="X91" s="573" t="e">
        <f t="shared" si="46"/>
        <v>#DIV/0!</v>
      </c>
      <c r="Y91" s="574" t="e">
        <v>#DIV/0!</v>
      </c>
      <c r="Z91" s="563">
        <f t="shared" si="34"/>
        <v>0</v>
      </c>
      <c r="AA91" s="571">
        <v>0</v>
      </c>
      <c r="AB91" s="563" t="e">
        <f t="shared" si="47"/>
        <v>#DIV/0!</v>
      </c>
      <c r="AC91" s="563" t="e">
        <v>#DIV/0!</v>
      </c>
      <c r="AD91" s="563" t="e">
        <v>#DIV/0!</v>
      </c>
      <c r="AE91" s="571" t="e">
        <v>#DIV/0!</v>
      </c>
      <c r="AF91" s="563" t="e">
        <v>#DIV/0!</v>
      </c>
      <c r="AG91" s="575" t="e">
        <f t="shared" si="54"/>
        <v>#DIV/0!</v>
      </c>
      <c r="AH91" s="573" t="e">
        <f t="shared" si="55"/>
        <v>#DIV/0!</v>
      </c>
      <c r="AI91" s="576" t="e">
        <v>#DIV/0!</v>
      </c>
      <c r="AJ91" s="563">
        <f t="shared" si="56"/>
        <v>0</v>
      </c>
      <c r="AK91" s="571">
        <v>0</v>
      </c>
      <c r="AL91" s="563" t="e">
        <f t="shared" si="57"/>
        <v>#DIV/0!</v>
      </c>
      <c r="AM91" s="563" t="e">
        <v>#DIV/0!</v>
      </c>
      <c r="AN91" s="563" t="e">
        <v>#DIV/0!</v>
      </c>
      <c r="AO91" s="563" t="e">
        <v>#DIV/0!</v>
      </c>
      <c r="AP91" s="571" t="e">
        <v>#DIV/0!</v>
      </c>
      <c r="AQ91" s="563" t="e">
        <f t="shared" si="48"/>
        <v>#DIV/0!</v>
      </c>
      <c r="AR91" s="563" t="e">
        <v>#DIV/0!</v>
      </c>
      <c r="AS91" s="563" t="e">
        <v>#DIV/0!</v>
      </c>
      <c r="AT91" s="563">
        <f t="shared" si="58"/>
        <v>0</v>
      </c>
      <c r="AU91" s="577">
        <v>0</v>
      </c>
      <c r="AV91" s="563" t="e">
        <f t="shared" si="59"/>
        <v>#DIV/0!</v>
      </c>
      <c r="AW91" s="563" t="e">
        <v>#DIV/0!</v>
      </c>
      <c r="AX91" s="563" t="e">
        <v>#DIV/0!</v>
      </c>
      <c r="AY91" s="571" t="e">
        <v>#DIV/0!</v>
      </c>
      <c r="AZ91" s="563" t="e">
        <v>#DIV/0!</v>
      </c>
      <c r="BD91" s="580"/>
      <c r="BF91" s="362">
        <f t="shared" si="53"/>
        <v>0</v>
      </c>
      <c r="BG91" s="578"/>
    </row>
    <row r="92" spans="2:59">
      <c r="B92" s="579" t="s">
        <v>150</v>
      </c>
      <c r="C92" s="570">
        <f>D92*P92</f>
        <v>0.53140829730238393</v>
      </c>
      <c r="D92" s="569">
        <f>((E92/O92)-1)*100</f>
        <v>12.251062362450282</v>
      </c>
      <c r="E92" s="571">
        <v>20.250091650186032</v>
      </c>
      <c r="F92" s="563">
        <f t="shared" si="49"/>
        <v>4.1786760320087789E-2</v>
      </c>
      <c r="G92" s="571">
        <v>43124.659999999996</v>
      </c>
      <c r="H92" s="563">
        <f t="shared" si="45"/>
        <v>3.4733226058488941E-3</v>
      </c>
      <c r="I92" s="563">
        <v>1.2416150984977097E-3</v>
      </c>
      <c r="J92" s="563">
        <v>5.0668943756691169E-4</v>
      </c>
      <c r="K92" s="563">
        <v>5.7339726277606427E-4</v>
      </c>
      <c r="L92" s="572">
        <v>5.9698963673643899E-4</v>
      </c>
      <c r="M92" s="570">
        <f>N92*Z92</f>
        <v>0.36130656383401677</v>
      </c>
      <c r="N92" s="569">
        <f t="shared" si="50"/>
        <v>10.947109471094718</v>
      </c>
      <c r="O92" s="571">
        <v>18.040000000000003</v>
      </c>
      <c r="P92" s="563">
        <f>Q92/Q$112</f>
        <v>4.3376507406505373E-2</v>
      </c>
      <c r="Q92" s="571">
        <v>38061.33</v>
      </c>
      <c r="R92" s="563">
        <f t="shared" si="51"/>
        <v>5.5463117027176921E-4</v>
      </c>
      <c r="S92" s="572">
        <v>5.5463117027176921E-4</v>
      </c>
      <c r="T92" s="563">
        <v>0</v>
      </c>
      <c r="U92" s="563">
        <v>0</v>
      </c>
      <c r="V92" s="563">
        <v>0</v>
      </c>
      <c r="W92" s="570">
        <f t="shared" si="52"/>
        <v>0.81421364088740877</v>
      </c>
      <c r="X92" s="573">
        <f t="shared" si="46"/>
        <v>33.937397034596373</v>
      </c>
      <c r="Y92" s="574">
        <v>16.260000000000002</v>
      </c>
      <c r="Z92" s="563">
        <f t="shared" si="34"/>
        <v>3.3004745662590498E-2</v>
      </c>
      <c r="AA92" s="571">
        <v>32308.620000000003</v>
      </c>
      <c r="AB92" s="563">
        <f t="shared" si="47"/>
        <v>0</v>
      </c>
      <c r="AC92" s="563">
        <v>0</v>
      </c>
      <c r="AD92" s="563">
        <v>0</v>
      </c>
      <c r="AE92" s="571">
        <v>0</v>
      </c>
      <c r="AF92" s="563">
        <v>0</v>
      </c>
      <c r="AG92" s="575">
        <f t="shared" si="54"/>
        <v>-1.6702135297007616E-2</v>
      </c>
      <c r="AH92" s="573">
        <f t="shared" si="55"/>
        <v>-2.5682182985553803</v>
      </c>
      <c r="AI92" s="576">
        <v>12.14</v>
      </c>
      <c r="AJ92" s="563">
        <f t="shared" si="56"/>
        <v>2.3991634952362E-2</v>
      </c>
      <c r="AK92" s="571">
        <v>24097.9</v>
      </c>
      <c r="AL92" s="563">
        <f t="shared" si="57"/>
        <v>0</v>
      </c>
      <c r="AM92" s="563">
        <v>0</v>
      </c>
      <c r="AN92" s="563">
        <v>0</v>
      </c>
      <c r="AO92" s="563">
        <v>0</v>
      </c>
      <c r="AP92" s="571">
        <v>0</v>
      </c>
      <c r="AQ92" s="563">
        <f t="shared" si="48"/>
        <v>-0.46695158624556155</v>
      </c>
      <c r="AR92" s="563">
        <v>-72.206111978585767</v>
      </c>
      <c r="AS92" s="563">
        <v>12.46</v>
      </c>
      <c r="AT92" s="563">
        <f t="shared" si="58"/>
        <v>6.5033939312723332E-3</v>
      </c>
      <c r="AU92" s="577">
        <v>5750.23</v>
      </c>
      <c r="AV92" s="563">
        <f t="shared" si="59"/>
        <v>0</v>
      </c>
      <c r="AW92" s="563">
        <v>0</v>
      </c>
      <c r="AX92" s="563">
        <v>0</v>
      </c>
      <c r="AY92" s="571">
        <v>0</v>
      </c>
      <c r="AZ92" s="563">
        <v>0</v>
      </c>
      <c r="BD92" s="580">
        <v>529</v>
      </c>
      <c r="BE92" s="563">
        <v>10.87</v>
      </c>
      <c r="BF92" s="362">
        <f t="shared" si="53"/>
        <v>5750.23</v>
      </c>
      <c r="BG92" s="578">
        <f>+BF92/$BF$112</f>
        <v>6.466926046150301E-3</v>
      </c>
    </row>
    <row r="93" spans="2:59">
      <c r="B93" s="563" t="s">
        <v>268</v>
      </c>
      <c r="C93" s="570"/>
      <c r="D93" s="569"/>
      <c r="E93" s="571" t="e">
        <v>#DIV/0!</v>
      </c>
      <c r="G93" s="571">
        <v>0</v>
      </c>
      <c r="H93" s="563" t="e">
        <f t="shared" si="45"/>
        <v>#DIV/0!</v>
      </c>
      <c r="I93" s="563" t="e">
        <v>#DIV/0!</v>
      </c>
      <c r="J93" s="563" t="e">
        <v>#DIV/0!</v>
      </c>
      <c r="K93" s="563" t="e">
        <v>#DIV/0!</v>
      </c>
      <c r="L93" s="572" t="e">
        <v>#DIV/0!</v>
      </c>
      <c r="M93" s="570"/>
      <c r="N93" s="569"/>
      <c r="O93" s="571" t="e">
        <v>#DIV/0!</v>
      </c>
      <c r="Q93" s="571">
        <v>0</v>
      </c>
      <c r="R93" s="563" t="e">
        <f t="shared" si="51"/>
        <v>#DIV/0!</v>
      </c>
      <c r="S93" s="572" t="e">
        <v>#DIV/0!</v>
      </c>
      <c r="T93" s="563" t="e">
        <v>#DIV/0!</v>
      </c>
      <c r="U93" s="563" t="e">
        <v>#DIV/0!</v>
      </c>
      <c r="V93" s="563" t="e">
        <v>#DIV/0!</v>
      </c>
      <c r="W93" s="570" t="e">
        <f t="shared" si="52"/>
        <v>#DIV/0!</v>
      </c>
      <c r="X93" s="573" t="e">
        <f t="shared" si="46"/>
        <v>#DIV/0!</v>
      </c>
      <c r="Y93" s="574" t="e">
        <v>#DIV/0!</v>
      </c>
      <c r="Z93" s="563">
        <f t="shared" si="34"/>
        <v>0</v>
      </c>
      <c r="AA93" s="571">
        <v>0</v>
      </c>
      <c r="AB93" s="563" t="e">
        <f t="shared" si="47"/>
        <v>#DIV/0!</v>
      </c>
      <c r="AC93" s="563" t="e">
        <v>#DIV/0!</v>
      </c>
      <c r="AD93" s="563" t="e">
        <v>#DIV/0!</v>
      </c>
      <c r="AE93" s="571" t="e">
        <v>#DIV/0!</v>
      </c>
      <c r="AF93" s="563" t="e">
        <v>#DIV/0!</v>
      </c>
      <c r="AG93" s="575" t="e">
        <f t="shared" si="54"/>
        <v>#DIV/0!</v>
      </c>
      <c r="AH93" s="573" t="e">
        <f t="shared" si="55"/>
        <v>#DIV/0!</v>
      </c>
      <c r="AI93" s="576" t="e">
        <v>#DIV/0!</v>
      </c>
      <c r="AJ93" s="563">
        <f t="shared" si="56"/>
        <v>0</v>
      </c>
      <c r="AK93" s="571">
        <v>0</v>
      </c>
      <c r="AL93" s="563" t="e">
        <f t="shared" si="57"/>
        <v>#DIV/0!</v>
      </c>
      <c r="AM93" s="563" t="e">
        <v>#DIV/0!</v>
      </c>
      <c r="AN93" s="563" t="e">
        <v>#DIV/0!</v>
      </c>
      <c r="AO93" s="563" t="e">
        <v>#DIV/0!</v>
      </c>
      <c r="AP93" s="571" t="e">
        <v>#DIV/0!</v>
      </c>
      <c r="AQ93" s="563" t="e">
        <f t="shared" si="48"/>
        <v>#DIV/0!</v>
      </c>
      <c r="AR93" s="563" t="e">
        <v>#DIV/0!</v>
      </c>
      <c r="AS93" s="563" t="e">
        <v>#DIV/0!</v>
      </c>
      <c r="AT93" s="563">
        <f t="shared" si="58"/>
        <v>0</v>
      </c>
      <c r="AU93" s="577">
        <v>0</v>
      </c>
      <c r="AV93" s="563" t="e">
        <f t="shared" si="59"/>
        <v>#DIV/0!</v>
      </c>
      <c r="AW93" s="563" t="e">
        <v>#DIV/0!</v>
      </c>
      <c r="AX93" s="563" t="e">
        <v>#DIV/0!</v>
      </c>
      <c r="AY93" s="571" t="e">
        <v>#DIV/0!</v>
      </c>
      <c r="AZ93" s="563" t="e">
        <v>#DIV/0!</v>
      </c>
      <c r="BD93" s="580"/>
      <c r="BF93" s="362">
        <f t="shared" si="53"/>
        <v>0</v>
      </c>
      <c r="BG93" s="578"/>
    </row>
    <row r="94" spans="2:59">
      <c r="B94" s="579" t="s">
        <v>151</v>
      </c>
      <c r="C94" s="570">
        <f>D94*P94</f>
        <v>0.37345111496348471</v>
      </c>
      <c r="D94" s="569">
        <f>((E94/O94)-1)*100</f>
        <v>9.164512183102147</v>
      </c>
      <c r="E94" s="571">
        <v>45.093071801099157</v>
      </c>
      <c r="F94" s="563">
        <f t="shared" si="49"/>
        <v>3.6581673210257168E-2</v>
      </c>
      <c r="G94" s="571">
        <v>37752.92</v>
      </c>
      <c r="H94" s="563">
        <f t="shared" si="45"/>
        <v>0.19800934646915916</v>
      </c>
      <c r="I94" s="563">
        <v>1.1973791469181497E-2</v>
      </c>
      <c r="J94" s="563">
        <v>1.1011324478377511E-2</v>
      </c>
      <c r="K94" s="563">
        <v>1.2761051946219151E-2</v>
      </c>
      <c r="L94" s="572">
        <v>1.1637944871110533E-2</v>
      </c>
      <c r="M94" s="570">
        <f>N94*Z94</f>
        <v>-0.60393205154767604</v>
      </c>
      <c r="N94" s="569">
        <f t="shared" si="50"/>
        <v>-13.841651696875035</v>
      </c>
      <c r="O94" s="571">
        <v>41.307445889983306</v>
      </c>
      <c r="P94" s="563">
        <f>Q94/Q$112</f>
        <v>4.0749699220441554E-2</v>
      </c>
      <c r="Q94" s="571">
        <v>35756.400000000001</v>
      </c>
      <c r="R94" s="563">
        <f t="shared" si="51"/>
        <v>0.15062523370427047</v>
      </c>
      <c r="S94" s="572">
        <v>1.1423747494030264E-2</v>
      </c>
      <c r="T94" s="563">
        <v>1.0750000918366618E-2</v>
      </c>
      <c r="U94" s="563">
        <v>9.8842465864981636E-3</v>
      </c>
      <c r="V94" s="563">
        <v>9.5309871226966891E-3</v>
      </c>
      <c r="W94" s="570">
        <f t="shared" si="52"/>
        <v>-1.2825644269308423</v>
      </c>
      <c r="X94" s="573">
        <f t="shared" si="46"/>
        <v>-22.781833154942667</v>
      </c>
      <c r="Y94" s="574">
        <v>47.943637155919205</v>
      </c>
      <c r="Z94" s="563">
        <f t="shared" si="34"/>
        <v>4.363150184482846E-2</v>
      </c>
      <c r="AA94" s="571">
        <v>42711.24</v>
      </c>
      <c r="AB94" s="563">
        <f t="shared" si="47"/>
        <v>0.10903625158267874</v>
      </c>
      <c r="AC94" s="563">
        <v>8.59126034106052E-3</v>
      </c>
      <c r="AD94" s="563">
        <v>9.8260515786506037E-3</v>
      </c>
      <c r="AE94" s="571">
        <v>8.0618494691179245E-3</v>
      </c>
      <c r="AF94" s="563">
        <v>7.6168868075347741E-3</v>
      </c>
      <c r="AG94" s="575">
        <f t="shared" si="54"/>
        <v>2.0682427097710945</v>
      </c>
      <c r="AH94" s="573">
        <f t="shared" si="55"/>
        <v>41.225337941836315</v>
      </c>
      <c r="AI94" s="576">
        <v>62.088546147593547</v>
      </c>
      <c r="AJ94" s="563">
        <f t="shared" si="56"/>
        <v>5.6297683255246804E-2</v>
      </c>
      <c r="AK94" s="571">
        <v>56547.040000000001</v>
      </c>
      <c r="AL94" s="563">
        <f t="shared" si="57"/>
        <v>7.4940203386314908E-2</v>
      </c>
      <c r="AM94" s="563">
        <v>7.071670942860481E-3</v>
      </c>
      <c r="AN94" s="563">
        <v>8.3833898847477314E-3</v>
      </c>
      <c r="AO94" s="563">
        <v>9.0675855463154958E-3</v>
      </c>
      <c r="AP94" s="571">
        <v>9.1061185462573448E-3</v>
      </c>
      <c r="AQ94" s="563">
        <f t="shared" si="48"/>
        <v>0.57649800968411347</v>
      </c>
      <c r="AR94" s="563">
        <v>11.555871433748234</v>
      </c>
      <c r="AS94" s="563">
        <v>43.964168932040174</v>
      </c>
      <c r="AT94" s="563">
        <f t="shared" si="58"/>
        <v>5.0169211776726258E-2</v>
      </c>
      <c r="AU94" s="577">
        <v>44359.07</v>
      </c>
      <c r="AV94" s="563">
        <f t="shared" si="59"/>
        <v>4.1311438466133867E-2</v>
      </c>
      <c r="AW94" s="563">
        <v>9.3492547435783391E-3</v>
      </c>
      <c r="AX94" s="563">
        <v>1.0921367787891748E-2</v>
      </c>
      <c r="AY94" s="571">
        <v>1.0649617890654002E-2</v>
      </c>
      <c r="AZ94" s="563">
        <v>1.0391198044009779E-2</v>
      </c>
      <c r="BD94" s="580">
        <v>973</v>
      </c>
      <c r="BE94" s="563">
        <v>45.59</v>
      </c>
      <c r="BF94" s="362">
        <f t="shared" si="53"/>
        <v>44359.07</v>
      </c>
      <c r="BG94" s="578">
        <f>+BF94/$BF$112</f>
        <v>4.9887887122081108E-2</v>
      </c>
    </row>
    <row r="95" spans="2:59">
      <c r="B95" s="563" t="s">
        <v>269</v>
      </c>
      <c r="C95" s="570"/>
      <c r="D95" s="569"/>
      <c r="E95" s="571" t="e">
        <v>#DIV/0!</v>
      </c>
      <c r="G95" s="571">
        <v>0</v>
      </c>
      <c r="H95" s="563" t="e">
        <f t="shared" si="45"/>
        <v>#DIV/0!</v>
      </c>
      <c r="I95" s="563" t="e">
        <v>#DIV/0!</v>
      </c>
      <c r="J95" s="563" t="e">
        <v>#DIV/0!</v>
      </c>
      <c r="K95" s="563" t="e">
        <v>#DIV/0!</v>
      </c>
      <c r="L95" s="572" t="e">
        <v>#DIV/0!</v>
      </c>
      <c r="M95" s="570"/>
      <c r="N95" s="569"/>
      <c r="O95" s="571" t="e">
        <v>#DIV/0!</v>
      </c>
      <c r="Q95" s="571">
        <v>0</v>
      </c>
      <c r="R95" s="563" t="e">
        <f t="shared" si="51"/>
        <v>#DIV/0!</v>
      </c>
      <c r="S95" s="572" t="e">
        <v>#DIV/0!</v>
      </c>
      <c r="T95" s="563" t="e">
        <v>#DIV/0!</v>
      </c>
      <c r="U95" s="563" t="e">
        <v>#DIV/0!</v>
      </c>
      <c r="V95" s="563" t="e">
        <v>#DIV/0!</v>
      </c>
      <c r="W95" s="570" t="e">
        <f t="shared" si="52"/>
        <v>#DIV/0!</v>
      </c>
      <c r="X95" s="573" t="e">
        <f t="shared" si="46"/>
        <v>#DIV/0!</v>
      </c>
      <c r="Y95" s="574" t="e">
        <v>#DIV/0!</v>
      </c>
      <c r="Z95" s="563">
        <f t="shared" si="34"/>
        <v>0</v>
      </c>
      <c r="AA95" s="571">
        <v>0</v>
      </c>
      <c r="AB95" s="563" t="e">
        <f t="shared" si="47"/>
        <v>#DIV/0!</v>
      </c>
      <c r="AC95" s="563" t="e">
        <v>#DIV/0!</v>
      </c>
      <c r="AD95" s="563" t="e">
        <v>#DIV/0!</v>
      </c>
      <c r="AE95" s="571" t="e">
        <v>#DIV/0!</v>
      </c>
      <c r="AF95" s="563" t="e">
        <v>#DIV/0!</v>
      </c>
      <c r="AG95" s="575" t="e">
        <f t="shared" si="54"/>
        <v>#DIV/0!</v>
      </c>
      <c r="AH95" s="573" t="e">
        <f t="shared" si="55"/>
        <v>#DIV/0!</v>
      </c>
      <c r="AI95" s="576" t="e">
        <v>#DIV/0!</v>
      </c>
      <c r="AJ95" s="563">
        <f t="shared" si="56"/>
        <v>0</v>
      </c>
      <c r="AK95" s="571">
        <v>0</v>
      </c>
      <c r="AL95" s="563" t="e">
        <f t="shared" si="57"/>
        <v>#DIV/0!</v>
      </c>
      <c r="AM95" s="563" t="e">
        <v>#DIV/0!</v>
      </c>
      <c r="AN95" s="563" t="e">
        <v>#DIV/0!</v>
      </c>
      <c r="AO95" s="563" t="e">
        <v>#DIV/0!</v>
      </c>
      <c r="AP95" s="571" t="e">
        <v>#DIV/0!</v>
      </c>
      <c r="AQ95" s="563" t="e">
        <f t="shared" si="48"/>
        <v>#DIV/0!</v>
      </c>
      <c r="AR95" s="563" t="e">
        <v>#DIV/0!</v>
      </c>
      <c r="AS95" s="563" t="e">
        <v>#DIV/0!</v>
      </c>
      <c r="AT95" s="563">
        <f t="shared" si="58"/>
        <v>0</v>
      </c>
      <c r="AU95" s="577">
        <v>0</v>
      </c>
      <c r="AV95" s="563" t="e">
        <f t="shared" si="59"/>
        <v>#DIV/0!</v>
      </c>
      <c r="AW95" s="563" t="e">
        <v>#DIV/0!</v>
      </c>
      <c r="AX95" s="563" t="e">
        <v>#DIV/0!</v>
      </c>
      <c r="AY95" s="571" t="e">
        <v>#DIV/0!</v>
      </c>
      <c r="AZ95" s="563" t="e">
        <v>#DIV/0!</v>
      </c>
      <c r="BD95" s="580"/>
      <c r="BF95" s="362">
        <f t="shared" si="53"/>
        <v>0</v>
      </c>
      <c r="BG95" s="578"/>
    </row>
    <row r="96" spans="2:59">
      <c r="B96" s="579" t="s">
        <v>653</v>
      </c>
      <c r="C96" s="570">
        <f>D96*P96</f>
        <v>9.282406243310648E-2</v>
      </c>
      <c r="D96" s="569">
        <f>((E96/O96)-1)*100</f>
        <v>22.743063141327035</v>
      </c>
      <c r="E96" s="571">
        <v>57.569026684852595</v>
      </c>
      <c r="F96" s="563">
        <f t="shared" si="49"/>
        <v>4.3132610807158139E-3</v>
      </c>
      <c r="G96" s="571">
        <v>4451.3600999999999</v>
      </c>
      <c r="H96" s="563">
        <f t="shared" si="45"/>
        <v>0.17081608063560288</v>
      </c>
      <c r="I96" s="563">
        <v>9.6234693733852697E-3</v>
      </c>
      <c r="J96" s="563">
        <v>1.0189936859290254E-2</v>
      </c>
      <c r="K96" s="563">
        <v>1.194225949075934E-2</v>
      </c>
      <c r="L96" s="572">
        <v>1.1607018888395639E-2</v>
      </c>
      <c r="M96" s="570">
        <f t="shared" ref="M96:M103" si="61">N96*Z96</f>
        <v>-5.0921825690611662E-2</v>
      </c>
      <c r="N96" s="569">
        <f t="shared" si="50"/>
        <v>-11.866071757456298</v>
      </c>
      <c r="O96" s="571">
        <v>46.902061274588938</v>
      </c>
      <c r="P96" s="563">
        <f>Q96/Q$112</f>
        <v>4.0814230632123328E-3</v>
      </c>
      <c r="Q96" s="571">
        <v>3581.3024</v>
      </c>
      <c r="R96" s="563">
        <f t="shared" si="51"/>
        <v>0.12745339602377237</v>
      </c>
      <c r="S96" s="572">
        <v>1.0405196569436422E-2</v>
      </c>
      <c r="T96" s="563">
        <v>9.1271238574724793E-3</v>
      </c>
      <c r="U96" s="563">
        <v>8.9549897241292635E-3</v>
      </c>
      <c r="V96" s="563">
        <v>8.234263449884904E-3</v>
      </c>
      <c r="W96" s="570">
        <f t="shared" si="52"/>
        <v>3.9803910663690385E-2</v>
      </c>
      <c r="X96" s="573">
        <f t="shared" si="46"/>
        <v>10.184111117074156</v>
      </c>
      <c r="Y96" s="574">
        <v>53.216805616010816</v>
      </c>
      <c r="Z96" s="563">
        <f t="shared" si="34"/>
        <v>4.2913802251881589E-3</v>
      </c>
      <c r="AA96" s="571">
        <v>4200.8677900000002</v>
      </c>
      <c r="AB96" s="563">
        <f t="shared" si="47"/>
        <v>9.0731822422849301E-2</v>
      </c>
      <c r="AC96" s="563">
        <v>8.1542784873192727E-3</v>
      </c>
      <c r="AD96" s="563">
        <v>8.1644120561574877E-3</v>
      </c>
      <c r="AE96" s="571">
        <v>7.7576970199591073E-3</v>
      </c>
      <c r="AF96" s="563">
        <v>7.7193265708053556E-3</v>
      </c>
      <c r="AG96" s="575">
        <f t="shared" si="54"/>
        <v>-1.5761361629687717E-2</v>
      </c>
      <c r="AH96" s="573">
        <f t="shared" si="55"/>
        <v>-3.4352040879035539</v>
      </c>
      <c r="AI96" s="576">
        <v>48.298075899043418</v>
      </c>
      <c r="AJ96" s="563">
        <f t="shared" si="56"/>
        <v>3.9084324793900961E-3</v>
      </c>
      <c r="AK96" s="571">
        <v>3925.7439199999999</v>
      </c>
      <c r="AL96" s="563">
        <f t="shared" si="57"/>
        <v>5.8936108288608083E-2</v>
      </c>
      <c r="AM96" s="563">
        <v>7.5494220509283085E-3</v>
      </c>
      <c r="AN96" s="563">
        <v>6.9131986095033911E-3</v>
      </c>
      <c r="AO96" s="563">
        <v>6.9670567177193901E-3</v>
      </c>
      <c r="AP96" s="571">
        <v>6.88133980301098E-3</v>
      </c>
      <c r="AQ96" s="563">
        <f t="shared" si="48"/>
        <v>0.10790003181241016</v>
      </c>
      <c r="AR96" s="563">
        <v>23.649531944238177</v>
      </c>
      <c r="AS96" s="563">
        <v>50.016235671444349</v>
      </c>
      <c r="AT96" s="563">
        <f t="shared" si="58"/>
        <v>4.5881878416448333E-3</v>
      </c>
      <c r="AU96" s="577">
        <v>4056.8256592600001</v>
      </c>
      <c r="AV96" s="563">
        <f t="shared" si="59"/>
        <v>3.0625091107446011E-2</v>
      </c>
      <c r="AW96" s="563">
        <v>6.9084524860602492E-3</v>
      </c>
      <c r="AX96" s="563">
        <v>7.5603210177382441E-3</v>
      </c>
      <c r="AY96" s="571">
        <v>8.064212340489622E-3</v>
      </c>
      <c r="AZ96" s="563">
        <v>8.0921052631578953E-3</v>
      </c>
      <c r="BD96" s="580">
        <v>80.000506000000001</v>
      </c>
      <c r="BE96" s="563">
        <v>50.71</v>
      </c>
      <c r="BF96" s="362">
        <f t="shared" si="53"/>
        <v>4056.8256592600001</v>
      </c>
      <c r="BG96" s="578">
        <f>+BF96/$BF$112</f>
        <v>4.562459505195334E-3</v>
      </c>
    </row>
    <row r="97" spans="2:59">
      <c r="B97" s="579" t="s">
        <v>152</v>
      </c>
      <c r="C97" s="570">
        <f>D97*P97</f>
        <v>1.4747982717799288</v>
      </c>
      <c r="D97" s="569">
        <f>((E97/O97)-1)*100</f>
        <v>42.49483970618855</v>
      </c>
      <c r="E97" s="571">
        <v>100.51277819227468</v>
      </c>
      <c r="F97" s="563">
        <f t="shared" si="49"/>
        <v>4.0770653332993706E-2</v>
      </c>
      <c r="G97" s="571">
        <v>42076.02</v>
      </c>
      <c r="H97" s="563">
        <f t="shared" si="45"/>
        <v>0.18964111956769664</v>
      </c>
      <c r="I97" s="563">
        <v>8.388584695506145E-3</v>
      </c>
      <c r="J97" s="563">
        <v>7.8916771063725025E-3</v>
      </c>
      <c r="K97" s="563">
        <v>9.4753232121062014E-3</v>
      </c>
      <c r="L97" s="572">
        <v>1.0364074216862971E-2</v>
      </c>
      <c r="M97" s="570">
        <f t="shared" si="61"/>
        <v>0.11219649033297822</v>
      </c>
      <c r="N97" s="569">
        <f t="shared" si="50"/>
        <v>3.6067581406378446</v>
      </c>
      <c r="O97" s="571">
        <v>70.537837299598309</v>
      </c>
      <c r="P97" s="563">
        <f>Q97/Q$112</f>
        <v>3.4705349684261852E-2</v>
      </c>
      <c r="Q97" s="571">
        <v>30452.7</v>
      </c>
      <c r="R97" s="563">
        <f t="shared" si="51"/>
        <v>0.15352146033684883</v>
      </c>
      <c r="S97" s="572">
        <v>1.0653065981723974E-2</v>
      </c>
      <c r="T97" s="563">
        <v>1.1333246081809693E-2</v>
      </c>
      <c r="U97" s="563">
        <v>1.0208531727062197E-2</v>
      </c>
      <c r="V97" s="563">
        <v>1.0142116334994671E-2</v>
      </c>
      <c r="W97" s="570">
        <f t="shared" si="52"/>
        <v>-0.16600730026834418</v>
      </c>
      <c r="X97" s="573">
        <f t="shared" si="46"/>
        <v>-4.9578670734466428</v>
      </c>
      <c r="Y97" s="574">
        <v>68.082274327943807</v>
      </c>
      <c r="Z97" s="563">
        <f t="shared" si="34"/>
        <v>3.1107295238026855E-2</v>
      </c>
      <c r="AA97" s="571">
        <v>30451.190000000002</v>
      </c>
      <c r="AB97" s="563">
        <f t="shared" si="47"/>
        <v>0.11118450021125828</v>
      </c>
      <c r="AC97" s="563">
        <v>9.7078082852949301E-3</v>
      </c>
      <c r="AD97" s="563">
        <v>1.0477319246785632E-2</v>
      </c>
      <c r="AE97" s="571">
        <v>9.2312701542895011E-3</v>
      </c>
      <c r="AF97" s="563">
        <v>8.2811847939245776E-3</v>
      </c>
      <c r="AG97" s="575">
        <f t="shared" si="54"/>
        <v>0.61551787928857449</v>
      </c>
      <c r="AH97" s="573">
        <f t="shared" si="55"/>
        <v>18.286702053785643</v>
      </c>
      <c r="AI97" s="576">
        <v>71.633782020187212</v>
      </c>
      <c r="AJ97" s="563">
        <f t="shared" si="56"/>
        <v>3.3483612571512153E-2</v>
      </c>
      <c r="AK97" s="571">
        <v>33631.920000000006</v>
      </c>
      <c r="AL97" s="563">
        <f t="shared" si="57"/>
        <v>7.3486917730963636E-2</v>
      </c>
      <c r="AM97" s="563">
        <v>8.14215240991659E-3</v>
      </c>
      <c r="AN97" s="563">
        <v>8.8475139279227174E-3</v>
      </c>
      <c r="AO97" s="563">
        <v>8.942964285651344E-3</v>
      </c>
      <c r="AP97" s="571">
        <v>8.7986279055469567E-3</v>
      </c>
      <c r="AQ97" s="563">
        <f t="shared" si="48"/>
        <v>0.58878665300276833</v>
      </c>
      <c r="AR97" s="563">
        <v>17.59117462421802</v>
      </c>
      <c r="AS97" s="563">
        <v>60.559454931472281</v>
      </c>
      <c r="AT97" s="563">
        <f t="shared" si="58"/>
        <v>3.3659315795608553E-2</v>
      </c>
      <c r="AU97" s="577">
        <v>29761.199999999997</v>
      </c>
      <c r="AV97" s="563">
        <f t="shared" si="59"/>
        <v>3.8755659201926029E-2</v>
      </c>
      <c r="AW97" s="563">
        <v>8.6577695698068328E-3</v>
      </c>
      <c r="AX97" s="563">
        <v>9.1109741140747019E-3</v>
      </c>
      <c r="AY97" s="571">
        <v>1.0076205208536592E-2</v>
      </c>
      <c r="AZ97" s="563">
        <v>1.0910710309507906E-2</v>
      </c>
      <c r="BD97" s="580">
        <v>504</v>
      </c>
      <c r="BE97" s="563">
        <v>59.05</v>
      </c>
      <c r="BF97" s="362">
        <f t="shared" si="53"/>
        <v>29761.199999999997</v>
      </c>
      <c r="BG97" s="578">
        <f>+BF97/$BF$112</f>
        <v>3.3470570645815621E-2</v>
      </c>
    </row>
    <row r="98" spans="2:59">
      <c r="B98" s="563" t="s">
        <v>270</v>
      </c>
      <c r="C98" s="570"/>
      <c r="D98" s="569"/>
      <c r="E98" s="571" t="e">
        <v>#DIV/0!</v>
      </c>
      <c r="F98" s="563">
        <f t="shared" si="49"/>
        <v>0</v>
      </c>
      <c r="G98" s="571">
        <v>0</v>
      </c>
      <c r="H98" s="563" t="e">
        <f t="shared" si="45"/>
        <v>#DIV/0!</v>
      </c>
      <c r="I98" s="563" t="e">
        <v>#DIV/0!</v>
      </c>
      <c r="J98" s="563" t="e">
        <v>#DIV/0!</v>
      </c>
      <c r="K98" s="563" t="e">
        <v>#DIV/0!</v>
      </c>
      <c r="L98" s="572" t="e">
        <v>#DIV/0!</v>
      </c>
      <c r="M98" s="570" t="e">
        <f t="shared" si="61"/>
        <v>#DIV/0!</v>
      </c>
      <c r="N98" s="569" t="e">
        <f t="shared" si="50"/>
        <v>#DIV/0!</v>
      </c>
      <c r="O98" s="571" t="e">
        <v>#DIV/0!</v>
      </c>
      <c r="Q98" s="571">
        <v>0</v>
      </c>
      <c r="R98" s="563" t="e">
        <f t="shared" si="51"/>
        <v>#DIV/0!</v>
      </c>
      <c r="S98" s="572" t="e">
        <v>#DIV/0!</v>
      </c>
      <c r="T98" s="563" t="e">
        <v>#DIV/0!</v>
      </c>
      <c r="U98" s="563" t="e">
        <v>#DIV/0!</v>
      </c>
      <c r="V98" s="563" t="e">
        <v>#DIV/0!</v>
      </c>
      <c r="W98" s="570" t="e">
        <f t="shared" si="52"/>
        <v>#DIV/0!</v>
      </c>
      <c r="X98" s="573" t="e">
        <f t="shared" si="46"/>
        <v>#DIV/0!</v>
      </c>
      <c r="Y98" s="574" t="e">
        <v>#DIV/0!</v>
      </c>
      <c r="Z98" s="563">
        <f t="shared" si="34"/>
        <v>0</v>
      </c>
      <c r="AA98" s="571">
        <v>0</v>
      </c>
      <c r="AB98" s="563" t="e">
        <f t="shared" si="47"/>
        <v>#DIV/0!</v>
      </c>
      <c r="AC98" s="563" t="e">
        <v>#DIV/0!</v>
      </c>
      <c r="AD98" s="563" t="e">
        <v>#DIV/0!</v>
      </c>
      <c r="AE98" s="571" t="e">
        <v>#DIV/0!</v>
      </c>
      <c r="AF98" s="563" t="e">
        <v>#DIV/0!</v>
      </c>
      <c r="AG98" s="575" t="e">
        <f t="shared" si="54"/>
        <v>#DIV/0!</v>
      </c>
      <c r="AH98" s="573" t="e">
        <f t="shared" si="55"/>
        <v>#DIV/0!</v>
      </c>
      <c r="AI98" s="576" t="e">
        <v>#DIV/0!</v>
      </c>
      <c r="AJ98" s="563">
        <f t="shared" si="56"/>
        <v>0</v>
      </c>
      <c r="AK98" s="571">
        <v>0</v>
      </c>
      <c r="AL98" s="563" t="e">
        <f t="shared" si="57"/>
        <v>#DIV/0!</v>
      </c>
      <c r="AM98" s="563" t="e">
        <v>#DIV/0!</v>
      </c>
      <c r="AN98" s="563" t="e">
        <v>#DIV/0!</v>
      </c>
      <c r="AO98" s="563" t="e">
        <v>#DIV/0!</v>
      </c>
      <c r="AP98" s="571" t="e">
        <v>#DIV/0!</v>
      </c>
      <c r="AQ98" s="563" t="e">
        <f t="shared" si="48"/>
        <v>#DIV/0!</v>
      </c>
      <c r="AR98" s="563" t="e">
        <v>#DIV/0!</v>
      </c>
      <c r="AS98" s="563" t="e">
        <v>#DIV/0!</v>
      </c>
      <c r="AT98" s="563">
        <f t="shared" si="58"/>
        <v>0</v>
      </c>
      <c r="AU98" s="577">
        <v>0</v>
      </c>
      <c r="AV98" s="563" t="e">
        <f t="shared" si="59"/>
        <v>#DIV/0!</v>
      </c>
      <c r="AW98" s="563" t="e">
        <v>#DIV/0!</v>
      </c>
      <c r="AX98" s="563" t="e">
        <v>#DIV/0!</v>
      </c>
      <c r="AY98" s="571" t="e">
        <v>#DIV/0!</v>
      </c>
      <c r="AZ98" s="563" t="e">
        <v>#DIV/0!</v>
      </c>
      <c r="BD98" s="580"/>
      <c r="BF98" s="362">
        <f t="shared" si="53"/>
        <v>0</v>
      </c>
      <c r="BG98" s="578"/>
    </row>
    <row r="99" spans="2:59">
      <c r="B99" s="563" t="s">
        <v>271</v>
      </c>
      <c r="C99" s="570"/>
      <c r="D99" s="569"/>
      <c r="E99" s="571" t="e">
        <v>#DIV/0!</v>
      </c>
      <c r="G99" s="571">
        <v>0</v>
      </c>
      <c r="H99" s="563" t="e">
        <f t="shared" si="45"/>
        <v>#DIV/0!</v>
      </c>
      <c r="I99" s="563" t="e">
        <v>#DIV/0!</v>
      </c>
      <c r="J99" s="563" t="e">
        <v>#DIV/0!</v>
      </c>
      <c r="K99" s="563" t="e">
        <v>#DIV/0!</v>
      </c>
      <c r="L99" s="572" t="e">
        <v>#DIV/0!</v>
      </c>
      <c r="M99" s="570" t="e">
        <f t="shared" si="61"/>
        <v>#DIV/0!</v>
      </c>
      <c r="N99" s="569" t="e">
        <f t="shared" si="50"/>
        <v>#DIV/0!</v>
      </c>
      <c r="O99" s="571" t="e">
        <v>#DIV/0!</v>
      </c>
      <c r="Q99" s="571">
        <v>0</v>
      </c>
      <c r="R99" s="563" t="e">
        <f t="shared" si="51"/>
        <v>#DIV/0!</v>
      </c>
      <c r="S99" s="572" t="e">
        <v>#DIV/0!</v>
      </c>
      <c r="T99" s="563" t="e">
        <v>#DIV/0!</v>
      </c>
      <c r="U99" s="563" t="e">
        <v>#DIV/0!</v>
      </c>
      <c r="V99" s="563" t="e">
        <v>#DIV/0!</v>
      </c>
      <c r="W99" s="570" t="e">
        <f t="shared" si="52"/>
        <v>#DIV/0!</v>
      </c>
      <c r="X99" s="573" t="e">
        <f t="shared" si="46"/>
        <v>#DIV/0!</v>
      </c>
      <c r="Y99" s="574" t="e">
        <v>#DIV/0!</v>
      </c>
      <c r="Z99" s="563">
        <f t="shared" si="34"/>
        <v>0</v>
      </c>
      <c r="AA99" s="571">
        <v>0</v>
      </c>
      <c r="AB99" s="563" t="e">
        <f t="shared" si="47"/>
        <v>#DIV/0!</v>
      </c>
      <c r="AC99" s="563" t="e">
        <v>#DIV/0!</v>
      </c>
      <c r="AD99" s="563" t="e">
        <v>#DIV/0!</v>
      </c>
      <c r="AE99" s="571" t="e">
        <v>#DIV/0!</v>
      </c>
      <c r="AF99" s="563" t="e">
        <v>#DIV/0!</v>
      </c>
      <c r="AG99" s="575" t="e">
        <f t="shared" si="54"/>
        <v>#DIV/0!</v>
      </c>
      <c r="AH99" s="573" t="e">
        <f t="shared" si="55"/>
        <v>#DIV/0!</v>
      </c>
      <c r="AI99" s="576" t="e">
        <v>#DIV/0!</v>
      </c>
      <c r="AJ99" s="563">
        <f t="shared" si="56"/>
        <v>0</v>
      </c>
      <c r="AK99" s="571">
        <v>0</v>
      </c>
      <c r="AL99" s="563" t="e">
        <f t="shared" si="57"/>
        <v>#DIV/0!</v>
      </c>
      <c r="AM99" s="563" t="e">
        <v>#DIV/0!</v>
      </c>
      <c r="AN99" s="563" t="e">
        <v>#DIV/0!</v>
      </c>
      <c r="AO99" s="563" t="e">
        <v>#DIV/0!</v>
      </c>
      <c r="AP99" s="571" t="e">
        <v>#DIV/0!</v>
      </c>
      <c r="AQ99" s="563" t="e">
        <f t="shared" si="48"/>
        <v>#DIV/0!</v>
      </c>
      <c r="AR99" s="563" t="e">
        <v>#DIV/0!</v>
      </c>
      <c r="AS99" s="563" t="e">
        <v>#DIV/0!</v>
      </c>
      <c r="AT99" s="563">
        <f t="shared" si="58"/>
        <v>0</v>
      </c>
      <c r="AU99" s="577">
        <v>0</v>
      </c>
      <c r="AV99" s="563" t="e">
        <f t="shared" si="59"/>
        <v>#DIV/0!</v>
      </c>
      <c r="AW99" s="563" t="e">
        <v>#DIV/0!</v>
      </c>
      <c r="AX99" s="563" t="e">
        <v>#DIV/0!</v>
      </c>
      <c r="AY99" s="571" t="e">
        <v>#DIV/0!</v>
      </c>
      <c r="AZ99" s="563" t="e">
        <v>#DIV/0!</v>
      </c>
      <c r="BD99" s="580"/>
      <c r="BF99" s="362">
        <f t="shared" si="53"/>
        <v>0</v>
      </c>
      <c r="BG99" s="578"/>
    </row>
    <row r="100" spans="2:59">
      <c r="B100" s="579" t="s">
        <v>654</v>
      </c>
      <c r="C100" s="570">
        <f>D100*P100</f>
        <v>1.1319410709061855</v>
      </c>
      <c r="D100" s="569">
        <f>((E100/O100)-1)*100</f>
        <v>21.095646999662911</v>
      </c>
      <c r="E100" s="571">
        <v>103.10938522318693</v>
      </c>
      <c r="F100" s="563">
        <f t="shared" si="49"/>
        <v>5.3868016431937712E-2</v>
      </c>
      <c r="G100" s="571">
        <v>55592.725439999995</v>
      </c>
      <c r="H100" s="563">
        <f t="shared" si="45"/>
        <v>0.17543758804362683</v>
      </c>
      <c r="I100" s="563">
        <v>8.2496185712819629E-3</v>
      </c>
      <c r="J100" s="563">
        <v>8.5893951462653276E-3</v>
      </c>
      <c r="K100" s="563">
        <v>9.3679070954899493E-3</v>
      </c>
      <c r="L100" s="572">
        <v>9.8346861791989738E-3</v>
      </c>
      <c r="M100" s="570">
        <f t="shared" si="61"/>
        <v>-2.4862651879645976</v>
      </c>
      <c r="N100" s="569">
        <f t="shared" si="50"/>
        <v>-50.04016083614502</v>
      </c>
      <c r="O100" s="571">
        <v>85.147061663970433</v>
      </c>
      <c r="P100" s="563">
        <f>Q100/Q$112</f>
        <v>5.3657565986209042E-2</v>
      </c>
      <c r="Q100" s="571">
        <v>47082.590279999997</v>
      </c>
      <c r="R100" s="563">
        <f t="shared" si="51"/>
        <v>0.13939598105139062</v>
      </c>
      <c r="S100" s="572">
        <v>9.0002072183946544E-3</v>
      </c>
      <c r="T100" s="563">
        <v>9.8008813906103089E-3</v>
      </c>
      <c r="U100" s="563">
        <v>9.0850791797686247E-3</v>
      </c>
      <c r="V100" s="563">
        <v>8.6819604711684557E-3</v>
      </c>
      <c r="W100" s="570">
        <f t="shared" si="52"/>
        <v>0.85362299126991126</v>
      </c>
      <c r="X100" s="573">
        <f t="shared" si="46"/>
        <v>20.309750424536865</v>
      </c>
      <c r="Y100" s="574">
        <v>170.43101637039047</v>
      </c>
      <c r="Z100" s="563">
        <f t="shared" si="34"/>
        <v>4.9685395618647134E-2</v>
      </c>
      <c r="AA100" s="571">
        <v>48637.446959999994</v>
      </c>
      <c r="AB100" s="563">
        <f t="shared" si="47"/>
        <v>0.10282785279144857</v>
      </c>
      <c r="AC100" s="563">
        <v>8.1108513437146094E-3</v>
      </c>
      <c r="AD100" s="563">
        <v>8.2963296598448262E-3</v>
      </c>
      <c r="AE100" s="571">
        <v>8.2155114697826034E-3</v>
      </c>
      <c r="AF100" s="563">
        <v>7.2935628072208197E-3</v>
      </c>
      <c r="AG100" s="575">
        <f t="shared" si="54"/>
        <v>0.34954569545269892</v>
      </c>
      <c r="AH100" s="573">
        <f t="shared" si="55"/>
        <v>7.3561400321842774</v>
      </c>
      <c r="AI100" s="576">
        <v>141.66018611873997</v>
      </c>
      <c r="AJ100" s="563">
        <f t="shared" si="56"/>
        <v>4.2030205858099655E-2</v>
      </c>
      <c r="AK100" s="571">
        <v>42216.368320000001</v>
      </c>
      <c r="AL100" s="563">
        <f t="shared" si="57"/>
        <v>7.0911597510885716E-2</v>
      </c>
      <c r="AM100" s="563">
        <v>8.8319295041383583E-3</v>
      </c>
      <c r="AN100" s="563">
        <v>9.1558592069547178E-3</v>
      </c>
      <c r="AO100" s="563">
        <v>8.6705808480294355E-3</v>
      </c>
      <c r="AP100" s="571">
        <v>8.5927479858388649E-3</v>
      </c>
      <c r="AQ100" s="563">
        <f t="shared" si="48"/>
        <v>1.1063039359962932</v>
      </c>
      <c r="AR100" s="563">
        <v>23.413301302336698</v>
      </c>
      <c r="AS100" s="563">
        <v>131.95350175245841</v>
      </c>
      <c r="AT100" s="563">
        <f t="shared" si="58"/>
        <v>4.7517542341959394E-2</v>
      </c>
      <c r="AU100" s="577">
        <v>42014.4928</v>
      </c>
      <c r="AV100" s="563">
        <f t="shared" si="59"/>
        <v>3.5660479965924335E-2</v>
      </c>
      <c r="AW100" s="563">
        <v>8.4252477643096072E-3</v>
      </c>
      <c r="AX100" s="563">
        <v>8.9900826401799524E-3</v>
      </c>
      <c r="AY100" s="571">
        <v>8.9965434901010284E-3</v>
      </c>
      <c r="AZ100" s="563">
        <v>9.2486060713337457E-3</v>
      </c>
      <c r="BD100" s="580">
        <v>277.36</v>
      </c>
      <c r="BE100" s="563">
        <v>151.47999999999999</v>
      </c>
      <c r="BF100" s="362">
        <f t="shared" si="53"/>
        <v>42014.4928</v>
      </c>
      <c r="BG100" s="578">
        <f>+BF100/$BF$112</f>
        <v>4.7251086965932547E-2</v>
      </c>
    </row>
    <row r="101" spans="2:59">
      <c r="B101" s="563" t="s">
        <v>154</v>
      </c>
      <c r="C101" s="570"/>
      <c r="D101" s="569"/>
      <c r="E101" s="571" t="e">
        <v>#DIV/0!</v>
      </c>
      <c r="F101" s="563">
        <f t="shared" si="49"/>
        <v>0</v>
      </c>
      <c r="G101" s="571">
        <v>0</v>
      </c>
      <c r="H101" s="563" t="e">
        <f t="shared" si="45"/>
        <v>#DIV/0!</v>
      </c>
      <c r="I101" s="563" t="e">
        <v>#DIV/0!</v>
      </c>
      <c r="J101" s="563" t="e">
        <v>#DIV/0!</v>
      </c>
      <c r="K101" s="563" t="e">
        <v>#DIV/0!</v>
      </c>
      <c r="L101" s="572" t="e">
        <v>#DIV/0!</v>
      </c>
      <c r="M101" s="570" t="e">
        <f t="shared" si="61"/>
        <v>#DIV/0!</v>
      </c>
      <c r="N101" s="569" t="e">
        <f t="shared" si="50"/>
        <v>#DIV/0!</v>
      </c>
      <c r="O101" s="571" t="e">
        <v>#DIV/0!</v>
      </c>
      <c r="Q101" s="571">
        <v>0</v>
      </c>
      <c r="R101" s="563" t="e">
        <f t="shared" si="51"/>
        <v>#DIV/0!</v>
      </c>
      <c r="S101" s="572" t="e">
        <v>#DIV/0!</v>
      </c>
      <c r="T101" s="563" t="e">
        <v>#DIV/0!</v>
      </c>
      <c r="U101" s="563" t="e">
        <v>#DIV/0!</v>
      </c>
      <c r="V101" s="563" t="e">
        <v>#DIV/0!</v>
      </c>
      <c r="W101" s="570" t="e">
        <f t="shared" si="52"/>
        <v>#DIV/0!</v>
      </c>
      <c r="X101" s="573" t="e">
        <f t="shared" si="46"/>
        <v>#DIV/0!</v>
      </c>
      <c r="Y101" s="574" t="e">
        <v>#DIV/0!</v>
      </c>
      <c r="Z101" s="563">
        <f t="shared" si="34"/>
        <v>0</v>
      </c>
      <c r="AA101" s="571">
        <v>0</v>
      </c>
      <c r="AB101" s="563" t="e">
        <f t="shared" si="47"/>
        <v>#DIV/0!</v>
      </c>
      <c r="AC101" s="563" t="e">
        <v>#DIV/0!</v>
      </c>
      <c r="AD101" s="563" t="e">
        <v>#DIV/0!</v>
      </c>
      <c r="AE101" s="571" t="e">
        <v>#DIV/0!</v>
      </c>
      <c r="AF101" s="563" t="e">
        <v>#DIV/0!</v>
      </c>
      <c r="AG101" s="575" t="e">
        <f t="shared" si="54"/>
        <v>#DIV/0!</v>
      </c>
      <c r="AH101" s="573" t="e">
        <f t="shared" si="55"/>
        <v>#DIV/0!</v>
      </c>
      <c r="AI101" s="576" t="e">
        <v>#DIV/0!</v>
      </c>
      <c r="AJ101" s="563">
        <f t="shared" si="56"/>
        <v>0</v>
      </c>
      <c r="AK101" s="571">
        <v>0</v>
      </c>
      <c r="AL101" s="563" t="e">
        <f t="shared" si="57"/>
        <v>#DIV/0!</v>
      </c>
      <c r="AM101" s="563" t="e">
        <v>#DIV/0!</v>
      </c>
      <c r="AN101" s="563" t="e">
        <v>#DIV/0!</v>
      </c>
      <c r="AO101" s="563" t="e">
        <v>#DIV/0!</v>
      </c>
      <c r="AP101" s="571" t="e">
        <v>#DIV/0!</v>
      </c>
      <c r="AQ101" s="563" t="e">
        <f t="shared" si="48"/>
        <v>#DIV/0!</v>
      </c>
      <c r="AR101" s="563" t="e">
        <v>#DIV/0!</v>
      </c>
      <c r="AS101" s="563" t="e">
        <v>#DIV/0!</v>
      </c>
      <c r="AT101" s="563">
        <f t="shared" si="58"/>
        <v>0</v>
      </c>
      <c r="AU101" s="577">
        <v>0</v>
      </c>
      <c r="AV101" s="563" t="e">
        <f t="shared" si="59"/>
        <v>#DIV/0!</v>
      </c>
      <c r="AW101" s="563" t="e">
        <v>#DIV/0!</v>
      </c>
      <c r="AX101" s="563" t="e">
        <v>#DIV/0!</v>
      </c>
      <c r="AY101" s="571" t="e">
        <v>#DIV/0!</v>
      </c>
      <c r="AZ101" s="563" t="e">
        <v>#DIV/0!</v>
      </c>
      <c r="BD101" s="580"/>
      <c r="BF101" s="362">
        <f t="shared" si="53"/>
        <v>0</v>
      </c>
      <c r="BG101" s="578">
        <f>+BF101/$BF$112</f>
        <v>0</v>
      </c>
    </row>
    <row r="102" spans="2:59">
      <c r="B102" s="563" t="s">
        <v>272</v>
      </c>
      <c r="C102" s="570"/>
      <c r="D102" s="569"/>
      <c r="E102" s="571" t="e">
        <v>#DIV/0!</v>
      </c>
      <c r="G102" s="571">
        <v>0</v>
      </c>
      <c r="H102" s="563" t="e">
        <f t="shared" si="45"/>
        <v>#DIV/0!</v>
      </c>
      <c r="I102" s="563" t="e">
        <v>#DIV/0!</v>
      </c>
      <c r="J102" s="563" t="e">
        <v>#DIV/0!</v>
      </c>
      <c r="K102" s="563" t="e">
        <v>#DIV/0!</v>
      </c>
      <c r="L102" s="572" t="e">
        <v>#DIV/0!</v>
      </c>
      <c r="M102" s="570"/>
      <c r="N102" s="569"/>
      <c r="O102" s="571">
        <v>0</v>
      </c>
      <c r="Q102" s="571">
        <v>0</v>
      </c>
      <c r="S102" s="572" t="e">
        <v>#DIV/0!</v>
      </c>
      <c r="T102" s="563" t="e">
        <v>#DIV/0!</v>
      </c>
      <c r="U102" s="563" t="e">
        <v>#DIV/0!</v>
      </c>
      <c r="V102" s="563" t="e">
        <v>#DIV/0!</v>
      </c>
      <c r="W102" s="570"/>
      <c r="X102" s="573" t="e">
        <f t="shared" si="46"/>
        <v>#DIV/0!</v>
      </c>
      <c r="Y102" s="574" t="e">
        <v>#DIV/0!</v>
      </c>
      <c r="Z102" s="563">
        <f t="shared" si="34"/>
        <v>0</v>
      </c>
      <c r="AA102" s="571">
        <v>0</v>
      </c>
      <c r="AB102" s="563" t="e">
        <f t="shared" si="47"/>
        <v>#DIV/0!</v>
      </c>
      <c r="AC102" s="563" t="e">
        <v>#DIV/0!</v>
      </c>
      <c r="AD102" s="563" t="e">
        <v>#DIV/0!</v>
      </c>
      <c r="AE102" s="571" t="e">
        <v>#DIV/0!</v>
      </c>
      <c r="AF102" s="563" t="e">
        <v>#DIV/0!</v>
      </c>
      <c r="AG102" s="575" t="e">
        <f t="shared" si="54"/>
        <v>#DIV/0!</v>
      </c>
      <c r="AH102" s="573" t="e">
        <f t="shared" si="55"/>
        <v>#DIV/0!</v>
      </c>
      <c r="AI102" s="576" t="e">
        <v>#DIV/0!</v>
      </c>
      <c r="AJ102" s="563">
        <f t="shared" si="56"/>
        <v>0</v>
      </c>
      <c r="AK102" s="571">
        <v>0</v>
      </c>
      <c r="AL102" s="563" t="e">
        <f t="shared" si="57"/>
        <v>#DIV/0!</v>
      </c>
      <c r="AM102" s="563" t="e">
        <v>#DIV/0!</v>
      </c>
      <c r="AN102" s="563" t="e">
        <v>#DIV/0!</v>
      </c>
      <c r="AO102" s="563" t="e">
        <v>#DIV/0!</v>
      </c>
      <c r="AP102" s="571" t="e">
        <v>#DIV/0!</v>
      </c>
      <c r="AQ102" s="563" t="e">
        <f t="shared" si="48"/>
        <v>#DIV/0!</v>
      </c>
      <c r="AR102" s="563" t="e">
        <v>#DIV/0!</v>
      </c>
      <c r="AS102" s="563" t="e">
        <v>#DIV/0!</v>
      </c>
      <c r="AT102" s="563">
        <f t="shared" si="58"/>
        <v>0</v>
      </c>
      <c r="AU102" s="577">
        <v>0</v>
      </c>
      <c r="AV102" s="563" t="e">
        <f t="shared" si="59"/>
        <v>#DIV/0!</v>
      </c>
      <c r="AW102" s="563" t="e">
        <v>#DIV/0!</v>
      </c>
      <c r="AX102" s="563" t="e">
        <v>#DIV/0!</v>
      </c>
      <c r="AY102" s="571" t="e">
        <v>#DIV/0!</v>
      </c>
      <c r="AZ102" s="563" t="e">
        <v>#DIV/0!</v>
      </c>
      <c r="BD102" s="580"/>
      <c r="BF102" s="362">
        <f t="shared" si="53"/>
        <v>0</v>
      </c>
      <c r="BG102" s="578"/>
    </row>
    <row r="103" spans="2:59">
      <c r="B103" s="563" t="s">
        <v>155</v>
      </c>
      <c r="C103" s="570"/>
      <c r="D103" s="569"/>
      <c r="E103" s="571" t="e">
        <v>#DIV/0!</v>
      </c>
      <c r="F103" s="563">
        <f t="shared" si="49"/>
        <v>0</v>
      </c>
      <c r="G103" s="571">
        <v>0</v>
      </c>
      <c r="H103" s="563" t="e">
        <f t="shared" si="45"/>
        <v>#DIV/0!</v>
      </c>
      <c r="I103" s="563" t="e">
        <v>#DIV/0!</v>
      </c>
      <c r="J103" s="563" t="e">
        <v>#DIV/0!</v>
      </c>
      <c r="K103" s="563" t="e">
        <v>#DIV/0!</v>
      </c>
      <c r="L103" s="572" t="e">
        <v>#DIV/0!</v>
      </c>
      <c r="M103" s="570" t="e">
        <f t="shared" si="61"/>
        <v>#DIV/0!</v>
      </c>
      <c r="N103" s="569" t="e">
        <f t="shared" si="50"/>
        <v>#DIV/0!</v>
      </c>
      <c r="O103" s="571" t="e">
        <v>#DIV/0!</v>
      </c>
      <c r="Q103" s="571">
        <v>0</v>
      </c>
      <c r="R103" s="563" t="e">
        <f t="shared" si="51"/>
        <v>#DIV/0!</v>
      </c>
      <c r="S103" s="572" t="e">
        <v>#DIV/0!</v>
      </c>
      <c r="T103" s="563" t="e">
        <v>#DIV/0!</v>
      </c>
      <c r="U103" s="563" t="e">
        <v>#DIV/0!</v>
      </c>
      <c r="V103" s="563" t="e">
        <v>#DIV/0!</v>
      </c>
      <c r="W103" s="570" t="e">
        <f t="shared" si="52"/>
        <v>#DIV/0!</v>
      </c>
      <c r="X103" s="573" t="e">
        <f t="shared" si="46"/>
        <v>#DIV/0!</v>
      </c>
      <c r="Y103" s="574" t="e">
        <v>#DIV/0!</v>
      </c>
      <c r="Z103" s="563">
        <f t="shared" si="34"/>
        <v>0</v>
      </c>
      <c r="AA103" s="571">
        <v>0</v>
      </c>
      <c r="AB103" s="563" t="e">
        <f t="shared" si="47"/>
        <v>#DIV/0!</v>
      </c>
      <c r="AC103" s="563" t="e">
        <v>#DIV/0!</v>
      </c>
      <c r="AD103" s="563" t="e">
        <v>#DIV/0!</v>
      </c>
      <c r="AE103" s="571" t="e">
        <v>#DIV/0!</v>
      </c>
      <c r="AF103" s="563" t="e">
        <v>#DIV/0!</v>
      </c>
      <c r="AG103" s="575" t="e">
        <f t="shared" si="54"/>
        <v>#DIV/0!</v>
      </c>
      <c r="AH103" s="573" t="e">
        <f t="shared" si="55"/>
        <v>#DIV/0!</v>
      </c>
      <c r="AI103" s="576" t="e">
        <v>#DIV/0!</v>
      </c>
      <c r="AJ103" s="563">
        <f t="shared" si="56"/>
        <v>0</v>
      </c>
      <c r="AK103" s="571">
        <v>0</v>
      </c>
      <c r="AL103" s="563" t="e">
        <f t="shared" si="57"/>
        <v>#DIV/0!</v>
      </c>
      <c r="AM103" s="563" t="e">
        <v>#DIV/0!</v>
      </c>
      <c r="AN103" s="563" t="e">
        <v>#DIV/0!</v>
      </c>
      <c r="AO103" s="563" t="e">
        <v>#DIV/0!</v>
      </c>
      <c r="AP103" s="571" t="e">
        <v>#DIV/0!</v>
      </c>
      <c r="AQ103" s="563" t="e">
        <f t="shared" si="48"/>
        <v>#DIV/0!</v>
      </c>
      <c r="AR103" s="563" t="e">
        <v>#DIV/0!</v>
      </c>
      <c r="AS103" s="563" t="e">
        <v>#DIV/0!</v>
      </c>
      <c r="AT103" s="563">
        <f t="shared" si="58"/>
        <v>0</v>
      </c>
      <c r="AU103" s="577">
        <v>0</v>
      </c>
      <c r="AV103" s="563" t="e">
        <f t="shared" si="59"/>
        <v>#DIV/0!</v>
      </c>
      <c r="AW103" s="563" t="e">
        <v>#DIV/0!</v>
      </c>
      <c r="AX103" s="563" t="e">
        <v>#DIV/0!</v>
      </c>
      <c r="AY103" s="571" t="e">
        <v>#DIV/0!</v>
      </c>
      <c r="AZ103" s="563" t="e">
        <v>#DIV/0!</v>
      </c>
      <c r="BD103" s="580"/>
      <c r="BF103" s="362">
        <f t="shared" si="53"/>
        <v>0</v>
      </c>
      <c r="BG103" s="578">
        <f t="shared" ref="BG103:BG110" si="62">+BF103/$BF$112</f>
        <v>0</v>
      </c>
    </row>
    <row r="104" spans="2:59">
      <c r="B104" s="563" t="s">
        <v>273</v>
      </c>
      <c r="C104" s="570"/>
      <c r="D104" s="569"/>
      <c r="E104" s="571" t="e">
        <v>#DIV/0!</v>
      </c>
      <c r="G104" s="571">
        <v>0</v>
      </c>
      <c r="H104" s="563" t="e">
        <f t="shared" si="45"/>
        <v>#DIV/0!</v>
      </c>
      <c r="I104" s="563" t="e">
        <v>#DIV/0!</v>
      </c>
      <c r="J104" s="563" t="e">
        <v>#DIV/0!</v>
      </c>
      <c r="K104" s="563" t="e">
        <v>#DIV/0!</v>
      </c>
      <c r="L104" s="572" t="e">
        <v>#DIV/0!</v>
      </c>
      <c r="M104" s="570" t="e">
        <f>N104*Z104</f>
        <v>#DIV/0!</v>
      </c>
      <c r="N104" s="569" t="e">
        <f t="shared" si="50"/>
        <v>#DIV/0!</v>
      </c>
      <c r="O104" s="571" t="e">
        <v>#DIV/0!</v>
      </c>
      <c r="Q104" s="571">
        <v>0</v>
      </c>
      <c r="R104" s="563" t="e">
        <f t="shared" si="51"/>
        <v>#DIV/0!</v>
      </c>
      <c r="S104" s="572" t="e">
        <v>#DIV/0!</v>
      </c>
      <c r="T104" s="563" t="e">
        <v>#DIV/0!</v>
      </c>
      <c r="U104" s="563" t="e">
        <v>#DIV/0!</v>
      </c>
      <c r="V104" s="563" t="e">
        <v>#DIV/0!</v>
      </c>
      <c r="W104" s="570" t="e">
        <f t="shared" si="52"/>
        <v>#DIV/0!</v>
      </c>
      <c r="X104" s="573" t="e">
        <f t="shared" si="46"/>
        <v>#DIV/0!</v>
      </c>
      <c r="Y104" s="574" t="e">
        <v>#DIV/0!</v>
      </c>
      <c r="Z104" s="563">
        <f t="shared" si="34"/>
        <v>0</v>
      </c>
      <c r="AA104" s="571">
        <v>0</v>
      </c>
      <c r="AB104" s="563" t="e">
        <f t="shared" si="47"/>
        <v>#DIV/0!</v>
      </c>
      <c r="AC104" s="563" t="e">
        <v>#DIV/0!</v>
      </c>
      <c r="AD104" s="563" t="e">
        <v>#DIV/0!</v>
      </c>
      <c r="AE104" s="571" t="e">
        <v>#DIV/0!</v>
      </c>
      <c r="AF104" s="563" t="e">
        <v>#DIV/0!</v>
      </c>
      <c r="AG104" s="575" t="e">
        <f t="shared" si="54"/>
        <v>#DIV/0!</v>
      </c>
      <c r="AH104" s="573" t="e">
        <f t="shared" si="55"/>
        <v>#DIV/0!</v>
      </c>
      <c r="AI104" s="576" t="e">
        <v>#DIV/0!</v>
      </c>
      <c r="AJ104" s="563">
        <f t="shared" si="56"/>
        <v>0</v>
      </c>
      <c r="AK104" s="571">
        <v>0</v>
      </c>
      <c r="AL104" s="563" t="e">
        <f t="shared" si="57"/>
        <v>#DIV/0!</v>
      </c>
      <c r="AM104" s="563" t="e">
        <v>#DIV/0!</v>
      </c>
      <c r="AN104" s="563" t="e">
        <v>#DIV/0!</v>
      </c>
      <c r="AO104" s="563" t="e">
        <v>#DIV/0!</v>
      </c>
      <c r="AP104" s="571" t="e">
        <v>#DIV/0!</v>
      </c>
      <c r="AQ104" s="563" t="e">
        <f t="shared" si="48"/>
        <v>#DIV/0!</v>
      </c>
      <c r="AR104" s="563" t="e">
        <v>#DIV/0!</v>
      </c>
      <c r="AS104" s="563" t="e">
        <v>#DIV/0!</v>
      </c>
      <c r="AT104" s="563">
        <f t="shared" si="58"/>
        <v>0</v>
      </c>
      <c r="AU104" s="577">
        <v>0</v>
      </c>
      <c r="AV104" s="563" t="e">
        <f t="shared" si="59"/>
        <v>#DIV/0!</v>
      </c>
      <c r="AW104" s="563" t="e">
        <v>#DIV/0!</v>
      </c>
      <c r="AX104" s="563" t="e">
        <v>#DIV/0!</v>
      </c>
      <c r="AY104" s="571" t="e">
        <v>#DIV/0!</v>
      </c>
      <c r="AZ104" s="563" t="e">
        <v>#DIV/0!</v>
      </c>
      <c r="BD104" s="580"/>
      <c r="BF104" s="362">
        <f t="shared" si="53"/>
        <v>0</v>
      </c>
      <c r="BG104" s="578">
        <f t="shared" si="62"/>
        <v>0</v>
      </c>
    </row>
    <row r="105" spans="2:59">
      <c r="B105" s="579" t="s">
        <v>156</v>
      </c>
      <c r="C105" s="570">
        <f>D105*P105</f>
        <v>0.28704922009607753</v>
      </c>
      <c r="D105" s="569">
        <f>((E105/O105)-1)*100</f>
        <v>19.368251772407376</v>
      </c>
      <c r="E105" s="571">
        <v>69.295893960122655</v>
      </c>
      <c r="F105" s="563">
        <f t="shared" si="49"/>
        <v>1.4704524667966682E-2</v>
      </c>
      <c r="G105" s="571">
        <v>15175.324000000002</v>
      </c>
      <c r="H105" s="563">
        <f t="shared" si="45"/>
        <v>0.17172630977549289</v>
      </c>
      <c r="I105" s="563">
        <v>9.4335563349922259E-3</v>
      </c>
      <c r="J105" s="563">
        <v>9.1204924252319824E-3</v>
      </c>
      <c r="K105" s="563">
        <v>1.0773115712092819E-2</v>
      </c>
      <c r="L105" s="572">
        <v>1.0777350427388453E-2</v>
      </c>
      <c r="M105" s="570">
        <f>N105*Z105</f>
        <v>-5.3263898093163307E-2</v>
      </c>
      <c r="N105" s="569">
        <f t="shared" si="50"/>
        <v>-3.7625605378884264</v>
      </c>
      <c r="O105" s="571">
        <v>58.05219807712789</v>
      </c>
      <c r="P105" s="563">
        <f>Q105/Q$112</f>
        <v>1.4820605569833461E-2</v>
      </c>
      <c r="Q105" s="571">
        <v>13004.55</v>
      </c>
      <c r="R105" s="563">
        <f t="shared" si="51"/>
        <v>0.1316217948757874</v>
      </c>
      <c r="S105" s="572">
        <v>9.8943792508824468E-3</v>
      </c>
      <c r="T105" s="563">
        <v>1.0379462309089914E-2</v>
      </c>
      <c r="U105" s="563">
        <v>9.5004949487631669E-3</v>
      </c>
      <c r="V105" s="563">
        <v>9.2583626556072794E-3</v>
      </c>
      <c r="W105" s="570">
        <f t="shared" si="52"/>
        <v>-0.11433113649415952</v>
      </c>
      <c r="X105" s="573">
        <f t="shared" si="46"/>
        <v>-7.463796861693039</v>
      </c>
      <c r="Y105" s="574">
        <v>60.321843974228855</v>
      </c>
      <c r="Z105" s="563">
        <f t="shared" si="34"/>
        <v>1.4156289993690136E-2</v>
      </c>
      <c r="AA105" s="571">
        <v>13857.710000000001</v>
      </c>
      <c r="AB105" s="563">
        <f t="shared" si="47"/>
        <v>9.258909571144458E-2</v>
      </c>
      <c r="AC105" s="563">
        <v>8.3950903332580106E-3</v>
      </c>
      <c r="AD105" s="563">
        <v>8.6767995001483557E-3</v>
      </c>
      <c r="AE105" s="571">
        <v>7.7879924711049976E-3</v>
      </c>
      <c r="AF105" s="563">
        <v>7.2559589672370386E-3</v>
      </c>
      <c r="AG105" s="575">
        <f t="shared" si="54"/>
        <v>0.33607974535951396</v>
      </c>
      <c r="AH105" s="573">
        <f t="shared" si="55"/>
        <v>22.712337305682983</v>
      </c>
      <c r="AI105" s="576">
        <v>65.187290950408126</v>
      </c>
      <c r="AJ105" s="563">
        <f t="shared" si="56"/>
        <v>1.5318093272466875E-2</v>
      </c>
      <c r="AK105" s="571">
        <v>15385.941000000001</v>
      </c>
      <c r="AL105" s="563">
        <f t="shared" si="57"/>
        <v>6.0473254439696172E-2</v>
      </c>
      <c r="AM105" s="563">
        <v>6.8987108151760124E-3</v>
      </c>
      <c r="AN105" s="563">
        <v>7.5211945871302161E-3</v>
      </c>
      <c r="AO105" s="563">
        <v>7.4967544711782678E-3</v>
      </c>
      <c r="AP105" s="571">
        <v>7.6612880515537279E-3</v>
      </c>
      <c r="AQ105" s="563">
        <f t="shared" si="48"/>
        <v>0.36300584102730743</v>
      </c>
      <c r="AR105" s="563">
        <v>24.670347675898441</v>
      </c>
      <c r="AS105" s="563">
        <v>53.122035144700327</v>
      </c>
      <c r="AT105" s="563">
        <f t="shared" si="58"/>
        <v>1.4797232923950172E-2</v>
      </c>
      <c r="AU105" s="577">
        <v>13083.552</v>
      </c>
      <c r="AV105" s="563">
        <f t="shared" si="59"/>
        <v>3.0895306514657949E-2</v>
      </c>
      <c r="AW105" s="563">
        <v>7.5465269981808926E-3</v>
      </c>
      <c r="AX105" s="563">
        <v>7.474006077575656E-3</v>
      </c>
      <c r="AY105" s="571">
        <v>8.005649396656626E-3</v>
      </c>
      <c r="AZ105" s="563">
        <v>7.8691240422447718E-3</v>
      </c>
      <c r="BD105" s="580">
        <v>239.1</v>
      </c>
      <c r="BE105" s="563">
        <v>54.72</v>
      </c>
      <c r="BF105" s="362">
        <f t="shared" si="53"/>
        <v>13083.552</v>
      </c>
      <c r="BG105" s="578">
        <f t="shared" si="62"/>
        <v>1.4714257204487798E-2</v>
      </c>
    </row>
    <row r="106" spans="2:59">
      <c r="B106" s="579" t="s">
        <v>157</v>
      </c>
      <c r="C106" s="570">
        <f>D106*P106</f>
        <v>2.4938576099628535E-2</v>
      </c>
      <c r="D106" s="569">
        <f>((E106/O106)-1)*100</f>
        <v>7.9791870647401675</v>
      </c>
      <c r="E106" s="571">
        <v>45.855461315805151</v>
      </c>
      <c r="F106" s="563">
        <f t="shared" si="49"/>
        <v>2.7981727153432489E-3</v>
      </c>
      <c r="G106" s="571">
        <v>2887.7626800000003</v>
      </c>
      <c r="H106" s="563">
        <f t="shared" si="45"/>
        <v>0.25185534577682622</v>
      </c>
      <c r="I106" s="563">
        <v>1.6025637764290321E-2</v>
      </c>
      <c r="J106" s="563">
        <v>1.4965433047952951E-2</v>
      </c>
      <c r="K106" s="563">
        <v>1.6528731098993214E-2</v>
      </c>
      <c r="L106" s="572">
        <v>1.6116618772676575E-2</v>
      </c>
      <c r="M106" s="570">
        <f>(N106*Z106)</f>
        <v>-5.0816263470028822E-2</v>
      </c>
      <c r="N106" s="569">
        <f t="shared" si="50"/>
        <v>-15.320253580400534</v>
      </c>
      <c r="O106" s="571">
        <v>42.466944382820721</v>
      </c>
      <c r="P106" s="563">
        <f>Q106/Q$112</f>
        <v>3.1254532444578839E-3</v>
      </c>
      <c r="Q106" s="571">
        <v>2742.47316</v>
      </c>
      <c r="R106" s="563">
        <f t="shared" si="51"/>
        <v>0.18821892509291316</v>
      </c>
      <c r="S106" s="572">
        <v>1.5098914517755252E-2</v>
      </c>
      <c r="T106" s="563">
        <v>1.6437258753109127E-2</v>
      </c>
      <c r="U106" s="563">
        <v>1.3392249328923795E-2</v>
      </c>
      <c r="V106" s="563">
        <v>1.2256202077530587E-2</v>
      </c>
      <c r="W106" s="570">
        <f t="shared" si="52"/>
        <v>2.5987460009355191E-2</v>
      </c>
      <c r="X106" s="573">
        <f t="shared" si="46"/>
        <v>8.769271536345947</v>
      </c>
      <c r="Y106" s="574">
        <v>50.150060880427453</v>
      </c>
      <c r="Z106" s="563">
        <f t="shared" si="34"/>
        <v>3.3169335744572107E-3</v>
      </c>
      <c r="AA106" s="571">
        <v>3246.9738600000001</v>
      </c>
      <c r="AB106" s="563">
        <f t="shared" si="47"/>
        <v>0.13103430041559438</v>
      </c>
      <c r="AC106" s="563">
        <v>1.1113333903145634E-2</v>
      </c>
      <c r="AD106" s="563">
        <v>1.3143911050026075E-2</v>
      </c>
      <c r="AE106" s="571">
        <v>1.1080361874936656E-2</v>
      </c>
      <c r="AF106" s="563">
        <v>1.0574830997554154E-2</v>
      </c>
      <c r="AG106" s="575">
        <f t="shared" si="54"/>
        <v>3.6391348150815794E-2</v>
      </c>
      <c r="AH106" s="573">
        <f t="shared" si="55"/>
        <v>10.097278152636147</v>
      </c>
      <c r="AI106" s="576">
        <v>46.106827941446213</v>
      </c>
      <c r="AJ106" s="563">
        <f t="shared" si="56"/>
        <v>2.9634685049545017E-3</v>
      </c>
      <c r="AK106" s="571">
        <v>2976.5944600000003</v>
      </c>
      <c r="AL106" s="563">
        <f t="shared" si="57"/>
        <v>8.5121862589931846E-2</v>
      </c>
      <c r="AM106" s="563">
        <v>1.0683693258240519E-2</v>
      </c>
      <c r="AN106" s="563">
        <v>1.1480056307583983E-2</v>
      </c>
      <c r="AO106" s="563">
        <v>1.0421762551550395E-2</v>
      </c>
      <c r="AP106" s="571">
        <v>9.2313375489056059E-3</v>
      </c>
      <c r="AQ106" s="563">
        <f t="shared" si="48"/>
        <v>-6.690069585475418E-2</v>
      </c>
      <c r="AR106" s="563">
        <v>-18.667191262856143</v>
      </c>
      <c r="AS106" s="563">
        <v>41.878263218755372</v>
      </c>
      <c r="AT106" s="563">
        <f t="shared" si="58"/>
        <v>3.6040750389068885E-3</v>
      </c>
      <c r="AU106" s="577">
        <v>3186.6838500000003</v>
      </c>
      <c r="AV106" s="563">
        <f t="shared" si="59"/>
        <v>4.3305012923651333E-2</v>
      </c>
      <c r="AW106" s="563">
        <v>1.0421470717328371E-2</v>
      </c>
      <c r="AX106" s="563">
        <v>1.2116374644274029E-2</v>
      </c>
      <c r="AY106" s="571">
        <v>1.1235513055106124E-2</v>
      </c>
      <c r="AZ106" s="563">
        <v>9.5316545069428094E-3</v>
      </c>
      <c r="BD106" s="580">
        <v>66.265000000000001</v>
      </c>
      <c r="BE106" s="563">
        <v>48.09</v>
      </c>
      <c r="BF106" s="362">
        <f t="shared" si="53"/>
        <v>3186.6838500000003</v>
      </c>
      <c r="BG106" s="578">
        <f t="shared" si="62"/>
        <v>3.5838651306837332E-3</v>
      </c>
    </row>
    <row r="107" spans="2:59">
      <c r="B107" s="579" t="s">
        <v>542</v>
      </c>
      <c r="C107" s="570">
        <f>D107*P107</f>
        <v>0.48634888047151054</v>
      </c>
      <c r="D107" s="569">
        <f>((E107/O107)-1)*100</f>
        <v>16.075270288134689</v>
      </c>
      <c r="E107" s="571">
        <v>110.57309361366764</v>
      </c>
      <c r="F107" s="563">
        <f t="shared" si="49"/>
        <v>2.8812935303986952E-2</v>
      </c>
      <c r="G107" s="571">
        <v>29735.448</v>
      </c>
      <c r="H107" s="563">
        <f t="shared" si="45"/>
        <v>0.17580916220403706</v>
      </c>
      <c r="I107" s="563">
        <v>1.0348359951940668E-2</v>
      </c>
      <c r="J107" s="563">
        <v>1.0031023757980729E-2</v>
      </c>
      <c r="K107" s="563">
        <v>1.2167020178354077E-2</v>
      </c>
      <c r="L107" s="572">
        <v>1.1507737968701836E-2</v>
      </c>
      <c r="M107" s="570">
        <f>N107*Z107</f>
        <v>-0.20998025774534762</v>
      </c>
      <c r="N107" s="569">
        <f t="shared" si="50"/>
        <v>-6.9509024689291543</v>
      </c>
      <c r="O107" s="571">
        <v>95.259820062612008</v>
      </c>
      <c r="P107" s="563">
        <f>Q107/Q$112</f>
        <v>3.0254476083707862E-2</v>
      </c>
      <c r="Q107" s="571">
        <v>26547.217999999997</v>
      </c>
      <c r="R107" s="563">
        <f t="shared" si="51"/>
        <v>0.13175502034705974</v>
      </c>
      <c r="S107" s="572">
        <v>1.039162938046741E-2</v>
      </c>
      <c r="T107" s="563">
        <v>1.0754499507610255E-2</v>
      </c>
      <c r="U107" s="563">
        <v>9.7312394443721199E-3</v>
      </c>
      <c r="V107" s="563">
        <v>8.984875678260916E-3</v>
      </c>
      <c r="W107" s="570">
        <f t="shared" si="52"/>
        <v>-1.3375216971750968E-2</v>
      </c>
      <c r="X107" s="573">
        <f t="shared" si="46"/>
        <v>-0.43880692255340303</v>
      </c>
      <c r="Y107" s="574">
        <v>102.37586670929609</v>
      </c>
      <c r="Z107" s="563">
        <f t="shared" si="34"/>
        <v>3.0209064029306811E-2</v>
      </c>
      <c r="AA107" s="571">
        <v>29571.903999999999</v>
      </c>
      <c r="AB107" s="563">
        <f t="shared" si="47"/>
        <v>9.1892776336349041E-2</v>
      </c>
      <c r="AC107" s="563">
        <v>8.406953245505425E-3</v>
      </c>
      <c r="AD107" s="563">
        <v>8.7428770351727671E-3</v>
      </c>
      <c r="AE107" s="571">
        <v>7.7132758848299562E-3</v>
      </c>
      <c r="AF107" s="563">
        <v>7.7211397244738196E-3</v>
      </c>
      <c r="AG107" s="575">
        <f t="shared" si="54"/>
        <v>0.285565803401507</v>
      </c>
      <c r="AH107" s="573">
        <f t="shared" si="55"/>
        <v>8.6799546553217652</v>
      </c>
      <c r="AI107" s="576">
        <v>102.82707905042884</v>
      </c>
      <c r="AJ107" s="563">
        <f t="shared" si="56"/>
        <v>3.0480870479255479E-2</v>
      </c>
      <c r="AK107" s="571">
        <v>30615.877999999997</v>
      </c>
      <c r="AL107" s="563">
        <f t="shared" si="57"/>
        <v>5.930853044636706E-2</v>
      </c>
      <c r="AM107" s="563">
        <v>7.8800271571331775E-3</v>
      </c>
      <c r="AN107" s="563">
        <v>8.014883530459968E-3</v>
      </c>
      <c r="AO107" s="563">
        <v>7.8872302294113895E-3</v>
      </c>
      <c r="AP107" s="571">
        <v>7.442322421896656E-3</v>
      </c>
      <c r="AQ107" s="563">
        <f t="shared" si="48"/>
        <v>1.3880139793178212</v>
      </c>
      <c r="AR107" s="563">
        <v>42.42748260710534</v>
      </c>
      <c r="AS107" s="563">
        <v>94.614576695900084</v>
      </c>
      <c r="AT107" s="563">
        <f t="shared" si="58"/>
        <v>3.2899457974290662E-2</v>
      </c>
      <c r="AU107" s="577">
        <v>29089.342000000001</v>
      </c>
      <c r="AV107" s="563">
        <f t="shared" si="59"/>
        <v>2.8084067107465867E-2</v>
      </c>
      <c r="AW107" s="563">
        <v>7.0175440166785064E-3</v>
      </c>
      <c r="AX107" s="563">
        <v>6.6216345921095319E-3</v>
      </c>
      <c r="AY107" s="571">
        <v>7.267990734011992E-3</v>
      </c>
      <c r="AZ107" s="563">
        <v>7.1768977646658348E-3</v>
      </c>
      <c r="BD107" s="580">
        <v>315.39999999999998</v>
      </c>
      <c r="BE107" s="563">
        <v>92.23</v>
      </c>
      <c r="BF107" s="362">
        <f t="shared" si="53"/>
        <v>29089.342000000001</v>
      </c>
      <c r="BG107" s="578">
        <f t="shared" si="62"/>
        <v>3.2714973739341541E-2</v>
      </c>
    </row>
    <row r="108" spans="2:59">
      <c r="B108" s="563" t="s">
        <v>158</v>
      </c>
      <c r="C108" s="570"/>
      <c r="D108" s="569"/>
      <c r="E108" s="571" t="e">
        <v>#DIV/0!</v>
      </c>
      <c r="F108" s="563">
        <f t="shared" si="49"/>
        <v>0</v>
      </c>
      <c r="G108" s="571">
        <v>0</v>
      </c>
      <c r="H108" s="563" t="e">
        <f t="shared" si="45"/>
        <v>#DIV/0!</v>
      </c>
      <c r="I108" s="563" t="e">
        <v>#DIV/0!</v>
      </c>
      <c r="J108" s="563" t="e">
        <v>#DIV/0!</v>
      </c>
      <c r="K108" s="563" t="e">
        <v>#DIV/0!</v>
      </c>
      <c r="L108" s="572" t="e">
        <v>#DIV/0!</v>
      </c>
      <c r="M108" s="570" t="e">
        <f>N108*Z108</f>
        <v>#DIV/0!</v>
      </c>
      <c r="N108" s="569" t="e">
        <f t="shared" si="50"/>
        <v>#DIV/0!</v>
      </c>
      <c r="O108" s="571" t="e">
        <v>#DIV/0!</v>
      </c>
      <c r="Q108" s="571">
        <v>0</v>
      </c>
      <c r="R108" s="563" t="e">
        <f t="shared" si="51"/>
        <v>#DIV/0!</v>
      </c>
      <c r="S108" s="572" t="e">
        <v>#DIV/0!</v>
      </c>
      <c r="T108" s="563" t="e">
        <v>#DIV/0!</v>
      </c>
      <c r="U108" s="563" t="e">
        <v>#DIV/0!</v>
      </c>
      <c r="V108" s="563" t="e">
        <v>#DIV/0!</v>
      </c>
      <c r="W108" s="570" t="e">
        <f t="shared" si="52"/>
        <v>#DIV/0!</v>
      </c>
      <c r="X108" s="573" t="e">
        <f t="shared" si="46"/>
        <v>#DIV/0!</v>
      </c>
      <c r="Y108" s="574" t="e">
        <v>#DIV/0!</v>
      </c>
      <c r="Z108" s="563">
        <f t="shared" si="34"/>
        <v>0</v>
      </c>
      <c r="AA108" s="571">
        <v>0</v>
      </c>
      <c r="AB108" s="563" t="e">
        <f t="shared" si="47"/>
        <v>#DIV/0!</v>
      </c>
      <c r="AC108" s="563" t="e">
        <v>#DIV/0!</v>
      </c>
      <c r="AD108" s="563" t="e">
        <v>#DIV/0!</v>
      </c>
      <c r="AE108" s="571" t="e">
        <v>#DIV/0!</v>
      </c>
      <c r="AF108" s="563" t="e">
        <v>#DIV/0!</v>
      </c>
      <c r="AG108" s="575" t="e">
        <f t="shared" si="54"/>
        <v>#DIV/0!</v>
      </c>
      <c r="AH108" s="573" t="e">
        <f t="shared" si="55"/>
        <v>#DIV/0!</v>
      </c>
      <c r="AI108" s="576" t="e">
        <v>#DIV/0!</v>
      </c>
      <c r="AJ108" s="563">
        <f t="shared" si="56"/>
        <v>0</v>
      </c>
      <c r="AK108" s="571">
        <v>0</v>
      </c>
      <c r="AL108" s="563" t="e">
        <f t="shared" si="57"/>
        <v>#DIV/0!</v>
      </c>
      <c r="AM108" s="563" t="e">
        <v>#DIV/0!</v>
      </c>
      <c r="AN108" s="563" t="e">
        <v>#DIV/0!</v>
      </c>
      <c r="AO108" s="563" t="e">
        <v>#DIV/0!</v>
      </c>
      <c r="AP108" s="571" t="e">
        <v>#DIV/0!</v>
      </c>
      <c r="AQ108" s="563" t="e">
        <f t="shared" si="48"/>
        <v>#DIV/0!</v>
      </c>
      <c r="AR108" s="563" t="e">
        <v>#DIV/0!</v>
      </c>
      <c r="AS108" s="563" t="e">
        <v>#DIV/0!</v>
      </c>
      <c r="AT108" s="563">
        <f t="shared" si="58"/>
        <v>0</v>
      </c>
      <c r="AU108" s="577">
        <v>0</v>
      </c>
      <c r="AV108" s="563" t="e">
        <f t="shared" si="59"/>
        <v>#DIV/0!</v>
      </c>
      <c r="AW108" s="563" t="e">
        <v>#DIV/0!</v>
      </c>
      <c r="AX108" s="563" t="e">
        <v>#DIV/0!</v>
      </c>
      <c r="AY108" s="571" t="e">
        <v>#DIV/0!</v>
      </c>
      <c r="AZ108" s="563" t="e">
        <v>#DIV/0!</v>
      </c>
      <c r="BD108" s="580"/>
      <c r="BF108" s="362">
        <f t="shared" si="53"/>
        <v>0</v>
      </c>
      <c r="BG108" s="578">
        <f t="shared" si="62"/>
        <v>0</v>
      </c>
    </row>
    <row r="109" spans="2:59">
      <c r="B109" s="579" t="s">
        <v>159</v>
      </c>
      <c r="C109" s="570">
        <f>D109*P109</f>
        <v>0.33291473950916733</v>
      </c>
      <c r="D109" s="582">
        <v>72.45</v>
      </c>
      <c r="E109" s="571">
        <v>20.883387958808243</v>
      </c>
      <c r="F109" s="563">
        <f t="shared" si="49"/>
        <v>3.5600776485268503E-3</v>
      </c>
      <c r="G109" s="571">
        <v>3674.06176</v>
      </c>
      <c r="H109" s="563">
        <f t="shared" si="45"/>
        <v>0.15890055265306569</v>
      </c>
      <c r="I109" s="563">
        <v>8.3006651154214073E-3</v>
      </c>
      <c r="J109" s="563">
        <v>5.4312993965103043E-3</v>
      </c>
      <c r="K109" s="563">
        <v>5.6747700106101785E-3</v>
      </c>
      <c r="L109" s="572">
        <v>5.624352508047996E-3</v>
      </c>
      <c r="M109" s="570">
        <f>N109*Z109</f>
        <v>-0.20621176446413983</v>
      </c>
      <c r="N109" s="569">
        <f t="shared" si="50"/>
        <v>-32.718513746537411</v>
      </c>
      <c r="O109" s="571">
        <v>22.450615419325025</v>
      </c>
      <c r="P109" s="563">
        <f>Q109/Q$112</f>
        <v>4.5950964735564847E-3</v>
      </c>
      <c r="Q109" s="571">
        <v>4032.0324000000001</v>
      </c>
      <c r="R109" s="563">
        <f t="shared" si="51"/>
        <v>0.13386946562247581</v>
      </c>
      <c r="S109" s="572">
        <v>7.1133592573555575E-3</v>
      </c>
      <c r="T109" s="563">
        <v>7.1476535547140346E-3</v>
      </c>
      <c r="U109" s="563">
        <v>1.1771429686961153E-2</v>
      </c>
      <c r="V109" s="563">
        <v>8.028458192165671E-3</v>
      </c>
      <c r="W109" s="570">
        <f t="shared" si="52"/>
        <v>9.436691375879866E-3</v>
      </c>
      <c r="X109" s="573">
        <f t="shared" si="46"/>
        <v>1.5150322996457577</v>
      </c>
      <c r="Y109" s="574">
        <v>33.368191860015017</v>
      </c>
      <c r="Z109" s="563">
        <f t="shared" si="34"/>
        <v>6.3026018254256173E-3</v>
      </c>
      <c r="AA109" s="571">
        <v>6169.6693400000004</v>
      </c>
      <c r="AB109" s="563">
        <f t="shared" si="47"/>
        <v>9.9808564931279389E-2</v>
      </c>
      <c r="AC109" s="563">
        <v>8.006786280481298E-3</v>
      </c>
      <c r="AD109" s="563">
        <v>8.6140160281689884E-3</v>
      </c>
      <c r="AE109" s="571">
        <v>8.6591321646759846E-3</v>
      </c>
      <c r="AF109" s="563">
        <v>8.6986127151616188E-3</v>
      </c>
      <c r="AG109" s="575">
        <f t="shared" si="54"/>
        <v>0.13639869067434801</v>
      </c>
      <c r="AH109" s="573">
        <f t="shared" si="55"/>
        <v>20.363466687744026</v>
      </c>
      <c r="AI109" s="576">
        <v>32.870197747187689</v>
      </c>
      <c r="AJ109" s="563">
        <f t="shared" si="56"/>
        <v>6.2287063966136808E-3</v>
      </c>
      <c r="AK109" s="571">
        <v>6256.2949200000003</v>
      </c>
      <c r="AL109" s="563">
        <f t="shared" si="57"/>
        <v>6.58300177427915E-2</v>
      </c>
      <c r="AM109" s="563">
        <v>7.4641561252211924E-3</v>
      </c>
      <c r="AN109" s="563">
        <v>7.5262359439047495E-3</v>
      </c>
      <c r="AO109" s="563">
        <v>7.0772021378861872E-3</v>
      </c>
      <c r="AP109" s="571">
        <v>6.9698959855873403E-3</v>
      </c>
      <c r="AQ109" s="563">
        <f t="shared" si="48"/>
        <v>1.0633125244042713E-2</v>
      </c>
      <c r="AR109" s="563">
        <v>1.596410623779998</v>
      </c>
      <c r="AS109" s="563">
        <v>27.309115175672062</v>
      </c>
      <c r="AT109" s="563">
        <f t="shared" si="58"/>
        <v>6.6982057999211428E-3</v>
      </c>
      <c r="AU109" s="577">
        <v>5922.4805299999998</v>
      </c>
      <c r="AV109" s="563">
        <f t="shared" si="59"/>
        <v>3.6792527550192029E-2</v>
      </c>
      <c r="AW109" s="563">
        <v>8.2974639715437636E-3</v>
      </c>
      <c r="AX109" s="563">
        <v>9.3983364832134521E-3</v>
      </c>
      <c r="AY109" s="571">
        <v>9.4455643047371383E-3</v>
      </c>
      <c r="AZ109" s="563">
        <v>9.6511627906976736E-3</v>
      </c>
      <c r="BD109" s="580">
        <v>199.34299999999999</v>
      </c>
      <c r="BE109" s="563">
        <v>29.71</v>
      </c>
      <c r="BF109" s="362">
        <f t="shared" si="53"/>
        <v>5922.4805299999998</v>
      </c>
      <c r="BG109" s="578">
        <f t="shared" si="62"/>
        <v>6.6606455041407116E-3</v>
      </c>
    </row>
    <row r="110" spans="2:59">
      <c r="B110" s="579" t="s">
        <v>160</v>
      </c>
      <c r="C110" s="570">
        <f>D110*P110</f>
        <v>2.6044341759175846E-2</v>
      </c>
      <c r="D110" s="569">
        <f>((E110/O110)-1)*100</f>
        <v>5.2285619966704999</v>
      </c>
      <c r="E110" s="571">
        <v>53.071857283507882</v>
      </c>
      <c r="F110" s="563">
        <f>G110/G$112</f>
        <v>4.3891888768901998E-3</v>
      </c>
      <c r="G110" s="571">
        <v>4529.7188999999998</v>
      </c>
      <c r="H110" s="563">
        <f t="shared" si="45"/>
        <v>0.21668632011709957</v>
      </c>
      <c r="I110" s="563">
        <v>1.3788376247927239E-2</v>
      </c>
      <c r="J110" s="563">
        <v>1.2426631651541035E-2</v>
      </c>
      <c r="K110" s="563">
        <v>1.3608496938930398E-2</v>
      </c>
      <c r="L110" s="572">
        <v>1.3160914355677053E-2</v>
      </c>
      <c r="M110" s="570">
        <f>N110*Z110</f>
        <v>-3.4712647254275801E-2</v>
      </c>
      <c r="N110" s="569">
        <f>((O110/Y110)-1)*100</f>
        <v>-7.7689476365501946</v>
      </c>
      <c r="O110" s="571">
        <v>50.434840386003856</v>
      </c>
      <c r="P110" s="563">
        <f>Q110/Q$112</f>
        <v>4.9811672455563581E-3</v>
      </c>
      <c r="Q110" s="571">
        <v>4370.7956600000007</v>
      </c>
      <c r="R110" s="563">
        <f>(S110+T110+U110+V110+AB110)</f>
        <v>0.16370190092302384</v>
      </c>
      <c r="S110" s="572">
        <v>1.261573440462025E-2</v>
      </c>
      <c r="T110" s="563">
        <v>1.335040725421174E-2</v>
      </c>
      <c r="U110" s="563">
        <v>1.1424257174727644E-2</v>
      </c>
      <c r="V110" s="563">
        <v>1.0328944716937377E-2</v>
      </c>
      <c r="W110" s="570">
        <f>X110*AJ110</f>
        <v>-1.8617345056595156E-2</v>
      </c>
      <c r="X110" s="573">
        <f>((Y110/AI110)-1)*100</f>
        <v>-3.9522621483975118</v>
      </c>
      <c r="Y110" s="574">
        <v>54.683145311253817</v>
      </c>
      <c r="Z110" s="563">
        <f>AA110/$AA$112</f>
        <v>4.468127329236315E-3</v>
      </c>
      <c r="AA110" s="571">
        <v>4373.8870000000006</v>
      </c>
      <c r="AB110" s="563">
        <f>(AC110+AD110+AE110+AF110+AL110)</f>
        <v>0.11598255737252681</v>
      </c>
      <c r="AC110" s="563">
        <v>1.0211457604996074E-2</v>
      </c>
      <c r="AD110" s="563">
        <v>1.139451005168933E-2</v>
      </c>
      <c r="AE110" s="571">
        <v>1.0151292099552468E-2</v>
      </c>
      <c r="AF110" s="563">
        <v>8.3882129898345502E-3</v>
      </c>
      <c r="AG110" s="575">
        <f>AH110*AT110</f>
        <v>0.15870639492723412</v>
      </c>
      <c r="AH110" s="573">
        <f>((AI110/AS110)-1)*100</f>
        <v>28.143735662518488</v>
      </c>
      <c r="AI110" s="576">
        <v>56.933298518431968</v>
      </c>
      <c r="AJ110" s="563">
        <f>AK110/$AK$112</f>
        <v>4.7105541984718202E-3</v>
      </c>
      <c r="AK110" s="571">
        <v>4731.4184400000004</v>
      </c>
      <c r="AL110" s="563">
        <f>AM110+AN110+AO110+AP110+AV110</f>
        <v>7.5837084626454387E-2</v>
      </c>
      <c r="AM110" s="563">
        <v>8.6712267364456481E-3</v>
      </c>
      <c r="AN110" s="563">
        <v>9.6769573785892814E-3</v>
      </c>
      <c r="AO110" s="563">
        <v>9.7768270741756692E-3</v>
      </c>
      <c r="AP110" s="571">
        <v>8.9173968967819293E-3</v>
      </c>
      <c r="AQ110" s="563">
        <f>AR110*BG110</f>
        <v>-1.4157214591902599E-2</v>
      </c>
      <c r="AR110" s="563">
        <v>-2.5246855734191387</v>
      </c>
      <c r="AS110" s="563">
        <v>44.429248315635554</v>
      </c>
      <c r="AT110" s="563">
        <f>AU110/$AU$112</f>
        <v>5.6391374915661079E-3</v>
      </c>
      <c r="AU110" s="577">
        <v>4986.0638799999997</v>
      </c>
      <c r="AV110" s="563">
        <f>AW110+AX110+AY110+AZ110</f>
        <v>3.8794676540461856E-2</v>
      </c>
      <c r="AW110" s="563">
        <v>9.8039217344736973E-3</v>
      </c>
      <c r="AX110" s="563">
        <v>1.1677608649542299E-2</v>
      </c>
      <c r="AY110" s="571">
        <v>9.2822742332084752E-3</v>
      </c>
      <c r="AZ110" s="563">
        <v>8.0308719232373808E-3</v>
      </c>
      <c r="BD110" s="580">
        <v>89.372</v>
      </c>
      <c r="BE110" s="563">
        <v>55.79</v>
      </c>
      <c r="BF110" s="362">
        <f t="shared" si="53"/>
        <v>4986.0638799999997</v>
      </c>
      <c r="BG110" s="578">
        <f t="shared" si="62"/>
        <v>5.6075159382044252E-3</v>
      </c>
    </row>
    <row r="111" spans="2:59" ht="13.5" thickBot="1">
      <c r="B111" s="579" t="s">
        <v>538</v>
      </c>
      <c r="C111" s="570"/>
      <c r="D111" s="569"/>
      <c r="E111" s="571">
        <v>40.222792152030685</v>
      </c>
      <c r="F111" s="563">
        <f>G111/G$112</f>
        <v>1.4377635880435677E-2</v>
      </c>
      <c r="G111" s="571">
        <v>14837.969112660001</v>
      </c>
      <c r="H111" s="563">
        <f t="shared" si="45"/>
        <v>4.9107776526621807E-2</v>
      </c>
      <c r="I111" s="563">
        <v>1.1903234184417575E-2</v>
      </c>
      <c r="J111" s="563">
        <v>1.259646697848661E-2</v>
      </c>
      <c r="K111" s="563">
        <v>1.2533432114540888E-2</v>
      </c>
      <c r="L111" s="572">
        <v>1.2074643249176729E-2</v>
      </c>
      <c r="M111" s="570" t="e">
        <f>N111*Z111</f>
        <v>#DIV/0!</v>
      </c>
      <c r="N111" s="569" t="e">
        <f>((O111/Y111)-1)*100</f>
        <v>#DIV/0!</v>
      </c>
      <c r="O111" s="571">
        <v>32.409999999999997</v>
      </c>
      <c r="P111" s="563">
        <f>Q111/Q$112</f>
        <v>0</v>
      </c>
      <c r="Q111" s="571">
        <v>0</v>
      </c>
      <c r="U111" s="573"/>
      <c r="AN111" s="571"/>
      <c r="AP111" s="571"/>
      <c r="BD111" s="580">
        <v>309.49108200000001</v>
      </c>
      <c r="BE111" s="563">
        <v>51.16</v>
      </c>
      <c r="BF111" s="362">
        <f t="shared" si="53"/>
        <v>15833.56375512</v>
      </c>
    </row>
    <row r="112" spans="2:59" ht="13.5" thickBot="1">
      <c r="B112" s="583" t="s">
        <v>274</v>
      </c>
      <c r="C112" s="337">
        <f>SUM(C7:C111)</f>
        <v>19.099521722199167</v>
      </c>
      <c r="D112" s="584">
        <f>SUM(D7:D111)</f>
        <v>680.65006532292193</v>
      </c>
      <c r="F112" s="585"/>
      <c r="G112" s="571">
        <f>SUM(G7:G111)</f>
        <v>1032017.3104989202</v>
      </c>
      <c r="H112" s="563">
        <f t="shared" ref="H112" si="63">L112+R112</f>
        <v>0</v>
      </c>
      <c r="L112" s="293"/>
      <c r="M112" s="586" t="e">
        <f>SUM(M7:M110)</f>
        <v>#DIV/0!</v>
      </c>
      <c r="N112" s="293" t="e">
        <f>SUM(N7:N110)</f>
        <v>#DIV/0!</v>
      </c>
      <c r="O112" s="571">
        <v>0</v>
      </c>
      <c r="Q112" s="571">
        <f>SUM(Q7:Q111)</f>
        <v>877464.14535652008</v>
      </c>
      <c r="T112" s="573" t="e">
        <f>SUM(T7:T110)</f>
        <v>#DIV/0!</v>
      </c>
      <c r="U112" s="573"/>
      <c r="W112" s="586" t="e">
        <f>SUM(W7:W110)</f>
        <v>#DIV/0!</v>
      </c>
      <c r="X112" s="293" t="e">
        <f>SUM(X7:X110)</f>
        <v>#DIV/0!</v>
      </c>
      <c r="AA112" s="563">
        <f>SUM(AA7:AA109)</f>
        <v>978908.31610377994</v>
      </c>
      <c r="AD112" s="587" t="e">
        <f>SUM(AD7:AD108)</f>
        <v>#DIV/0!</v>
      </c>
      <c r="AE112" s="577" t="e">
        <f>SUM(AE7:AE109)</f>
        <v>#DIV/0!</v>
      </c>
      <c r="AG112" s="586" t="e">
        <f>SUM(AG7:AG109)</f>
        <v>#DIV/0!</v>
      </c>
      <c r="AH112" s="293" t="e">
        <f>SUM(AH7:AH109)</f>
        <v>#DIV/0!</v>
      </c>
      <c r="AK112" s="563">
        <f>SUM(AK7:AK109)</f>
        <v>1004429.2541066502</v>
      </c>
      <c r="AN112" s="587"/>
      <c r="AQ112" s="586" t="e">
        <f>SUM(AQ7:AQ109)</f>
        <v>#DIV/0!</v>
      </c>
      <c r="AR112" s="292" t="e">
        <f>SUM(AR7:AR109)</f>
        <v>#DIV/0!</v>
      </c>
      <c r="AU112" s="577">
        <f>SUM(AU7:AU109)</f>
        <v>884189.09584260976</v>
      </c>
      <c r="BD112" s="588"/>
      <c r="BE112" s="588"/>
      <c r="BF112" s="140">
        <f>SUM(BF8:BF110)</f>
        <v>889175.15972260979</v>
      </c>
      <c r="BG112" s="570">
        <f>SUM(BG8:BG110)</f>
        <v>1</v>
      </c>
    </row>
    <row r="113" spans="2:58">
      <c r="U113" s="573"/>
      <c r="AI113" s="563" t="s">
        <v>275</v>
      </c>
      <c r="BD113" s="588"/>
      <c r="BE113" s="588"/>
      <c r="BF113" s="588"/>
    </row>
    <row r="114" spans="2:58">
      <c r="C114" s="563" t="s">
        <v>96</v>
      </c>
      <c r="P114" s="570">
        <f>SUM(P7:P111)</f>
        <v>0.99999999999999989</v>
      </c>
      <c r="T114" s="563" t="s">
        <v>96</v>
      </c>
      <c r="U114" s="573"/>
      <c r="AD114" s="563" t="s">
        <v>96</v>
      </c>
      <c r="AH114" s="589">
        <v>32508</v>
      </c>
      <c r="AN114" s="563" t="s">
        <v>96</v>
      </c>
      <c r="BD114" s="588"/>
      <c r="BE114" s="588"/>
      <c r="BF114" s="588"/>
    </row>
    <row r="115" spans="2:58">
      <c r="U115" s="573"/>
      <c r="BD115" s="588"/>
      <c r="BE115" s="588"/>
      <c r="BF115" s="588"/>
    </row>
    <row r="116" spans="2:58">
      <c r="F116" s="590" t="s">
        <v>276</v>
      </c>
      <c r="G116" s="590"/>
      <c r="U116" s="573"/>
      <c r="BD116" s="588"/>
      <c r="BE116" s="588"/>
      <c r="BF116" s="588"/>
    </row>
    <row r="117" spans="2:58">
      <c r="F117" s="591" t="s">
        <v>277</v>
      </c>
      <c r="G117" s="591"/>
      <c r="U117" s="573"/>
      <c r="BD117" s="588"/>
      <c r="BE117" s="588"/>
      <c r="BF117" s="588"/>
    </row>
    <row r="118" spans="2:58">
      <c r="F118" s="592" t="s">
        <v>278</v>
      </c>
      <c r="G118" s="592"/>
      <c r="U118" s="573"/>
      <c r="BD118" s="588"/>
      <c r="BE118" s="588"/>
      <c r="BF118" s="588"/>
    </row>
    <row r="119" spans="2:58">
      <c r="U119" s="573"/>
    </row>
    <row r="120" spans="2:58">
      <c r="U120" s="573"/>
    </row>
    <row r="121" spans="2:58">
      <c r="O121" s="593"/>
      <c r="P121" s="577"/>
      <c r="Q121" s="577"/>
      <c r="R121" s="577"/>
      <c r="S121" s="577"/>
      <c r="U121" s="573"/>
    </row>
    <row r="122" spans="2:58">
      <c r="O122" s="593"/>
      <c r="P122" s="577"/>
      <c r="Q122" s="577"/>
      <c r="R122" s="577"/>
      <c r="S122" s="577"/>
      <c r="U122" s="573"/>
    </row>
    <row r="123" spans="2:58">
      <c r="O123" s="593"/>
      <c r="P123" s="577"/>
      <c r="Q123" s="577"/>
      <c r="R123" s="577"/>
      <c r="S123" s="577"/>
      <c r="U123" s="573"/>
    </row>
    <row r="124" spans="2:58">
      <c r="B124" s="563" t="s">
        <v>598</v>
      </c>
      <c r="O124" s="593"/>
      <c r="P124" s="577"/>
      <c r="Q124" s="577"/>
      <c r="R124" s="577"/>
      <c r="S124" s="577"/>
      <c r="U124" s="573"/>
    </row>
    <row r="125" spans="2:58">
      <c r="B125" s="563" t="s">
        <v>599</v>
      </c>
      <c r="O125" s="593"/>
      <c r="P125" s="577"/>
      <c r="Q125" s="577"/>
      <c r="R125" s="577"/>
      <c r="S125" s="577"/>
      <c r="U125" s="573"/>
    </row>
    <row r="126" spans="2:58">
      <c r="B126" s="563" t="s">
        <v>600</v>
      </c>
      <c r="O126" s="593"/>
      <c r="P126" s="577"/>
      <c r="Q126" s="577"/>
      <c r="R126" s="577"/>
      <c r="S126" s="577"/>
      <c r="U126" s="573"/>
    </row>
    <row r="127" spans="2:58">
      <c r="O127" s="593"/>
      <c r="P127" s="577"/>
      <c r="Q127" s="577"/>
      <c r="R127" s="577"/>
      <c r="S127" s="577"/>
      <c r="U127" s="573"/>
    </row>
    <row r="128" spans="2:58">
      <c r="O128" s="593"/>
      <c r="P128" s="577"/>
      <c r="Q128" s="577"/>
      <c r="R128" s="577"/>
      <c r="S128" s="577"/>
      <c r="U128" s="573"/>
    </row>
    <row r="129" spans="15:36">
      <c r="O129" s="593"/>
      <c r="P129" s="577"/>
      <c r="Q129" s="577"/>
      <c r="R129" s="577"/>
      <c r="S129" s="577"/>
      <c r="U129" s="573"/>
    </row>
    <row r="130" spans="15:36">
      <c r="O130" s="593"/>
      <c r="P130" s="577"/>
      <c r="Q130" s="577"/>
      <c r="R130" s="577"/>
      <c r="S130" s="577"/>
      <c r="U130" s="573"/>
    </row>
    <row r="131" spans="15:36">
      <c r="O131" s="593"/>
      <c r="P131" s="577"/>
      <c r="Q131" s="577"/>
      <c r="R131" s="577"/>
      <c r="S131" s="577"/>
      <c r="U131" s="573"/>
    </row>
    <row r="132" spans="15:36">
      <c r="O132" s="593"/>
      <c r="P132" s="577"/>
      <c r="Q132" s="577"/>
      <c r="R132" s="577"/>
      <c r="S132" s="577"/>
      <c r="U132" s="573"/>
    </row>
    <row r="133" spans="15:36">
      <c r="O133" s="593"/>
      <c r="P133" s="577"/>
      <c r="Q133" s="577"/>
      <c r="R133" s="577"/>
      <c r="S133" s="577"/>
      <c r="U133" s="573"/>
      <c r="AJ133" s="563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DA87-7251-4638-AD08-81E7ADCB7EEA}">
  <sheetPr>
    <tabColor rgb="FF345680"/>
  </sheetPr>
  <dimension ref="A1:D51"/>
  <sheetViews>
    <sheetView showGridLines="0" workbookViewId="0"/>
  </sheetViews>
  <sheetFormatPr defaultColWidth="0" defaultRowHeight="11.1" customHeight="1" zeroHeight="1"/>
  <cols>
    <col min="1" max="1" width="4.7109375" style="629" customWidth="1"/>
    <col min="2" max="3" width="35.7109375" style="629" customWidth="1"/>
    <col min="4" max="4" width="4.7109375" style="629" customWidth="1"/>
    <col min="5" max="16384" width="9.140625" style="629" hidden="1"/>
  </cols>
  <sheetData>
    <row r="1" spans="1:4" ht="11.1" customHeight="1">
      <c r="A1" s="639"/>
      <c r="B1" s="639"/>
      <c r="C1" s="639"/>
      <c r="D1" s="639"/>
    </row>
    <row r="2" spans="1:4" ht="11.1" customHeight="1">
      <c r="A2" s="639"/>
      <c r="B2" s="641" t="s">
        <v>528</v>
      </c>
      <c r="C2" s="641"/>
      <c r="D2" s="639"/>
    </row>
    <row r="3" spans="1:4" ht="11.1" customHeight="1">
      <c r="A3" s="639"/>
      <c r="B3" s="641"/>
      <c r="C3" s="641"/>
      <c r="D3" s="639"/>
    </row>
    <row r="4" spans="1:4" ht="11.1" customHeight="1">
      <c r="A4" s="639"/>
      <c r="B4" s="641"/>
      <c r="C4" s="641"/>
      <c r="D4" s="639"/>
    </row>
    <row r="5" spans="1:4" ht="11.1" customHeight="1">
      <c r="A5" s="639"/>
      <c r="B5" s="639"/>
      <c r="C5" s="639"/>
      <c r="D5" s="639"/>
    </row>
    <row r="6" spans="1:4" ht="11.1" customHeight="1">
      <c r="A6" s="639"/>
      <c r="B6" s="642" t="s">
        <v>667</v>
      </c>
      <c r="C6" s="642" t="s">
        <v>668</v>
      </c>
      <c r="D6" s="639"/>
    </row>
    <row r="7" spans="1:4" ht="11.1" customHeight="1">
      <c r="A7" s="639"/>
      <c r="B7" s="643"/>
      <c r="C7" s="643"/>
      <c r="D7" s="639"/>
    </row>
    <row r="8" spans="1:4" ht="11.1" customHeight="1">
      <c r="A8" s="639"/>
      <c r="B8" s="643"/>
      <c r="C8" s="643"/>
      <c r="D8" s="639"/>
    </row>
    <row r="9" spans="1:4" ht="11.1" customHeight="1">
      <c r="A9" s="639"/>
      <c r="B9" s="644" t="s">
        <v>173</v>
      </c>
      <c r="C9" s="644" t="s">
        <v>172</v>
      </c>
      <c r="D9" s="639"/>
    </row>
    <row r="10" spans="1:4" ht="11.1" customHeight="1">
      <c r="A10" s="639"/>
      <c r="B10" s="644" t="s">
        <v>185</v>
      </c>
      <c r="C10" s="644" t="s">
        <v>669</v>
      </c>
      <c r="D10" s="639"/>
    </row>
    <row r="11" spans="1:4" ht="11.1" customHeight="1">
      <c r="A11" s="639"/>
      <c r="B11" s="644" t="s">
        <v>670</v>
      </c>
      <c r="C11" s="645" t="s">
        <v>529</v>
      </c>
      <c r="D11" s="639"/>
    </row>
    <row r="12" spans="1:4" ht="11.1" customHeight="1">
      <c r="A12" s="639"/>
      <c r="B12" s="644" t="s">
        <v>167</v>
      </c>
      <c r="C12" s="644" t="s">
        <v>163</v>
      </c>
      <c r="D12" s="639"/>
    </row>
    <row r="13" spans="1:4" ht="11.1" customHeight="1">
      <c r="A13" s="639"/>
      <c r="B13" s="644" t="s">
        <v>186</v>
      </c>
      <c r="C13" s="644" t="s">
        <v>174</v>
      </c>
      <c r="D13" s="639"/>
    </row>
    <row r="14" spans="1:4" ht="11.1" customHeight="1">
      <c r="A14" s="639"/>
      <c r="B14" s="644" t="s">
        <v>177</v>
      </c>
      <c r="C14" s="644" t="s">
        <v>199</v>
      </c>
      <c r="D14" s="639"/>
    </row>
    <row r="15" spans="1:4" ht="11.1" customHeight="1">
      <c r="A15" s="639"/>
      <c r="B15" s="645" t="s">
        <v>540</v>
      </c>
      <c r="C15" s="644" t="s">
        <v>189</v>
      </c>
      <c r="D15" s="639"/>
    </row>
    <row r="16" spans="1:4" ht="11.1" customHeight="1">
      <c r="A16" s="639"/>
      <c r="B16" s="644" t="s">
        <v>187</v>
      </c>
      <c r="C16" s="644"/>
      <c r="D16" s="639"/>
    </row>
    <row r="17" spans="1:4" ht="11.1" customHeight="1">
      <c r="A17" s="639"/>
      <c r="B17" s="644" t="s">
        <v>170</v>
      </c>
      <c r="C17" s="644"/>
      <c r="D17" s="639"/>
    </row>
    <row r="18" spans="1:4" ht="11.1" customHeight="1">
      <c r="A18" s="639"/>
      <c r="B18" s="644" t="s">
        <v>561</v>
      </c>
      <c r="C18" s="644"/>
      <c r="D18" s="639"/>
    </row>
    <row r="19" spans="1:4" ht="11.1" customHeight="1">
      <c r="A19" s="639"/>
      <c r="B19" s="645" t="s">
        <v>530</v>
      </c>
      <c r="C19" s="644"/>
      <c r="D19" s="639"/>
    </row>
    <row r="20" spans="1:4" ht="11.1" customHeight="1">
      <c r="A20" s="639"/>
      <c r="B20" s="644" t="s">
        <v>178</v>
      </c>
      <c r="C20" s="644"/>
      <c r="D20" s="639"/>
    </row>
    <row r="21" spans="1:4" ht="11.1" customHeight="1">
      <c r="A21" s="639"/>
      <c r="B21" s="644" t="s">
        <v>171</v>
      </c>
      <c r="C21" s="644"/>
      <c r="D21" s="639"/>
    </row>
    <row r="22" spans="1:4" ht="11.1" customHeight="1">
      <c r="A22" s="639"/>
      <c r="B22" s="644" t="s">
        <v>74</v>
      </c>
      <c r="C22" s="644"/>
      <c r="D22" s="639"/>
    </row>
    <row r="23" spans="1:4" ht="11.1" customHeight="1">
      <c r="A23" s="639"/>
      <c r="B23" s="644" t="s">
        <v>179</v>
      </c>
      <c r="C23" s="644"/>
      <c r="D23" s="639"/>
    </row>
    <row r="24" spans="1:4" ht="11.1" customHeight="1">
      <c r="A24" s="639"/>
      <c r="B24" s="644" t="s">
        <v>559</v>
      </c>
      <c r="C24" s="644"/>
      <c r="D24" s="639"/>
    </row>
    <row r="25" spans="1:4" ht="11.1" customHeight="1">
      <c r="A25" s="639"/>
      <c r="B25" s="644" t="s">
        <v>521</v>
      </c>
      <c r="C25" s="644"/>
      <c r="D25" s="639"/>
    </row>
    <row r="26" spans="1:4" ht="11.1" customHeight="1">
      <c r="A26" s="639"/>
      <c r="B26" s="644" t="s">
        <v>180</v>
      </c>
      <c r="C26" s="644"/>
      <c r="D26" s="639"/>
    </row>
    <row r="27" spans="1:4" ht="11.1" customHeight="1">
      <c r="A27" s="639"/>
      <c r="B27" s="644" t="s">
        <v>671</v>
      </c>
      <c r="C27" s="644"/>
      <c r="D27" s="639"/>
    </row>
    <row r="28" spans="1:4" ht="11.1" customHeight="1">
      <c r="A28" s="639"/>
      <c r="B28" s="644" t="s">
        <v>181</v>
      </c>
      <c r="C28" s="644"/>
      <c r="D28" s="639"/>
    </row>
    <row r="29" spans="1:4" ht="11.1" customHeight="1">
      <c r="A29" s="639"/>
      <c r="B29" s="645" t="s">
        <v>531</v>
      </c>
      <c r="C29" s="644"/>
      <c r="D29" s="639"/>
    </row>
    <row r="30" spans="1:4" ht="11.1" customHeight="1">
      <c r="A30" s="639"/>
      <c r="B30" s="644" t="s">
        <v>165</v>
      </c>
      <c r="C30" s="644"/>
      <c r="D30" s="639"/>
    </row>
    <row r="31" spans="1:4" ht="11.1" customHeight="1">
      <c r="A31" s="639"/>
      <c r="B31" s="644" t="s">
        <v>188</v>
      </c>
      <c r="C31" s="644"/>
      <c r="D31" s="639"/>
    </row>
    <row r="32" spans="1:4" ht="11.1" customHeight="1">
      <c r="A32" s="639"/>
      <c r="B32" s="644" t="s">
        <v>659</v>
      </c>
      <c r="C32" s="644"/>
      <c r="D32" s="639"/>
    </row>
    <row r="33" spans="1:4" ht="11.1" customHeight="1">
      <c r="A33" s="639"/>
      <c r="B33" s="644" t="s">
        <v>672</v>
      </c>
      <c r="C33" s="644"/>
      <c r="D33" s="639"/>
    </row>
    <row r="34" spans="1:4" ht="11.1" customHeight="1">
      <c r="A34" s="639"/>
      <c r="B34" s="644" t="s">
        <v>166</v>
      </c>
      <c r="C34" s="644"/>
      <c r="D34" s="639"/>
    </row>
    <row r="35" spans="1:4" ht="11.1" customHeight="1">
      <c r="A35" s="639"/>
      <c r="B35" s="644" t="s">
        <v>190</v>
      </c>
      <c r="C35" s="644"/>
      <c r="D35" s="639"/>
    </row>
    <row r="36" spans="1:4" ht="11.1" customHeight="1">
      <c r="A36" s="639"/>
      <c r="B36" s="644" t="s">
        <v>175</v>
      </c>
      <c r="C36" s="644"/>
      <c r="D36" s="639"/>
    </row>
    <row r="37" spans="1:4" ht="11.1" customHeight="1">
      <c r="A37" s="639"/>
      <c r="B37" s="644" t="s">
        <v>183</v>
      </c>
      <c r="C37" s="644"/>
      <c r="D37" s="639"/>
    </row>
    <row r="38" spans="1:4" ht="11.1" customHeight="1">
      <c r="A38" s="639"/>
      <c r="B38" s="644" t="s">
        <v>673</v>
      </c>
      <c r="C38" s="644"/>
      <c r="D38" s="639"/>
    </row>
    <row r="39" spans="1:4" ht="11.1" customHeight="1">
      <c r="A39" s="639"/>
      <c r="B39" s="645" t="s">
        <v>532</v>
      </c>
      <c r="C39" s="644"/>
      <c r="D39" s="639"/>
    </row>
    <row r="40" spans="1:4" ht="11.1" customHeight="1">
      <c r="A40" s="639"/>
      <c r="B40" s="644" t="s">
        <v>658</v>
      </c>
      <c r="C40" s="646" t="s">
        <v>674</v>
      </c>
      <c r="D40" s="639"/>
    </row>
    <row r="41" spans="1:4" ht="11.1" customHeight="1">
      <c r="A41" s="639"/>
      <c r="B41" s="644" t="s">
        <v>164</v>
      </c>
      <c r="C41" s="646"/>
      <c r="D41" s="639"/>
    </row>
    <row r="42" spans="1:4" ht="11.1" customHeight="1">
      <c r="A42" s="639"/>
      <c r="B42" s="644" t="s">
        <v>656</v>
      </c>
      <c r="C42" s="646" t="s">
        <v>675</v>
      </c>
      <c r="D42" s="639"/>
    </row>
    <row r="43" spans="1:4" ht="11.1" customHeight="1">
      <c r="A43" s="639"/>
      <c r="B43" s="644" t="s">
        <v>191</v>
      </c>
      <c r="C43" s="646"/>
      <c r="D43" s="639"/>
    </row>
    <row r="44" spans="1:4" ht="11.1" customHeight="1">
      <c r="A44" s="639"/>
      <c r="B44" s="644" t="s">
        <v>536</v>
      </c>
      <c r="C44" s="646" t="s">
        <v>676</v>
      </c>
      <c r="D44" s="639"/>
    </row>
    <row r="45" spans="1:4" ht="11.1" customHeight="1">
      <c r="A45" s="639"/>
      <c r="B45" s="644" t="s">
        <v>77</v>
      </c>
      <c r="C45" s="646" t="s">
        <v>677</v>
      </c>
      <c r="D45" s="639"/>
    </row>
    <row r="46" spans="1:4" ht="11.1" customHeight="1">
      <c r="A46" s="639"/>
      <c r="B46" s="644"/>
      <c r="C46" s="646"/>
      <c r="D46" s="639"/>
    </row>
    <row r="47" spans="1:4" ht="11.1" customHeight="1">
      <c r="A47" s="639"/>
      <c r="B47" s="647"/>
      <c r="C47" s="646" t="s">
        <v>678</v>
      </c>
      <c r="D47" s="639"/>
    </row>
    <row r="48" spans="1:4" ht="11.1" customHeight="1">
      <c r="A48" s="639"/>
      <c r="B48" s="646" t="s">
        <v>533</v>
      </c>
      <c r="C48" s="646" t="s">
        <v>679</v>
      </c>
      <c r="D48" s="639"/>
    </row>
    <row r="49" spans="1:4" ht="11.1" customHeight="1">
      <c r="A49" s="639"/>
      <c r="B49" s="648"/>
      <c r="C49" s="648"/>
      <c r="D49" s="639"/>
    </row>
    <row r="50" spans="1:4" ht="11.1" customHeight="1">
      <c r="A50" s="639"/>
      <c r="B50" s="639"/>
      <c r="C50" s="639"/>
      <c r="D50" s="639"/>
    </row>
    <row r="51" spans="1:4" ht="11.1" customHeight="1">
      <c r="A51" s="639"/>
      <c r="B51" s="639"/>
      <c r="C51" s="639"/>
      <c r="D51" s="639"/>
    </row>
  </sheetData>
  <mergeCells count="3">
    <mergeCell ref="B2:C4"/>
    <mergeCell ref="B6:B8"/>
    <mergeCell ref="C6:C8"/>
  </mergeCells>
  <printOptions horizontalCentered="1"/>
  <pageMargins left="0.75" right="0.75" top="0.75" bottom="0.75" header="0.3" footer="0.3"/>
  <pageSetup scale="11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FB40-5222-4CDD-99EE-79AF14966856}">
  <sheetPr>
    <tabColor rgb="FFFFC000"/>
  </sheetPr>
  <dimension ref="B1:BG133"/>
  <sheetViews>
    <sheetView workbookViewId="0"/>
  </sheetViews>
  <sheetFormatPr defaultRowHeight="12.75"/>
  <cols>
    <col min="1" max="1" width="3.7109375" style="563" customWidth="1"/>
    <col min="2" max="2" width="42.42578125" style="563" customWidth="1"/>
    <col min="3" max="3" width="12.28515625" style="563" customWidth="1"/>
    <col min="4" max="4" width="9.7109375" style="563" bestFit="1" customWidth="1"/>
    <col min="5" max="6" width="9.140625" style="563"/>
    <col min="7" max="7" width="12.7109375" style="563" customWidth="1"/>
    <col min="8" max="12" width="11" style="563" customWidth="1"/>
    <col min="13" max="16" width="9.140625" style="563"/>
    <col min="17" max="17" width="11" style="563" customWidth="1"/>
    <col min="18" max="24" width="9.140625" style="563"/>
    <col min="25" max="25" width="11.28515625" style="563" bestFit="1" customWidth="1"/>
    <col min="26" max="26" width="9.140625" style="563"/>
    <col min="27" max="27" width="10" style="563" customWidth="1"/>
    <col min="28" max="28" width="9.140625" style="563"/>
    <col min="29" max="29" width="9.7109375" style="563" bestFit="1" customWidth="1"/>
    <col min="30" max="34" width="9.140625" style="563"/>
    <col min="35" max="35" width="9.5703125" style="563" bestFit="1" customWidth="1"/>
    <col min="36" max="36" width="9.140625" style="563"/>
    <col min="37" max="37" width="10.5703125" style="563" customWidth="1"/>
    <col min="38" max="57" width="9.140625" style="563"/>
    <col min="58" max="58" width="11.7109375" style="563" customWidth="1"/>
    <col min="59" max="59" width="10.28515625" style="563" customWidth="1"/>
    <col min="60" max="16384" width="9.140625" style="563"/>
  </cols>
  <sheetData>
    <row r="1" spans="2:59">
      <c r="AN1" s="564"/>
      <c r="AS1" s="565"/>
      <c r="AU1" s="565"/>
      <c r="AV1" s="565"/>
      <c r="AW1" s="565"/>
    </row>
    <row r="3" spans="2:59">
      <c r="C3" s="566">
        <v>2024.4</v>
      </c>
      <c r="D3" s="566">
        <v>2024.4</v>
      </c>
      <c r="E3" s="566">
        <v>2024.4</v>
      </c>
      <c r="F3" s="566">
        <v>2024.4</v>
      </c>
      <c r="H3" s="563" t="s">
        <v>216</v>
      </c>
      <c r="I3" s="563" t="s">
        <v>647</v>
      </c>
      <c r="J3" s="563" t="s">
        <v>648</v>
      </c>
      <c r="K3" s="563" t="s">
        <v>649</v>
      </c>
      <c r="L3" s="563" t="s">
        <v>650</v>
      </c>
      <c r="M3" s="567">
        <v>2023.4</v>
      </c>
      <c r="N3" s="567">
        <v>2023.4</v>
      </c>
      <c r="O3" s="567">
        <v>2023.4</v>
      </c>
      <c r="R3" s="563" t="s">
        <v>216</v>
      </c>
      <c r="S3" s="563" t="s">
        <v>643</v>
      </c>
      <c r="T3" s="563" t="s">
        <v>639</v>
      </c>
      <c r="U3" s="563" t="s">
        <v>616</v>
      </c>
      <c r="V3" s="567">
        <v>2023.1</v>
      </c>
      <c r="W3" s="567">
        <v>2022.4</v>
      </c>
      <c r="X3" s="567">
        <v>2022.4</v>
      </c>
      <c r="Y3" s="567">
        <v>2022.4</v>
      </c>
      <c r="AB3" s="563" t="s">
        <v>217</v>
      </c>
      <c r="AC3" s="563" t="s">
        <v>592</v>
      </c>
      <c r="AD3" s="563" t="s">
        <v>586</v>
      </c>
      <c r="AE3" s="563" t="s">
        <v>585</v>
      </c>
      <c r="AF3" s="563" t="s">
        <v>651</v>
      </c>
      <c r="AG3" s="563">
        <v>2021.4</v>
      </c>
      <c r="AH3" s="563">
        <v>2021.4</v>
      </c>
      <c r="AI3" s="563">
        <v>2021.4</v>
      </c>
      <c r="AL3" s="563" t="s">
        <v>217</v>
      </c>
      <c r="AM3" s="563" t="s">
        <v>581</v>
      </c>
      <c r="AN3" s="563" t="s">
        <v>579</v>
      </c>
      <c r="AO3" s="563" t="s">
        <v>576</v>
      </c>
      <c r="AP3" s="563" t="s">
        <v>597</v>
      </c>
      <c r="AQ3" s="566">
        <v>2020.4</v>
      </c>
      <c r="AR3" s="566">
        <v>2020.4</v>
      </c>
      <c r="AS3" s="566">
        <v>2020.4</v>
      </c>
      <c r="AV3" s="563" t="s">
        <v>217</v>
      </c>
      <c r="AW3" s="563" t="s">
        <v>573</v>
      </c>
      <c r="AX3" s="563" t="s">
        <v>571</v>
      </c>
      <c r="AY3" s="563" t="s">
        <v>569</v>
      </c>
      <c r="AZ3" s="563" t="s">
        <v>583</v>
      </c>
      <c r="BD3" s="568">
        <v>2019.4</v>
      </c>
      <c r="BE3" s="568">
        <v>2019.4</v>
      </c>
      <c r="BF3" s="568">
        <v>2019.4</v>
      </c>
      <c r="BG3" s="568" t="s">
        <v>652</v>
      </c>
    </row>
    <row r="4" spans="2:59">
      <c r="B4" s="563" t="s">
        <v>196</v>
      </c>
      <c r="C4" s="563" t="s">
        <v>104</v>
      </c>
      <c r="D4" s="569"/>
      <c r="E4" s="563" t="s">
        <v>105</v>
      </c>
      <c r="F4" s="566" t="s">
        <v>106</v>
      </c>
      <c r="G4" s="566">
        <v>2024.4</v>
      </c>
      <c r="H4" s="563" t="s">
        <v>218</v>
      </c>
      <c r="I4" s="563" t="s">
        <v>219</v>
      </c>
      <c r="J4" s="563" t="s">
        <v>219</v>
      </c>
      <c r="K4" s="563" t="s">
        <v>219</v>
      </c>
      <c r="L4" s="563" t="s">
        <v>219</v>
      </c>
      <c r="M4" s="563" t="s">
        <v>104</v>
      </c>
      <c r="N4" s="569"/>
      <c r="O4" s="563" t="s">
        <v>105</v>
      </c>
      <c r="P4" s="567">
        <v>2023.4</v>
      </c>
      <c r="Q4" s="567">
        <v>2023.4</v>
      </c>
      <c r="R4" s="563" t="s">
        <v>218</v>
      </c>
      <c r="S4" s="563" t="s">
        <v>219</v>
      </c>
      <c r="T4" s="563" t="s">
        <v>219</v>
      </c>
      <c r="U4" s="563" t="s">
        <v>219</v>
      </c>
      <c r="V4" s="563" t="s">
        <v>219</v>
      </c>
      <c r="W4" s="563" t="s">
        <v>104</v>
      </c>
      <c r="Y4" s="563" t="s">
        <v>105</v>
      </c>
      <c r="Z4" s="567">
        <v>2022.4</v>
      </c>
      <c r="AA4" s="567">
        <v>2022.4</v>
      </c>
      <c r="AB4" s="563" t="s">
        <v>218</v>
      </c>
      <c r="AC4" s="563" t="s">
        <v>219</v>
      </c>
      <c r="AD4" s="563" t="s">
        <v>219</v>
      </c>
      <c r="AE4" s="563" t="s">
        <v>219</v>
      </c>
      <c r="AF4" s="563" t="s">
        <v>219</v>
      </c>
      <c r="AG4" s="563" t="s">
        <v>104</v>
      </c>
      <c r="AI4" s="563" t="s">
        <v>105</v>
      </c>
      <c r="AJ4" s="563">
        <v>2021.4</v>
      </c>
      <c r="AK4" s="563">
        <v>2021.4</v>
      </c>
      <c r="AL4" s="563" t="s">
        <v>218</v>
      </c>
      <c r="AM4" s="563" t="s">
        <v>219</v>
      </c>
      <c r="AN4" s="563" t="s">
        <v>219</v>
      </c>
      <c r="AO4" s="563" t="s">
        <v>219</v>
      </c>
      <c r="AP4" s="563" t="s">
        <v>219</v>
      </c>
      <c r="AQ4" s="563" t="s">
        <v>104</v>
      </c>
      <c r="AS4" s="563" t="s">
        <v>105</v>
      </c>
      <c r="AT4" s="566">
        <v>2020.4</v>
      </c>
      <c r="AU4" s="566">
        <v>2020.4</v>
      </c>
      <c r="AV4" s="563" t="s">
        <v>218</v>
      </c>
      <c r="AW4" s="563" t="s">
        <v>219</v>
      </c>
      <c r="AX4" s="563" t="s">
        <v>219</v>
      </c>
      <c r="AY4" s="563" t="s">
        <v>219</v>
      </c>
      <c r="AZ4" s="563" t="s">
        <v>219</v>
      </c>
      <c r="BD4" s="568" t="s">
        <v>220</v>
      </c>
      <c r="BE4" s="568" t="s">
        <v>221</v>
      </c>
      <c r="BF4" s="568" t="s">
        <v>51</v>
      </c>
      <c r="BG4" s="568" t="s">
        <v>514</v>
      </c>
    </row>
    <row r="5" spans="2:59">
      <c r="C5" s="563" t="s">
        <v>72</v>
      </c>
      <c r="D5" s="569" t="s">
        <v>72</v>
      </c>
      <c r="E5" s="563" t="s">
        <v>107</v>
      </c>
      <c r="F5" s="566" t="s">
        <v>108</v>
      </c>
      <c r="G5" s="563" t="s">
        <v>109</v>
      </c>
      <c r="H5" s="563" t="s">
        <v>222</v>
      </c>
      <c r="I5" s="563" t="s">
        <v>218</v>
      </c>
      <c r="J5" s="563" t="s">
        <v>218</v>
      </c>
      <c r="K5" s="563" t="s">
        <v>218</v>
      </c>
      <c r="L5" s="563" t="s">
        <v>218</v>
      </c>
      <c r="M5" s="563" t="s">
        <v>72</v>
      </c>
      <c r="N5" s="569" t="s">
        <v>72</v>
      </c>
      <c r="O5" s="563" t="s">
        <v>107</v>
      </c>
      <c r="P5" s="563" t="s">
        <v>104</v>
      </c>
      <c r="Q5" s="563" t="s">
        <v>109</v>
      </c>
      <c r="R5" s="563" t="s">
        <v>222</v>
      </c>
      <c r="S5" s="563" t="s">
        <v>223</v>
      </c>
      <c r="T5" s="563" t="s">
        <v>223</v>
      </c>
      <c r="U5" s="563" t="s">
        <v>223</v>
      </c>
      <c r="V5" s="563" t="s">
        <v>218</v>
      </c>
      <c r="W5" s="563" t="s">
        <v>72</v>
      </c>
      <c r="X5" s="563" t="s">
        <v>72</v>
      </c>
      <c r="Y5" s="563" t="s">
        <v>107</v>
      </c>
      <c r="Z5" s="563" t="s">
        <v>104</v>
      </c>
      <c r="AA5" s="563" t="s">
        <v>109</v>
      </c>
      <c r="AB5" s="563" t="s">
        <v>222</v>
      </c>
      <c r="AC5" s="563" t="s">
        <v>218</v>
      </c>
      <c r="AD5" s="563" t="s">
        <v>218</v>
      </c>
      <c r="AE5" s="563" t="s">
        <v>218</v>
      </c>
      <c r="AF5" s="563" t="s">
        <v>218</v>
      </c>
      <c r="AG5" s="563" t="s">
        <v>72</v>
      </c>
      <c r="AH5" s="563" t="s">
        <v>72</v>
      </c>
      <c r="AI5" s="563" t="s">
        <v>107</v>
      </c>
      <c r="AJ5" s="563" t="s">
        <v>104</v>
      </c>
      <c r="AK5" s="563" t="s">
        <v>109</v>
      </c>
      <c r="AL5" s="563" t="s">
        <v>222</v>
      </c>
      <c r="AM5" s="563" t="s">
        <v>218</v>
      </c>
      <c r="AN5" s="563" t="s">
        <v>218</v>
      </c>
      <c r="AO5" s="563" t="s">
        <v>218</v>
      </c>
      <c r="AP5" s="563" t="s">
        <v>218</v>
      </c>
      <c r="AQ5" s="563" t="s">
        <v>72</v>
      </c>
      <c r="AR5" s="563" t="s">
        <v>72</v>
      </c>
      <c r="AS5" s="563" t="s">
        <v>107</v>
      </c>
      <c r="AT5" s="563" t="s">
        <v>104</v>
      </c>
      <c r="AU5" s="566" t="s">
        <v>109</v>
      </c>
      <c r="AV5" s="563" t="s">
        <v>222</v>
      </c>
      <c r="AW5" s="563" t="s">
        <v>218</v>
      </c>
      <c r="AX5" s="563" t="s">
        <v>218</v>
      </c>
      <c r="AY5" s="563" t="s">
        <v>218</v>
      </c>
      <c r="AZ5" s="563" t="s">
        <v>218</v>
      </c>
      <c r="BD5" s="566"/>
      <c r="BE5" s="566"/>
      <c r="BF5" s="568"/>
      <c r="BG5" s="568" t="s">
        <v>515</v>
      </c>
    </row>
    <row r="6" spans="2:59">
      <c r="C6" s="563" t="s">
        <v>110</v>
      </c>
      <c r="D6" s="569" t="s">
        <v>110</v>
      </c>
      <c r="E6" s="563" t="s">
        <v>111</v>
      </c>
      <c r="F6" s="566" t="s">
        <v>112</v>
      </c>
      <c r="G6" s="563" t="s">
        <v>108</v>
      </c>
      <c r="M6" s="563" t="s">
        <v>110</v>
      </c>
      <c r="N6" s="569" t="s">
        <v>110</v>
      </c>
      <c r="O6" s="563" t="s">
        <v>111</v>
      </c>
      <c r="P6" s="563" t="s">
        <v>224</v>
      </c>
      <c r="Q6" s="563" t="s">
        <v>108</v>
      </c>
      <c r="W6" s="563" t="s">
        <v>110</v>
      </c>
      <c r="X6" s="563" t="s">
        <v>110</v>
      </c>
      <c r="Y6" s="563" t="s">
        <v>111</v>
      </c>
      <c r="Z6" s="563" t="s">
        <v>224</v>
      </c>
      <c r="AA6" s="563" t="s">
        <v>108</v>
      </c>
      <c r="AG6" s="563" t="s">
        <v>110</v>
      </c>
      <c r="AH6" s="563" t="s">
        <v>110</v>
      </c>
      <c r="AI6" s="563" t="s">
        <v>111</v>
      </c>
      <c r="AJ6" s="563" t="s">
        <v>224</v>
      </c>
      <c r="AK6" s="563" t="s">
        <v>108</v>
      </c>
      <c r="AQ6" s="563" t="s">
        <v>110</v>
      </c>
      <c r="AR6" s="563" t="s">
        <v>110</v>
      </c>
      <c r="AS6" s="563" t="s">
        <v>111</v>
      </c>
      <c r="AT6" s="563" t="s">
        <v>224</v>
      </c>
      <c r="AU6" s="566" t="s">
        <v>108</v>
      </c>
      <c r="BD6" s="566"/>
      <c r="BE6" s="566"/>
      <c r="BF6" s="568"/>
      <c r="BG6" s="568"/>
    </row>
    <row r="7" spans="2:59">
      <c r="B7" s="563" t="s">
        <v>225</v>
      </c>
      <c r="C7" s="570"/>
      <c r="D7" s="569"/>
      <c r="E7" s="571" t="e">
        <v>#DIV/0!</v>
      </c>
      <c r="F7" s="563">
        <f>G7/G$112</f>
        <v>0</v>
      </c>
      <c r="G7" s="571">
        <v>0</v>
      </c>
      <c r="H7" s="563" t="e">
        <f>I7+J7+K7+L7+R7</f>
        <v>#DIV/0!</v>
      </c>
      <c r="I7" s="563" t="e">
        <v>#DIV/0!</v>
      </c>
      <c r="J7" s="563" t="e">
        <v>#DIV/0!</v>
      </c>
      <c r="K7" s="563" t="e">
        <v>#DIV/0!</v>
      </c>
      <c r="L7" s="572" t="e">
        <v>#DIV/0!</v>
      </c>
      <c r="M7" s="570" t="e">
        <f>N7*Z7</f>
        <v>#DIV/0!</v>
      </c>
      <c r="N7" s="569" t="e">
        <f>((O7/Y7)-1)*100</f>
        <v>#DIV/0!</v>
      </c>
      <c r="O7" s="571" t="e">
        <v>#DIV/0!</v>
      </c>
      <c r="Q7" s="571">
        <v>0</v>
      </c>
      <c r="R7" s="563" t="e">
        <f>(S7+T7+U7+V7+AB7)</f>
        <v>#DIV/0!</v>
      </c>
      <c r="S7" s="572" t="e">
        <v>#DIV/0!</v>
      </c>
      <c r="T7" s="563" t="e">
        <v>#DIV/0!</v>
      </c>
      <c r="U7" s="563" t="e">
        <v>#DIV/0!</v>
      </c>
      <c r="V7" s="563" t="e">
        <v>#DIV/0!</v>
      </c>
      <c r="W7" s="570" t="e">
        <f>X7*AJ7</f>
        <v>#DIV/0!</v>
      </c>
      <c r="X7" s="573" t="e">
        <f>((Y7/AI7)-1)*100</f>
        <v>#DIV/0!</v>
      </c>
      <c r="Y7" s="574" t="e">
        <v>#DIV/0!</v>
      </c>
      <c r="Z7" s="563">
        <f t="shared" ref="Z7:Z13" si="0">AA7/$AA$112</f>
        <v>0</v>
      </c>
      <c r="AA7" s="571">
        <v>0</v>
      </c>
      <c r="AB7" s="563" t="e">
        <f>(AC7+AD7+AE7+AF7+AL7)</f>
        <v>#DIV/0!</v>
      </c>
      <c r="AC7" s="563" t="e">
        <v>#DIV/0!</v>
      </c>
      <c r="AD7" s="563" t="e">
        <v>#DIV/0!</v>
      </c>
      <c r="AE7" s="571" t="e">
        <v>#DIV/0!</v>
      </c>
      <c r="AF7" s="563" t="e">
        <v>#DIV/0!</v>
      </c>
      <c r="AG7" s="575" t="e">
        <f>AH7*AT7</f>
        <v>#DIV/0!</v>
      </c>
      <c r="AH7" s="573" t="e">
        <f>((AI7/AS7)-1)*100</f>
        <v>#DIV/0!</v>
      </c>
      <c r="AI7" s="576" t="e">
        <v>#DIV/0!</v>
      </c>
      <c r="AJ7" s="563">
        <f t="shared" ref="AJ7:AJ32" si="1">AK7/$AK$112</f>
        <v>0</v>
      </c>
      <c r="AK7" s="571">
        <v>0</v>
      </c>
      <c r="AL7" s="563" t="e">
        <f t="shared" ref="AL7:AL13" si="2">AM7+AN7+AO7+AP7+AV7</f>
        <v>#DIV/0!</v>
      </c>
      <c r="AM7" s="563" t="e">
        <v>#DIV/0!</v>
      </c>
      <c r="AN7" s="563" t="e">
        <v>#DIV/0!</v>
      </c>
      <c r="AO7" s="563" t="e">
        <v>#DIV/0!</v>
      </c>
      <c r="AP7" s="571" t="e">
        <v>#DIV/0!</v>
      </c>
      <c r="AQ7" s="563" t="e">
        <f>AR7*BG7</f>
        <v>#DIV/0!</v>
      </c>
      <c r="AR7" s="563" t="e">
        <v>#DIV/0!</v>
      </c>
      <c r="AS7" s="563" t="e">
        <v>#DIV/0!</v>
      </c>
      <c r="AT7" s="563">
        <f t="shared" ref="AT7:AT32" si="3">AU7/$AU$112</f>
        <v>0</v>
      </c>
      <c r="AU7" s="577">
        <v>0</v>
      </c>
      <c r="AV7" s="563" t="e">
        <f>AW7+AX7+AY7+AZ7</f>
        <v>#DIV/0!</v>
      </c>
      <c r="AW7" s="563" t="e">
        <v>#DIV/0!</v>
      </c>
      <c r="AX7" s="563" t="e">
        <v>#DIV/0!</v>
      </c>
      <c r="AY7" s="571" t="e">
        <v>#DIV/0!</v>
      </c>
      <c r="AZ7" s="563" t="e">
        <v>#DIV/0!</v>
      </c>
      <c r="BF7" s="293">
        <f>BD7*BE7</f>
        <v>0</v>
      </c>
      <c r="BG7" s="578"/>
    </row>
    <row r="8" spans="2:59">
      <c r="B8" s="579" t="s">
        <v>113</v>
      </c>
      <c r="C8" s="570">
        <f>D8*P8</f>
        <v>0.86903233921183887</v>
      </c>
      <c r="D8" s="569">
        <f>((E8/O8)-1)*100</f>
        <v>18.03910868587284</v>
      </c>
      <c r="E8" s="571">
        <v>110.74947953286566</v>
      </c>
      <c r="F8" s="563">
        <f t="shared" ref="F8:F71" si="4">G8/G$112</f>
        <v>4.756279195525312E-2</v>
      </c>
      <c r="G8" s="571">
        <v>49085.624633480002</v>
      </c>
      <c r="H8" s="563">
        <f t="shared" ref="H8:H71" si="5">I8+J8+K8+L8+R8</f>
        <v>0.2007966988275578</v>
      </c>
      <c r="I8" s="563">
        <v>1.1987343601434398E-2</v>
      </c>
      <c r="J8" s="563">
        <v>1.0109704605711136E-2</v>
      </c>
      <c r="K8" s="563">
        <v>1.1704532752719056E-2</v>
      </c>
      <c r="L8" s="572">
        <v>1.1806802756076915E-2</v>
      </c>
      <c r="M8" s="570">
        <f t="shared" ref="M8:M71" si="6">N8*Z8</f>
        <v>-0.54375592525522021</v>
      </c>
      <c r="N8" s="569">
        <f t="shared" ref="N8:N71" si="7">((O8/Y8)-1)*100</f>
        <v>-10.912291479308644</v>
      </c>
      <c r="O8" s="571">
        <v>93.82439495336547</v>
      </c>
      <c r="P8" s="563">
        <f t="shared" ref="P8:P22" si="8">Q8/Q$112</f>
        <v>4.8174904555700886E-2</v>
      </c>
      <c r="Q8" s="571">
        <v>42271.751453600002</v>
      </c>
      <c r="R8" s="563">
        <f t="shared" ref="R8:R71" si="9">(S8+T8+U8+V8+AB8)</f>
        <v>0.15518831511161629</v>
      </c>
      <c r="S8" s="572">
        <v>1.2382042841634865E-2</v>
      </c>
      <c r="T8" s="563">
        <v>1.2472441893281849E-2</v>
      </c>
      <c r="U8" s="563">
        <v>1.1033483231949437E-2</v>
      </c>
      <c r="V8" s="563">
        <v>1.0117831497823379E-2</v>
      </c>
      <c r="W8" s="570">
        <f t="shared" ref="W8:W71" si="10">X8*AJ8</f>
        <v>0.46017993182533595</v>
      </c>
      <c r="X8" s="573">
        <f t="shared" ref="X8:X71" si="11">((Y8/AI8)-1)*100</f>
        <v>10.364854085911478</v>
      </c>
      <c r="Y8" s="574">
        <v>105.31687986067571</v>
      </c>
      <c r="Z8" s="563">
        <f t="shared" si="0"/>
        <v>4.9829673839473926E-2</v>
      </c>
      <c r="AA8" s="571">
        <v>48778.682110199996</v>
      </c>
      <c r="AB8" s="563">
        <f t="shared" ref="AB8:AB71" si="12">(AC8+AD8+AE8+AF8+AL8)</f>
        <v>0.10918251564692677</v>
      </c>
      <c r="AC8" s="563">
        <v>9.6118342867712349E-3</v>
      </c>
      <c r="AD8" s="563">
        <v>9.8322266589581705E-3</v>
      </c>
      <c r="AE8" s="571">
        <v>8.7882133443644948E-3</v>
      </c>
      <c r="AF8" s="563">
        <v>8.3852927723354516E-3</v>
      </c>
      <c r="AG8" s="575">
        <f>AH8*AT8</f>
        <v>0.56346012398947443</v>
      </c>
      <c r="AH8" s="573">
        <f>((AI8/AS8)-1)*100</f>
        <v>10.67444155278352</v>
      </c>
      <c r="AI8" s="576">
        <v>95.426103475562741</v>
      </c>
      <c r="AJ8" s="563">
        <f t="shared" si="1"/>
        <v>4.4398109998561357E-2</v>
      </c>
      <c r="AK8" s="571">
        <v>44594.760509599997</v>
      </c>
      <c r="AL8" s="563">
        <f t="shared" si="2"/>
        <v>7.2564948584497413E-2</v>
      </c>
      <c r="AM8" s="563">
        <v>9.3214558205672194E-3</v>
      </c>
      <c r="AN8" s="563">
        <v>9.6044944414710471E-3</v>
      </c>
      <c r="AO8" s="563">
        <v>9.1373826175860737E-3</v>
      </c>
      <c r="AP8" s="571">
        <v>9.0464793495038161E-3</v>
      </c>
      <c r="AQ8" s="563">
        <f t="shared" ref="AQ8:AQ71" si="13">AR8*BG8</f>
        <v>0.90270587691101978</v>
      </c>
      <c r="AR8" s="563">
        <v>17.197701786477658</v>
      </c>
      <c r="AS8" s="563">
        <v>86.222349204311598</v>
      </c>
      <c r="AT8" s="563">
        <f t="shared" si="3"/>
        <v>5.2785911206993656E-2</v>
      </c>
      <c r="AU8" s="577">
        <v>46672.727103340003</v>
      </c>
      <c r="AV8" s="563">
        <f t="shared" ref="AV8:AV32" si="14">AW8+AX8+AY8+AZ8</f>
        <v>3.5455136355369246E-2</v>
      </c>
      <c r="AW8" s="563">
        <v>9.1207808701699016E-3</v>
      </c>
      <c r="AX8" s="563">
        <v>8.7156866291355044E-3</v>
      </c>
      <c r="AY8" s="571">
        <v>8.8664808090520887E-3</v>
      </c>
      <c r="AZ8" s="563">
        <v>8.7521880470117514E-3</v>
      </c>
      <c r="BD8" s="580">
        <v>493.83903400000003</v>
      </c>
      <c r="BE8" s="563">
        <v>94.51</v>
      </c>
      <c r="BF8" s="362">
        <f>BD8*BE8</f>
        <v>46672.727103340003</v>
      </c>
      <c r="BG8" s="578">
        <f>+BF8/$BF$112</f>
        <v>5.2489913368587791E-2</v>
      </c>
    </row>
    <row r="9" spans="2:59">
      <c r="B9" s="563" t="s">
        <v>226</v>
      </c>
      <c r="C9" s="570"/>
      <c r="D9" s="569"/>
      <c r="E9" s="571" t="e">
        <v>#DIV/0!</v>
      </c>
      <c r="G9" s="571">
        <v>0</v>
      </c>
      <c r="H9" s="563" t="e">
        <f t="shared" si="5"/>
        <v>#DIV/0!</v>
      </c>
      <c r="I9" s="563" t="e">
        <v>#DIV/0!</v>
      </c>
      <c r="J9" s="563" t="e">
        <v>#DIV/0!</v>
      </c>
      <c r="K9" s="563" t="e">
        <v>#DIV/0!</v>
      </c>
      <c r="L9" s="572" t="e">
        <v>#DIV/0!</v>
      </c>
      <c r="O9" s="571">
        <v>0</v>
      </c>
      <c r="Q9" s="571">
        <v>0</v>
      </c>
      <c r="S9" s="572" t="e">
        <v>#VALUE!</v>
      </c>
      <c r="T9" s="563" t="e">
        <v>#VALUE!</v>
      </c>
      <c r="U9" s="563" t="e">
        <v>#VALUE!</v>
      </c>
      <c r="V9" s="563" t="e">
        <v>#VALUE!</v>
      </c>
      <c r="W9" s="570" t="s">
        <v>96</v>
      </c>
      <c r="X9" s="573" t="s">
        <v>96</v>
      </c>
      <c r="Y9" s="574" t="e">
        <v>#VALUE!</v>
      </c>
      <c r="Z9" s="563">
        <f t="shared" si="0"/>
        <v>0</v>
      </c>
      <c r="AA9" s="571">
        <v>0</v>
      </c>
      <c r="AB9" s="563" t="s">
        <v>96</v>
      </c>
      <c r="AC9" s="563" t="e">
        <v>#DIV/0!</v>
      </c>
      <c r="AD9" s="563" t="e">
        <v>#DIV/0!</v>
      </c>
      <c r="AE9" s="571" t="e">
        <v>#DIV/0!</v>
      </c>
      <c r="AF9" s="563" t="e">
        <v>#DIV/0!</v>
      </c>
      <c r="AG9" s="575"/>
      <c r="AH9" s="573"/>
      <c r="AI9" s="576" t="e">
        <v>#DIV/0!</v>
      </c>
      <c r="AJ9" s="563">
        <f t="shared" si="1"/>
        <v>0</v>
      </c>
      <c r="AK9" s="571">
        <v>0</v>
      </c>
      <c r="AL9" s="563" t="e">
        <f t="shared" si="2"/>
        <v>#DIV/0!</v>
      </c>
      <c r="AM9" s="563" t="e">
        <v>#DIV/0!</v>
      </c>
      <c r="AN9" s="563" t="e">
        <v>#DIV/0!</v>
      </c>
      <c r="AO9" s="563" t="e">
        <v>#DIV/0!</v>
      </c>
      <c r="AP9" s="571" t="e">
        <v>#DIV/0!</v>
      </c>
      <c r="AQ9" s="563" t="e">
        <f t="shared" si="13"/>
        <v>#DIV/0!</v>
      </c>
      <c r="AR9" s="563" t="e">
        <v>#DIV/0!</v>
      </c>
      <c r="AS9" s="563" t="e">
        <v>#DIV/0!</v>
      </c>
      <c r="AT9" s="563">
        <f t="shared" si="3"/>
        <v>0</v>
      </c>
      <c r="AU9" s="577">
        <v>0</v>
      </c>
      <c r="AV9" s="563" t="e">
        <f t="shared" si="14"/>
        <v>#DIV/0!</v>
      </c>
      <c r="AW9" s="563" t="e">
        <v>#DIV/0!</v>
      </c>
      <c r="AX9" s="563" t="e">
        <v>#DIV/0!</v>
      </c>
      <c r="AY9" s="571" t="e">
        <v>#DIV/0!</v>
      </c>
      <c r="AZ9" s="563" t="e">
        <v>#DIV/0!</v>
      </c>
      <c r="BD9" s="580"/>
      <c r="BF9" s="362">
        <f t="shared" ref="BF9:BF72" si="15">BD9*BE9</f>
        <v>0</v>
      </c>
      <c r="BG9" s="578"/>
    </row>
    <row r="10" spans="2:59">
      <c r="B10" s="563" t="s">
        <v>227</v>
      </c>
      <c r="C10" s="570"/>
      <c r="D10" s="569"/>
      <c r="E10" s="571" t="e">
        <v>#DIV/0!</v>
      </c>
      <c r="F10" s="563">
        <f t="shared" si="4"/>
        <v>0</v>
      </c>
      <c r="G10" s="571">
        <v>0</v>
      </c>
      <c r="H10" s="563" t="e">
        <f t="shared" si="5"/>
        <v>#DIV/0!</v>
      </c>
      <c r="I10" s="563" t="e">
        <v>#DIV/0!</v>
      </c>
      <c r="J10" s="563" t="e">
        <v>#DIV/0!</v>
      </c>
      <c r="K10" s="563" t="e">
        <v>#DIV/0!</v>
      </c>
      <c r="L10" s="572" t="e">
        <v>#DIV/0!</v>
      </c>
      <c r="M10" s="570" t="e">
        <f t="shared" si="6"/>
        <v>#DIV/0!</v>
      </c>
      <c r="N10" s="569" t="e">
        <f t="shared" si="7"/>
        <v>#DIV/0!</v>
      </c>
      <c r="O10" s="571" t="e">
        <v>#DIV/0!</v>
      </c>
      <c r="Q10" s="571">
        <v>0</v>
      </c>
      <c r="R10" s="563" t="e">
        <f t="shared" si="9"/>
        <v>#DIV/0!</v>
      </c>
      <c r="S10" s="572" t="e">
        <v>#DIV/0!</v>
      </c>
      <c r="T10" s="563" t="e">
        <v>#DIV/0!</v>
      </c>
      <c r="U10" s="563" t="e">
        <v>#DIV/0!</v>
      </c>
      <c r="V10" s="563" t="e">
        <v>#DIV/0!</v>
      </c>
      <c r="W10" s="570" t="e">
        <f t="shared" si="10"/>
        <v>#DIV/0!</v>
      </c>
      <c r="X10" s="573" t="e">
        <f t="shared" si="11"/>
        <v>#DIV/0!</v>
      </c>
      <c r="Y10" s="574" t="e">
        <v>#DIV/0!</v>
      </c>
      <c r="Z10" s="563">
        <f t="shared" si="0"/>
        <v>0</v>
      </c>
      <c r="AA10" s="571">
        <v>0</v>
      </c>
      <c r="AB10" s="563" t="e">
        <f t="shared" si="12"/>
        <v>#DIV/0!</v>
      </c>
      <c r="AC10" s="563" t="e">
        <v>#DIV/0!</v>
      </c>
      <c r="AD10" s="563" t="e">
        <v>#DIV/0!</v>
      </c>
      <c r="AE10" s="571" t="e">
        <v>#DIV/0!</v>
      </c>
      <c r="AF10" s="563" t="e">
        <v>#DIV/0!</v>
      </c>
      <c r="AG10" s="575" t="e">
        <f>AH10*AT10</f>
        <v>#DIV/0!</v>
      </c>
      <c r="AH10" s="573" t="e">
        <f>((AI10/AS10)-1)*100</f>
        <v>#DIV/0!</v>
      </c>
      <c r="AI10" s="576" t="e">
        <v>#DIV/0!</v>
      </c>
      <c r="AJ10" s="563">
        <f t="shared" si="1"/>
        <v>0</v>
      </c>
      <c r="AK10" s="571">
        <v>0</v>
      </c>
      <c r="AL10" s="563" t="e">
        <f t="shared" si="2"/>
        <v>#DIV/0!</v>
      </c>
      <c r="AM10" s="563" t="e">
        <v>#DIV/0!</v>
      </c>
      <c r="AN10" s="563" t="e">
        <v>#DIV/0!</v>
      </c>
      <c r="AO10" s="563" t="e">
        <v>#DIV/0!</v>
      </c>
      <c r="AP10" s="571" t="e">
        <v>#DIV/0!</v>
      </c>
      <c r="AQ10" s="563" t="e">
        <f t="shared" si="13"/>
        <v>#DIV/0!</v>
      </c>
      <c r="AR10" s="563" t="e">
        <v>#DIV/0!</v>
      </c>
      <c r="AS10" s="563" t="e">
        <v>#DIV/0!</v>
      </c>
      <c r="AT10" s="563">
        <f t="shared" si="3"/>
        <v>0</v>
      </c>
      <c r="AU10" s="577">
        <v>0</v>
      </c>
      <c r="AV10" s="563" t="e">
        <f t="shared" si="14"/>
        <v>#DIV/0!</v>
      </c>
      <c r="AW10" s="563" t="e">
        <v>#DIV/0!</v>
      </c>
      <c r="AX10" s="563" t="e">
        <v>#DIV/0!</v>
      </c>
      <c r="AY10" s="571" t="e">
        <v>#DIV/0!</v>
      </c>
      <c r="AZ10" s="563" t="e">
        <v>#DIV/0!</v>
      </c>
      <c r="BD10" s="580"/>
      <c r="BF10" s="362">
        <f t="shared" si="15"/>
        <v>0</v>
      </c>
      <c r="BG10" s="578"/>
    </row>
    <row r="11" spans="2:59">
      <c r="B11" s="579" t="s">
        <v>114</v>
      </c>
      <c r="C11" s="570">
        <f>D11*P11</f>
        <v>5.5882887835537368E-2</v>
      </c>
      <c r="D11" s="569">
        <f>((E11/O11)-1)*100</f>
        <v>13.502211956654087</v>
      </c>
      <c r="E11" s="571">
        <v>71.043507349770053</v>
      </c>
      <c r="F11" s="563">
        <f t="shared" si="4"/>
        <v>3.9976655023407351E-3</v>
      </c>
      <c r="G11" s="571">
        <v>4125.66</v>
      </c>
      <c r="H11" s="563">
        <f t="shared" si="5"/>
        <v>0.21400388499265288</v>
      </c>
      <c r="I11" s="563">
        <v>1.3336192753848645E-2</v>
      </c>
      <c r="J11" s="563">
        <v>1.2634515136072895E-2</v>
      </c>
      <c r="K11" s="563">
        <v>1.403273787237462E-2</v>
      </c>
      <c r="L11" s="572">
        <v>1.3811769873298314E-2</v>
      </c>
      <c r="M11" s="570">
        <f t="shared" si="6"/>
        <v>-9.2550233093131568E-2</v>
      </c>
      <c r="N11" s="569">
        <f t="shared" si="7"/>
        <v>-19.8533183112906</v>
      </c>
      <c r="O11" s="571">
        <v>62.592178711813304</v>
      </c>
      <c r="P11" s="563">
        <f t="shared" si="8"/>
        <v>4.1387950370603884E-3</v>
      </c>
      <c r="Q11" s="571">
        <v>3631.6442500000003</v>
      </c>
      <c r="R11" s="563">
        <f t="shared" si="9"/>
        <v>0.16018866935705839</v>
      </c>
      <c r="S11" s="572">
        <v>1.3286631577611752E-2</v>
      </c>
      <c r="T11" s="563">
        <v>1.399616857584993E-2</v>
      </c>
      <c r="U11" s="563">
        <v>1.16295666954463E-2</v>
      </c>
      <c r="V11" s="563">
        <v>1.0997217560888096E-2</v>
      </c>
      <c r="W11" s="570">
        <f t="shared" si="10"/>
        <v>1.3629644356896568E-2</v>
      </c>
      <c r="X11" s="573">
        <f t="shared" si="11"/>
        <v>3.0626604051728679</v>
      </c>
      <c r="Y11" s="574">
        <v>78.097030835190438</v>
      </c>
      <c r="Z11" s="563">
        <f t="shared" si="0"/>
        <v>4.6617009631331084E-3</v>
      </c>
      <c r="AA11" s="571">
        <v>4563.3778400000001</v>
      </c>
      <c r="AB11" s="563">
        <f t="shared" si="12"/>
        <v>0.11027908494726231</v>
      </c>
      <c r="AC11" s="563">
        <v>9.7784038341723247E-3</v>
      </c>
      <c r="AD11" s="563">
        <v>9.5835770986064904E-3</v>
      </c>
      <c r="AE11" s="571">
        <v>8.8474841803123806E-3</v>
      </c>
      <c r="AF11" s="563">
        <v>8.2951932461680332E-3</v>
      </c>
      <c r="AG11" s="575">
        <f>AH11*AT11</f>
        <v>0.10212723504562971</v>
      </c>
      <c r="AH11" s="573">
        <f>((AI11/AS11)-1)*100</f>
        <v>18.855449950289362</v>
      </c>
      <c r="AI11" s="576">
        <v>75.776261284315382</v>
      </c>
      <c r="AJ11" s="563">
        <f t="shared" si="1"/>
        <v>4.4502630242242809E-3</v>
      </c>
      <c r="AK11" s="571">
        <v>4469.9743699999999</v>
      </c>
      <c r="AL11" s="563">
        <f t="shared" si="2"/>
        <v>7.3774426588003081E-2</v>
      </c>
      <c r="AM11" s="563">
        <v>8.9776685705032222E-3</v>
      </c>
      <c r="AN11" s="563">
        <v>9.5003579673097124E-3</v>
      </c>
      <c r="AO11" s="563">
        <v>9.0073640913718184E-3</v>
      </c>
      <c r="AP11" s="571">
        <v>8.77928722531718E-3</v>
      </c>
      <c r="AQ11" s="563">
        <f t="shared" si="13"/>
        <v>3.2659551818339211E-2</v>
      </c>
      <c r="AR11" s="563">
        <v>6.063839726623943</v>
      </c>
      <c r="AS11" s="563">
        <v>63.75497405967365</v>
      </c>
      <c r="AT11" s="563">
        <f t="shared" si="3"/>
        <v>5.4163244746149603E-3</v>
      </c>
      <c r="AU11" s="577">
        <v>4789.0550400000002</v>
      </c>
      <c r="AV11" s="563">
        <f t="shared" si="14"/>
        <v>3.7509748733501151E-2</v>
      </c>
      <c r="AW11" s="563">
        <v>9.4524390556224823E-3</v>
      </c>
      <c r="AX11" s="563">
        <v>1.0180669332302919E-2</v>
      </c>
      <c r="AY11" s="571">
        <v>9.521181966690849E-3</v>
      </c>
      <c r="AZ11" s="563">
        <v>8.3554583788848988E-3</v>
      </c>
      <c r="BD11" s="580">
        <v>60.975999999999999</v>
      </c>
      <c r="BE11" s="563">
        <v>78.540000000000006</v>
      </c>
      <c r="BF11" s="362">
        <f t="shared" si="15"/>
        <v>4789.0550400000002</v>
      </c>
      <c r="BG11" s="578">
        <f>+BF11/$BF$112</f>
        <v>5.3859523487970705E-3</v>
      </c>
    </row>
    <row r="12" spans="2:59">
      <c r="B12" s="563" t="s">
        <v>69</v>
      </c>
      <c r="C12" s="570"/>
      <c r="D12" s="569"/>
      <c r="E12" s="571" t="e">
        <v>#DIV/0!</v>
      </c>
      <c r="F12" s="563">
        <f t="shared" si="4"/>
        <v>0</v>
      </c>
      <c r="G12" s="571">
        <v>0</v>
      </c>
      <c r="H12" s="563" t="e">
        <f t="shared" si="5"/>
        <v>#DIV/0!</v>
      </c>
      <c r="I12" s="563" t="e">
        <v>#DIV/0!</v>
      </c>
      <c r="J12" s="563" t="e">
        <v>#DIV/0!</v>
      </c>
      <c r="K12" s="563" t="e">
        <v>#DIV/0!</v>
      </c>
      <c r="L12" s="572" t="e">
        <v>#DIV/0!</v>
      </c>
      <c r="M12" s="570" t="e">
        <f t="shared" si="6"/>
        <v>#DIV/0!</v>
      </c>
      <c r="N12" s="569" t="e">
        <f t="shared" si="7"/>
        <v>#DIV/0!</v>
      </c>
      <c r="O12" s="571" t="e">
        <v>#DIV/0!</v>
      </c>
      <c r="P12" s="563">
        <f t="shared" si="8"/>
        <v>0</v>
      </c>
      <c r="Q12" s="571">
        <v>0</v>
      </c>
      <c r="R12" s="563" t="e">
        <f t="shared" si="9"/>
        <v>#DIV/0!</v>
      </c>
      <c r="S12" s="572" t="e">
        <v>#DIV/0!</v>
      </c>
      <c r="T12" s="563" t="e">
        <v>#DIV/0!</v>
      </c>
      <c r="U12" s="563" t="e">
        <v>#DIV/0!</v>
      </c>
      <c r="V12" s="563" t="e">
        <v>#DIV/0!</v>
      </c>
      <c r="W12" s="570" t="e">
        <f t="shared" si="10"/>
        <v>#DIV/0!</v>
      </c>
      <c r="X12" s="573" t="e">
        <f t="shared" si="11"/>
        <v>#DIV/0!</v>
      </c>
      <c r="Y12" s="574" t="e">
        <v>#DIV/0!</v>
      </c>
      <c r="Z12" s="563">
        <f t="shared" si="0"/>
        <v>0</v>
      </c>
      <c r="AA12" s="571">
        <v>0</v>
      </c>
      <c r="AB12" s="563" t="e">
        <f t="shared" si="12"/>
        <v>#DIV/0!</v>
      </c>
      <c r="AC12" s="563" t="e">
        <v>#DIV/0!</v>
      </c>
      <c r="AD12" s="563" t="e">
        <v>#DIV/0!</v>
      </c>
      <c r="AE12" s="571" t="e">
        <v>#DIV/0!</v>
      </c>
      <c r="AF12" s="563" t="e">
        <v>#DIV/0!</v>
      </c>
      <c r="AG12" s="575" t="e">
        <f>AH12*AT12</f>
        <v>#DIV/0!</v>
      </c>
      <c r="AH12" s="573" t="e">
        <f>((AI12/AS12)-1)*100</f>
        <v>#DIV/0!</v>
      </c>
      <c r="AI12" s="576" t="e">
        <v>#DIV/0!</v>
      </c>
      <c r="AJ12" s="563">
        <f t="shared" si="1"/>
        <v>0</v>
      </c>
      <c r="AK12" s="571">
        <v>0</v>
      </c>
      <c r="AL12" s="563" t="e">
        <f t="shared" si="2"/>
        <v>#DIV/0!</v>
      </c>
      <c r="AM12" s="563" t="e">
        <v>#DIV/0!</v>
      </c>
      <c r="AN12" s="563" t="e">
        <v>#DIV/0!</v>
      </c>
      <c r="AO12" s="563" t="e">
        <v>#DIV/0!</v>
      </c>
      <c r="AP12" s="571" t="e">
        <v>#DIV/0!</v>
      </c>
      <c r="AQ12" s="563" t="e">
        <f t="shared" si="13"/>
        <v>#DIV/0!</v>
      </c>
      <c r="AR12" s="563" t="e">
        <v>#DIV/0!</v>
      </c>
      <c r="AS12" s="563" t="e">
        <v>#DIV/0!</v>
      </c>
      <c r="AT12" s="563">
        <f t="shared" si="3"/>
        <v>0</v>
      </c>
      <c r="AU12" s="577">
        <v>0</v>
      </c>
      <c r="AV12" s="563" t="e">
        <f t="shared" si="14"/>
        <v>#DIV/0!</v>
      </c>
      <c r="AW12" s="563" t="e">
        <v>#DIV/0!</v>
      </c>
      <c r="AX12" s="563" t="e">
        <v>#DIV/0!</v>
      </c>
      <c r="AY12" s="571" t="e">
        <v>#DIV/0!</v>
      </c>
      <c r="AZ12" s="563" t="e">
        <v>#DIV/0!</v>
      </c>
      <c r="BD12" s="580"/>
      <c r="BF12" s="362">
        <f t="shared" si="15"/>
        <v>0</v>
      </c>
      <c r="BG12" s="578"/>
    </row>
    <row r="13" spans="2:59">
      <c r="B13" s="563" t="s">
        <v>115</v>
      </c>
      <c r="C13" s="570"/>
      <c r="D13" s="569"/>
      <c r="E13" s="571" t="e">
        <v>#DIV/0!</v>
      </c>
      <c r="F13" s="563">
        <f t="shared" si="4"/>
        <v>0</v>
      </c>
      <c r="G13" s="571">
        <v>0</v>
      </c>
      <c r="H13" s="563" t="e">
        <f t="shared" si="5"/>
        <v>#DIV/0!</v>
      </c>
      <c r="I13" s="563" t="e">
        <v>#DIV/0!</v>
      </c>
      <c r="J13" s="563" t="e">
        <v>#DIV/0!</v>
      </c>
      <c r="K13" s="563" t="e">
        <v>#DIV/0!</v>
      </c>
      <c r="L13" s="572" t="e">
        <v>#DIV/0!</v>
      </c>
      <c r="M13" s="570" t="e">
        <f t="shared" si="6"/>
        <v>#DIV/0!</v>
      </c>
      <c r="N13" s="569" t="e">
        <f t="shared" si="7"/>
        <v>#DIV/0!</v>
      </c>
      <c r="O13" s="571" t="e">
        <v>#DIV/0!</v>
      </c>
      <c r="P13" s="563">
        <f t="shared" si="8"/>
        <v>0</v>
      </c>
      <c r="Q13" s="571">
        <v>0</v>
      </c>
      <c r="R13" s="563" t="e">
        <f t="shared" si="9"/>
        <v>#DIV/0!</v>
      </c>
      <c r="S13" s="572" t="e">
        <v>#DIV/0!</v>
      </c>
      <c r="T13" s="563" t="e">
        <v>#DIV/0!</v>
      </c>
      <c r="U13" s="563" t="e">
        <v>#DIV/0!</v>
      </c>
      <c r="V13" s="563" t="e">
        <v>#DIV/0!</v>
      </c>
      <c r="W13" s="570" t="e">
        <f t="shared" si="10"/>
        <v>#DIV/0!</v>
      </c>
      <c r="X13" s="573" t="e">
        <f t="shared" si="11"/>
        <v>#DIV/0!</v>
      </c>
      <c r="Y13" s="574" t="e">
        <v>#DIV/0!</v>
      </c>
      <c r="Z13" s="563">
        <f t="shared" si="0"/>
        <v>0</v>
      </c>
      <c r="AA13" s="571">
        <v>0</v>
      </c>
      <c r="AB13" s="563" t="e">
        <f t="shared" si="12"/>
        <v>#DIV/0!</v>
      </c>
      <c r="AC13" s="563" t="e">
        <v>#DIV/0!</v>
      </c>
      <c r="AD13" s="563" t="e">
        <v>#DIV/0!</v>
      </c>
      <c r="AE13" s="571" t="e">
        <v>#DIV/0!</v>
      </c>
      <c r="AF13" s="563" t="e">
        <v>#DIV/0!</v>
      </c>
      <c r="AG13" s="575" t="e">
        <f>AH13*AT13</f>
        <v>#DIV/0!</v>
      </c>
      <c r="AH13" s="573" t="e">
        <f>((AI13/AS13)-1)*100</f>
        <v>#DIV/0!</v>
      </c>
      <c r="AI13" s="576" t="e">
        <v>#DIV/0!</v>
      </c>
      <c r="AJ13" s="563">
        <f t="shared" si="1"/>
        <v>0</v>
      </c>
      <c r="AK13" s="571">
        <v>0</v>
      </c>
      <c r="AL13" s="563" t="e">
        <f t="shared" si="2"/>
        <v>#DIV/0!</v>
      </c>
      <c r="AM13" s="563" t="e">
        <v>#DIV/0!</v>
      </c>
      <c r="AN13" s="563" t="e">
        <v>#DIV/0!</v>
      </c>
      <c r="AO13" s="563" t="e">
        <v>#DIV/0!</v>
      </c>
      <c r="AP13" s="571" t="e">
        <v>#DIV/0!</v>
      </c>
      <c r="AQ13" s="563" t="e">
        <f t="shared" si="13"/>
        <v>#DIV/0!</v>
      </c>
      <c r="AR13" s="563" t="e">
        <v>#DIV/0!</v>
      </c>
      <c r="AS13" s="563" t="e">
        <v>#DIV/0!</v>
      </c>
      <c r="AT13" s="563">
        <f t="shared" si="3"/>
        <v>0</v>
      </c>
      <c r="AU13" s="577">
        <v>0</v>
      </c>
      <c r="AV13" s="563" t="e">
        <f t="shared" si="14"/>
        <v>#DIV/0!</v>
      </c>
      <c r="AW13" s="563" t="e">
        <v>#DIV/0!</v>
      </c>
      <c r="AX13" s="563" t="e">
        <v>#DIV/0!</v>
      </c>
      <c r="AY13" s="571" t="e">
        <v>#DIV/0!</v>
      </c>
      <c r="AZ13" s="563" t="e">
        <v>#DIV/0!</v>
      </c>
      <c r="BD13" s="580"/>
      <c r="BF13" s="362">
        <f t="shared" si="15"/>
        <v>0</v>
      </c>
      <c r="BG13" s="578"/>
    </row>
    <row r="14" spans="2:59">
      <c r="B14" s="563" t="s">
        <v>228</v>
      </c>
      <c r="C14" s="570"/>
      <c r="D14" s="569"/>
      <c r="E14" s="571" t="e">
        <v>#DIV/0!</v>
      </c>
      <c r="G14" s="571">
        <v>0</v>
      </c>
      <c r="H14" s="563" t="e">
        <f t="shared" si="5"/>
        <v>#DIV/0!</v>
      </c>
      <c r="I14" s="563" t="e">
        <v>#DIV/0!</v>
      </c>
      <c r="J14" s="563" t="e">
        <v>#DIV/0!</v>
      </c>
      <c r="K14" s="563" t="e">
        <v>#DIV/0!</v>
      </c>
      <c r="L14" s="572" t="e">
        <v>#DIV/0!</v>
      </c>
      <c r="N14" s="569"/>
      <c r="O14" s="571">
        <v>0</v>
      </c>
      <c r="Q14" s="571">
        <v>0</v>
      </c>
      <c r="S14" s="572" t="e">
        <v>#DIV/0!</v>
      </c>
      <c r="T14" s="563" t="e">
        <v>#DIV/0!</v>
      </c>
      <c r="U14" s="563" t="e">
        <v>#DIV/0!</v>
      </c>
      <c r="V14" s="563" t="e">
        <v>#DIV/0!</v>
      </c>
      <c r="W14" s="570"/>
      <c r="X14" s="573"/>
      <c r="Y14" s="574">
        <v>0</v>
      </c>
      <c r="AA14" s="571">
        <v>0</v>
      </c>
      <c r="AC14" s="563" t="e">
        <v>#VALUE!</v>
      </c>
      <c r="AD14" s="563" t="e">
        <v>#VALUE!</v>
      </c>
      <c r="AE14" s="571" t="e">
        <v>#VALUE!</v>
      </c>
      <c r="AF14" s="563" t="e">
        <v>#VALUE!</v>
      </c>
      <c r="AG14" s="575" t="s">
        <v>96</v>
      </c>
      <c r="AH14" s="573" t="s">
        <v>96</v>
      </c>
      <c r="AI14" s="576" t="e">
        <v>#VALUE!</v>
      </c>
      <c r="AJ14" s="563">
        <f t="shared" si="1"/>
        <v>0</v>
      </c>
      <c r="AK14" s="571">
        <v>0</v>
      </c>
      <c r="AL14" s="563" t="s">
        <v>96</v>
      </c>
      <c r="AM14" s="563" t="e">
        <v>#DIV/0!</v>
      </c>
      <c r="AN14" s="563" t="e">
        <v>#DIV/0!</v>
      </c>
      <c r="AO14" s="563" t="e">
        <v>#DIV/0!</v>
      </c>
      <c r="AP14" s="571" t="e">
        <v>#DIV/0!</v>
      </c>
      <c r="AQ14" s="563" t="e">
        <f t="shared" si="13"/>
        <v>#DIV/0!</v>
      </c>
      <c r="AR14" s="563" t="e">
        <v>#DIV/0!</v>
      </c>
      <c r="AS14" s="563" t="e">
        <v>#DIV/0!</v>
      </c>
      <c r="AT14" s="563">
        <f t="shared" si="3"/>
        <v>0</v>
      </c>
      <c r="AU14" s="577">
        <v>0</v>
      </c>
      <c r="AV14" s="563" t="e">
        <f t="shared" si="14"/>
        <v>#DIV/0!</v>
      </c>
      <c r="AW14" s="563" t="e">
        <v>#DIV/0!</v>
      </c>
      <c r="AX14" s="563" t="e">
        <v>#DIV/0!</v>
      </c>
      <c r="AY14" s="571" t="e">
        <v>#DIV/0!</v>
      </c>
      <c r="AZ14" s="563" t="e">
        <v>#DIV/0!</v>
      </c>
      <c r="BD14" s="580"/>
      <c r="BF14" s="362">
        <f t="shared" si="15"/>
        <v>0</v>
      </c>
      <c r="BG14" s="578"/>
    </row>
    <row r="15" spans="2:59">
      <c r="B15" s="563" t="s">
        <v>229</v>
      </c>
      <c r="C15" s="570"/>
      <c r="D15" s="569"/>
      <c r="E15" s="571" t="e">
        <v>#DIV/0!</v>
      </c>
      <c r="G15" s="571">
        <v>0</v>
      </c>
      <c r="H15" s="563" t="e">
        <f t="shared" si="5"/>
        <v>#DIV/0!</v>
      </c>
      <c r="I15" s="563" t="e">
        <v>#DIV/0!</v>
      </c>
      <c r="J15" s="563" t="e">
        <v>#DIV/0!</v>
      </c>
      <c r="K15" s="563" t="e">
        <v>#DIV/0!</v>
      </c>
      <c r="L15" s="572" t="e">
        <v>#DIV/0!</v>
      </c>
      <c r="M15" s="570"/>
      <c r="N15" s="569"/>
      <c r="O15" s="571" t="e">
        <v>#DIV/0!</v>
      </c>
      <c r="Q15" s="571">
        <v>0</v>
      </c>
      <c r="R15" s="563" t="e">
        <f t="shared" si="9"/>
        <v>#DIV/0!</v>
      </c>
      <c r="S15" s="572" t="e">
        <v>#DIV/0!</v>
      </c>
      <c r="T15" s="563" t="e">
        <v>#DIV/0!</v>
      </c>
      <c r="U15" s="563" t="e">
        <v>#DIV/0!</v>
      </c>
      <c r="V15" s="563" t="e">
        <v>#DIV/0!</v>
      </c>
      <c r="W15" s="570" t="e">
        <f t="shared" si="10"/>
        <v>#DIV/0!</v>
      </c>
      <c r="X15" s="573" t="e">
        <f t="shared" si="11"/>
        <v>#DIV/0!</v>
      </c>
      <c r="Y15" s="574" t="e">
        <v>#DIV/0!</v>
      </c>
      <c r="Z15" s="563">
        <f t="shared" ref="Z15:Z32" si="16">AA15/$AA$112</f>
        <v>0</v>
      </c>
      <c r="AA15" s="571">
        <v>0</v>
      </c>
      <c r="AB15" s="563" t="e">
        <f t="shared" si="12"/>
        <v>#DIV/0!</v>
      </c>
      <c r="AC15" s="563" t="e">
        <v>#DIV/0!</v>
      </c>
      <c r="AD15" s="563" t="e">
        <v>#DIV/0!</v>
      </c>
      <c r="AE15" s="571" t="e">
        <v>#DIV/0!</v>
      </c>
      <c r="AF15" s="563" t="e">
        <v>#DIV/0!</v>
      </c>
      <c r="AG15" s="575" t="e">
        <f t="shared" ref="AG15:AG23" si="17">AH15*AT15</f>
        <v>#DIV/0!</v>
      </c>
      <c r="AH15" s="573" t="e">
        <f t="shared" ref="AH15:AH23" si="18">((AI15/AS15)-1)*100</f>
        <v>#DIV/0!</v>
      </c>
      <c r="AI15" s="576" t="e">
        <v>#DIV/0!</v>
      </c>
      <c r="AJ15" s="563">
        <f t="shared" si="1"/>
        <v>0</v>
      </c>
      <c r="AK15" s="571">
        <v>0</v>
      </c>
      <c r="AL15" s="563" t="e">
        <f t="shared" ref="AL15:AL32" si="19">AM15+AN15+AO15+AP15+AV15</f>
        <v>#DIV/0!</v>
      </c>
      <c r="AM15" s="563" t="e">
        <v>#DIV/0!</v>
      </c>
      <c r="AN15" s="563" t="e">
        <v>#DIV/0!</v>
      </c>
      <c r="AO15" s="563" t="e">
        <v>#DIV/0!</v>
      </c>
      <c r="AP15" s="571" t="e">
        <v>#DIV/0!</v>
      </c>
      <c r="AQ15" s="563" t="e">
        <f t="shared" si="13"/>
        <v>#DIV/0!</v>
      </c>
      <c r="AR15" s="563" t="e">
        <v>#DIV/0!</v>
      </c>
      <c r="AS15" s="563" t="e">
        <v>#DIV/0!</v>
      </c>
      <c r="AT15" s="563">
        <f t="shared" si="3"/>
        <v>0</v>
      </c>
      <c r="AU15" s="577">
        <v>0</v>
      </c>
      <c r="AV15" s="563" t="e">
        <f t="shared" si="14"/>
        <v>#DIV/0!</v>
      </c>
      <c r="AW15" s="563" t="e">
        <v>#DIV/0!</v>
      </c>
      <c r="AX15" s="563" t="e">
        <v>#DIV/0!</v>
      </c>
      <c r="AY15" s="571" t="e">
        <v>#DIV/0!</v>
      </c>
      <c r="AZ15" s="563" t="e">
        <v>#DIV/0!</v>
      </c>
      <c r="BD15" s="580"/>
      <c r="BF15" s="362">
        <f t="shared" si="15"/>
        <v>0</v>
      </c>
      <c r="BG15" s="578"/>
    </row>
    <row r="16" spans="2:59">
      <c r="B16" s="563" t="s">
        <v>116</v>
      </c>
      <c r="C16" s="570"/>
      <c r="D16" s="569"/>
      <c r="E16" s="571" t="e">
        <v>#DIV/0!</v>
      </c>
      <c r="F16" s="563">
        <f t="shared" si="4"/>
        <v>0</v>
      </c>
      <c r="G16" s="571">
        <v>0</v>
      </c>
      <c r="H16" s="563" t="e">
        <f t="shared" si="5"/>
        <v>#DIV/0!</v>
      </c>
      <c r="I16" s="563" t="e">
        <v>#DIV/0!</v>
      </c>
      <c r="J16" s="563" t="e">
        <v>#DIV/0!</v>
      </c>
      <c r="K16" s="563" t="e">
        <v>#DIV/0!</v>
      </c>
      <c r="L16" s="572" t="e">
        <v>#DIV/0!</v>
      </c>
      <c r="M16" s="570" t="e">
        <f t="shared" si="6"/>
        <v>#DIV/0!</v>
      </c>
      <c r="N16" s="569" t="e">
        <f t="shared" si="7"/>
        <v>#DIV/0!</v>
      </c>
      <c r="O16" s="571" t="e">
        <v>#DIV/0!</v>
      </c>
      <c r="P16" s="563">
        <f t="shared" si="8"/>
        <v>0</v>
      </c>
      <c r="Q16" s="571">
        <v>0</v>
      </c>
      <c r="R16" s="563" t="e">
        <f t="shared" si="9"/>
        <v>#DIV/0!</v>
      </c>
      <c r="S16" s="572" t="e">
        <v>#DIV/0!</v>
      </c>
      <c r="T16" s="563" t="e">
        <v>#DIV/0!</v>
      </c>
      <c r="U16" s="563" t="e">
        <v>#DIV/0!</v>
      </c>
      <c r="V16" s="563" t="e">
        <v>#DIV/0!</v>
      </c>
      <c r="W16" s="570" t="e">
        <f t="shared" si="10"/>
        <v>#DIV/0!</v>
      </c>
      <c r="X16" s="573" t="e">
        <f t="shared" si="11"/>
        <v>#DIV/0!</v>
      </c>
      <c r="Y16" s="574" t="e">
        <v>#DIV/0!</v>
      </c>
      <c r="Z16" s="563">
        <f t="shared" si="16"/>
        <v>0</v>
      </c>
      <c r="AA16" s="571">
        <v>0</v>
      </c>
      <c r="AB16" s="563" t="e">
        <f t="shared" si="12"/>
        <v>#DIV/0!</v>
      </c>
      <c r="AC16" s="563" t="e">
        <v>#DIV/0!</v>
      </c>
      <c r="AD16" s="563" t="e">
        <v>#DIV/0!</v>
      </c>
      <c r="AE16" s="571" t="e">
        <v>#DIV/0!</v>
      </c>
      <c r="AF16" s="563" t="e">
        <v>#DIV/0!</v>
      </c>
      <c r="AG16" s="575" t="e">
        <f t="shared" si="17"/>
        <v>#DIV/0!</v>
      </c>
      <c r="AH16" s="573" t="e">
        <f t="shared" si="18"/>
        <v>#DIV/0!</v>
      </c>
      <c r="AI16" s="576" t="e">
        <v>#DIV/0!</v>
      </c>
      <c r="AJ16" s="563">
        <f t="shared" si="1"/>
        <v>0</v>
      </c>
      <c r="AK16" s="571">
        <v>0</v>
      </c>
      <c r="AL16" s="563" t="e">
        <f t="shared" si="19"/>
        <v>#DIV/0!</v>
      </c>
      <c r="AM16" s="563" t="e">
        <v>#DIV/0!</v>
      </c>
      <c r="AN16" s="563" t="e">
        <v>#DIV/0!</v>
      </c>
      <c r="AO16" s="563" t="e">
        <v>#DIV/0!</v>
      </c>
      <c r="AP16" s="571" t="e">
        <v>#DIV/0!</v>
      </c>
      <c r="AQ16" s="563" t="e">
        <f t="shared" si="13"/>
        <v>#DIV/0!</v>
      </c>
      <c r="AR16" s="563" t="e">
        <v>#DIV/0!</v>
      </c>
      <c r="AS16" s="563" t="e">
        <v>#DIV/0!</v>
      </c>
      <c r="AT16" s="563">
        <f t="shared" si="3"/>
        <v>0</v>
      </c>
      <c r="AU16" s="577">
        <v>0</v>
      </c>
      <c r="AV16" s="563" t="e">
        <f t="shared" si="14"/>
        <v>#DIV/0!</v>
      </c>
      <c r="AW16" s="563" t="e">
        <v>#DIV/0!</v>
      </c>
      <c r="AX16" s="563" t="e">
        <v>#DIV/0!</v>
      </c>
      <c r="AY16" s="571" t="e">
        <v>#DIV/0!</v>
      </c>
      <c r="AZ16" s="563" t="e">
        <v>#DIV/0!</v>
      </c>
      <c r="BD16" s="580"/>
      <c r="BF16" s="362">
        <f t="shared" si="15"/>
        <v>0</v>
      </c>
      <c r="BG16" s="578">
        <f>+BF16/$BF$112</f>
        <v>0</v>
      </c>
    </row>
    <row r="17" spans="2:59">
      <c r="B17" s="563" t="s">
        <v>230</v>
      </c>
      <c r="C17" s="570"/>
      <c r="D17" s="569"/>
      <c r="E17" s="571" t="e">
        <v>#DIV/0!</v>
      </c>
      <c r="G17" s="571">
        <v>0</v>
      </c>
      <c r="H17" s="563" t="e">
        <f t="shared" si="5"/>
        <v>#DIV/0!</v>
      </c>
      <c r="I17" s="563" t="e">
        <v>#DIV/0!</v>
      </c>
      <c r="J17" s="563" t="e">
        <v>#DIV/0!</v>
      </c>
      <c r="K17" s="563" t="e">
        <v>#DIV/0!</v>
      </c>
      <c r="L17" s="572" t="e">
        <v>#DIV/0!</v>
      </c>
      <c r="M17" s="570"/>
      <c r="N17" s="569"/>
      <c r="O17" s="571" t="e">
        <v>#DIV/0!</v>
      </c>
      <c r="Q17" s="571">
        <v>0</v>
      </c>
      <c r="R17" s="563" t="e">
        <f t="shared" si="9"/>
        <v>#DIV/0!</v>
      </c>
      <c r="S17" s="572" t="e">
        <v>#DIV/0!</v>
      </c>
      <c r="T17" s="563" t="e">
        <v>#DIV/0!</v>
      </c>
      <c r="U17" s="563" t="e">
        <v>#DIV/0!</v>
      </c>
      <c r="V17" s="563" t="e">
        <v>#DIV/0!</v>
      </c>
      <c r="W17" s="570" t="e">
        <f t="shared" si="10"/>
        <v>#DIV/0!</v>
      </c>
      <c r="X17" s="573" t="e">
        <f t="shared" si="11"/>
        <v>#DIV/0!</v>
      </c>
      <c r="Y17" s="574" t="e">
        <v>#DIV/0!</v>
      </c>
      <c r="Z17" s="563">
        <f t="shared" si="16"/>
        <v>0</v>
      </c>
      <c r="AA17" s="571">
        <v>0</v>
      </c>
      <c r="AB17" s="563" t="e">
        <f t="shared" si="12"/>
        <v>#DIV/0!</v>
      </c>
      <c r="AC17" s="563" t="e">
        <v>#DIV/0!</v>
      </c>
      <c r="AD17" s="563" t="e">
        <v>#DIV/0!</v>
      </c>
      <c r="AE17" s="571" t="e">
        <v>#DIV/0!</v>
      </c>
      <c r="AF17" s="563" t="e">
        <v>#DIV/0!</v>
      </c>
      <c r="AG17" s="575" t="e">
        <f t="shared" si="17"/>
        <v>#DIV/0!</v>
      </c>
      <c r="AH17" s="573" t="e">
        <f t="shared" si="18"/>
        <v>#DIV/0!</v>
      </c>
      <c r="AI17" s="576" t="e">
        <v>#DIV/0!</v>
      </c>
      <c r="AJ17" s="563">
        <f t="shared" si="1"/>
        <v>0</v>
      </c>
      <c r="AK17" s="571">
        <v>0</v>
      </c>
      <c r="AL17" s="563" t="e">
        <f t="shared" si="19"/>
        <v>#DIV/0!</v>
      </c>
      <c r="AM17" s="563" t="e">
        <v>#DIV/0!</v>
      </c>
      <c r="AN17" s="563" t="e">
        <v>#DIV/0!</v>
      </c>
      <c r="AO17" s="563" t="e">
        <v>#DIV/0!</v>
      </c>
      <c r="AP17" s="571" t="e">
        <v>#DIV/0!</v>
      </c>
      <c r="AQ17" s="563" t="e">
        <f t="shared" si="13"/>
        <v>#DIV/0!</v>
      </c>
      <c r="AR17" s="563" t="e">
        <v>#DIV/0!</v>
      </c>
      <c r="AS17" s="563" t="e">
        <v>#DIV/0!</v>
      </c>
      <c r="AT17" s="563">
        <f t="shared" si="3"/>
        <v>0</v>
      </c>
      <c r="AU17" s="577">
        <v>0</v>
      </c>
      <c r="AV17" s="563" t="e">
        <f t="shared" si="14"/>
        <v>#DIV/0!</v>
      </c>
      <c r="AW17" s="563" t="e">
        <v>#DIV/0!</v>
      </c>
      <c r="AX17" s="563" t="e">
        <v>#DIV/0!</v>
      </c>
      <c r="AY17" s="571" t="e">
        <v>#DIV/0!</v>
      </c>
      <c r="AZ17" s="563" t="e">
        <v>#DIV/0!</v>
      </c>
      <c r="BD17" s="580"/>
      <c r="BF17" s="362">
        <f t="shared" si="15"/>
        <v>0</v>
      </c>
      <c r="BG17" s="578"/>
    </row>
    <row r="18" spans="2:59">
      <c r="B18" s="563" t="s">
        <v>117</v>
      </c>
      <c r="C18" s="570"/>
      <c r="D18" s="569"/>
      <c r="E18" s="571" t="e">
        <v>#DIV/0!</v>
      </c>
      <c r="F18" s="563">
        <f t="shared" si="4"/>
        <v>0</v>
      </c>
      <c r="G18" s="571">
        <v>0</v>
      </c>
      <c r="H18" s="563" t="e">
        <f t="shared" si="5"/>
        <v>#DIV/0!</v>
      </c>
      <c r="I18" s="563" t="e">
        <v>#DIV/0!</v>
      </c>
      <c r="J18" s="563" t="e">
        <v>#DIV/0!</v>
      </c>
      <c r="K18" s="563" t="e">
        <v>#DIV/0!</v>
      </c>
      <c r="L18" s="572" t="e">
        <v>#DIV/0!</v>
      </c>
      <c r="M18" s="570" t="e">
        <f t="shared" si="6"/>
        <v>#DIV/0!</v>
      </c>
      <c r="N18" s="569" t="e">
        <f t="shared" si="7"/>
        <v>#DIV/0!</v>
      </c>
      <c r="O18" s="571" t="e">
        <v>#DIV/0!</v>
      </c>
      <c r="P18" s="563">
        <f t="shared" si="8"/>
        <v>0</v>
      </c>
      <c r="Q18" s="571">
        <v>0</v>
      </c>
      <c r="R18" s="563" t="e">
        <f t="shared" si="9"/>
        <v>#DIV/0!</v>
      </c>
      <c r="S18" s="572" t="e">
        <v>#DIV/0!</v>
      </c>
      <c r="T18" s="563" t="e">
        <v>#DIV/0!</v>
      </c>
      <c r="U18" s="563" t="e">
        <v>#DIV/0!</v>
      </c>
      <c r="V18" s="563" t="e">
        <v>#DIV/0!</v>
      </c>
      <c r="W18" s="570" t="e">
        <f t="shared" si="10"/>
        <v>#DIV/0!</v>
      </c>
      <c r="X18" s="573" t="e">
        <f t="shared" si="11"/>
        <v>#DIV/0!</v>
      </c>
      <c r="Y18" s="574" t="e">
        <v>#DIV/0!</v>
      </c>
      <c r="Z18" s="563">
        <f t="shared" si="16"/>
        <v>0</v>
      </c>
      <c r="AA18" s="571">
        <v>0</v>
      </c>
      <c r="AB18" s="563" t="e">
        <f t="shared" si="12"/>
        <v>#DIV/0!</v>
      </c>
      <c r="AC18" s="563" t="e">
        <v>#DIV/0!</v>
      </c>
      <c r="AD18" s="563" t="e">
        <v>#DIV/0!</v>
      </c>
      <c r="AE18" s="571" t="e">
        <v>#DIV/0!</v>
      </c>
      <c r="AF18" s="563" t="e">
        <v>#DIV/0!</v>
      </c>
      <c r="AG18" s="575" t="e">
        <f t="shared" si="17"/>
        <v>#DIV/0!</v>
      </c>
      <c r="AH18" s="573" t="e">
        <f t="shared" si="18"/>
        <v>#DIV/0!</v>
      </c>
      <c r="AI18" s="576" t="e">
        <v>#DIV/0!</v>
      </c>
      <c r="AJ18" s="563">
        <f t="shared" si="1"/>
        <v>0</v>
      </c>
      <c r="AK18" s="571">
        <v>0</v>
      </c>
      <c r="AL18" s="563" t="e">
        <f t="shared" si="19"/>
        <v>#DIV/0!</v>
      </c>
      <c r="AM18" s="563" t="e">
        <v>#DIV/0!</v>
      </c>
      <c r="AN18" s="563" t="e">
        <v>#DIV/0!</v>
      </c>
      <c r="AO18" s="563" t="e">
        <v>#DIV/0!</v>
      </c>
      <c r="AP18" s="571" t="e">
        <v>#DIV/0!</v>
      </c>
      <c r="AQ18" s="563" t="e">
        <f t="shared" si="13"/>
        <v>#DIV/0!</v>
      </c>
      <c r="AR18" s="563" t="e">
        <v>#DIV/0!</v>
      </c>
      <c r="AS18" s="563" t="e">
        <v>#DIV/0!</v>
      </c>
      <c r="AT18" s="563">
        <f t="shared" si="3"/>
        <v>0</v>
      </c>
      <c r="AU18" s="577">
        <v>0</v>
      </c>
      <c r="AV18" s="563" t="e">
        <f t="shared" si="14"/>
        <v>#DIV/0!</v>
      </c>
      <c r="AW18" s="563" t="e">
        <v>#DIV/0!</v>
      </c>
      <c r="AX18" s="563" t="e">
        <v>#DIV/0!</v>
      </c>
      <c r="AY18" s="571" t="e">
        <v>#DIV/0!</v>
      </c>
      <c r="AZ18" s="563" t="e">
        <v>#DIV/0!</v>
      </c>
      <c r="BD18" s="580"/>
      <c r="BF18" s="362">
        <f t="shared" si="15"/>
        <v>0</v>
      </c>
      <c r="BG18" s="578"/>
    </row>
    <row r="19" spans="2:59">
      <c r="B19" s="563" t="s">
        <v>231</v>
      </c>
      <c r="C19" s="570"/>
      <c r="D19" s="569"/>
      <c r="E19" s="571" t="e">
        <v>#DIV/0!</v>
      </c>
      <c r="G19" s="571">
        <v>0</v>
      </c>
      <c r="H19" s="563" t="e">
        <f t="shared" si="5"/>
        <v>#DIV/0!</v>
      </c>
      <c r="I19" s="563" t="e">
        <v>#DIV/0!</v>
      </c>
      <c r="J19" s="563" t="e">
        <v>#DIV/0!</v>
      </c>
      <c r="K19" s="563" t="e">
        <v>#DIV/0!</v>
      </c>
      <c r="L19" s="572" t="e">
        <v>#DIV/0!</v>
      </c>
      <c r="M19" s="570"/>
      <c r="N19" s="569"/>
      <c r="O19" s="571" t="e">
        <v>#DIV/0!</v>
      </c>
      <c r="Q19" s="571">
        <v>0</v>
      </c>
      <c r="R19" s="563" t="e">
        <f t="shared" si="9"/>
        <v>#DIV/0!</v>
      </c>
      <c r="S19" s="572" t="e">
        <v>#DIV/0!</v>
      </c>
      <c r="T19" s="563" t="e">
        <v>#DIV/0!</v>
      </c>
      <c r="U19" s="563" t="e">
        <v>#DIV/0!</v>
      </c>
      <c r="V19" s="563" t="e">
        <v>#DIV/0!</v>
      </c>
      <c r="W19" s="570" t="e">
        <f t="shared" si="10"/>
        <v>#DIV/0!</v>
      </c>
      <c r="X19" s="573" t="e">
        <f t="shared" si="11"/>
        <v>#DIV/0!</v>
      </c>
      <c r="Y19" s="574" t="e">
        <v>#DIV/0!</v>
      </c>
      <c r="Z19" s="563">
        <f t="shared" si="16"/>
        <v>0</v>
      </c>
      <c r="AA19" s="571">
        <v>0</v>
      </c>
      <c r="AB19" s="563" t="e">
        <f t="shared" si="12"/>
        <v>#DIV/0!</v>
      </c>
      <c r="AC19" s="563" t="e">
        <v>#DIV/0!</v>
      </c>
      <c r="AD19" s="563" t="e">
        <v>#DIV/0!</v>
      </c>
      <c r="AE19" s="571" t="e">
        <v>#DIV/0!</v>
      </c>
      <c r="AF19" s="563" t="e">
        <v>#DIV/0!</v>
      </c>
      <c r="AG19" s="575" t="e">
        <f t="shared" si="17"/>
        <v>#DIV/0!</v>
      </c>
      <c r="AH19" s="573" t="e">
        <f t="shared" si="18"/>
        <v>#DIV/0!</v>
      </c>
      <c r="AI19" s="576" t="e">
        <v>#DIV/0!</v>
      </c>
      <c r="AJ19" s="563">
        <f t="shared" si="1"/>
        <v>0</v>
      </c>
      <c r="AK19" s="571">
        <v>0</v>
      </c>
      <c r="AL19" s="563" t="e">
        <f t="shared" si="19"/>
        <v>#DIV/0!</v>
      </c>
      <c r="AM19" s="563" t="e">
        <v>#DIV/0!</v>
      </c>
      <c r="AN19" s="563" t="e">
        <v>#DIV/0!</v>
      </c>
      <c r="AO19" s="563" t="e">
        <v>#DIV/0!</v>
      </c>
      <c r="AP19" s="571" t="e">
        <v>#DIV/0!</v>
      </c>
      <c r="AQ19" s="563" t="e">
        <f t="shared" si="13"/>
        <v>#DIV/0!</v>
      </c>
      <c r="AR19" s="563" t="e">
        <v>#DIV/0!</v>
      </c>
      <c r="AS19" s="563" t="e">
        <v>#DIV/0!</v>
      </c>
      <c r="AT19" s="563">
        <f t="shared" si="3"/>
        <v>0</v>
      </c>
      <c r="AU19" s="577">
        <v>0</v>
      </c>
      <c r="AV19" s="563" t="e">
        <f t="shared" si="14"/>
        <v>#DIV/0!</v>
      </c>
      <c r="AW19" s="563" t="e">
        <v>#DIV/0!</v>
      </c>
      <c r="AX19" s="563" t="e">
        <v>#DIV/0!</v>
      </c>
      <c r="AY19" s="571" t="e">
        <v>#DIV/0!</v>
      </c>
      <c r="AZ19" s="563" t="e">
        <v>#DIV/0!</v>
      </c>
      <c r="BD19" s="580"/>
      <c r="BF19" s="362">
        <f t="shared" si="15"/>
        <v>0</v>
      </c>
      <c r="BG19" s="578"/>
    </row>
    <row r="20" spans="2:59">
      <c r="B20" s="563" t="s">
        <v>232</v>
      </c>
      <c r="C20" s="570"/>
      <c r="D20" s="569"/>
      <c r="E20" s="571" t="e">
        <v>#DIV/0!</v>
      </c>
      <c r="F20" s="563">
        <f t="shared" si="4"/>
        <v>0</v>
      </c>
      <c r="G20" s="571">
        <v>0</v>
      </c>
      <c r="H20" s="563" t="e">
        <f t="shared" si="5"/>
        <v>#DIV/0!</v>
      </c>
      <c r="I20" s="563" t="e">
        <v>#DIV/0!</v>
      </c>
      <c r="J20" s="563" t="e">
        <v>#DIV/0!</v>
      </c>
      <c r="K20" s="563" t="e">
        <v>#DIV/0!</v>
      </c>
      <c r="L20" s="572" t="e">
        <v>#DIV/0!</v>
      </c>
      <c r="M20" s="570" t="e">
        <f t="shared" si="6"/>
        <v>#DIV/0!</v>
      </c>
      <c r="N20" s="569" t="e">
        <f t="shared" si="7"/>
        <v>#DIV/0!</v>
      </c>
      <c r="O20" s="571" t="e">
        <v>#DIV/0!</v>
      </c>
      <c r="Q20" s="571">
        <v>0</v>
      </c>
      <c r="R20" s="563" t="e">
        <f t="shared" si="9"/>
        <v>#DIV/0!</v>
      </c>
      <c r="S20" s="572" t="e">
        <v>#DIV/0!</v>
      </c>
      <c r="T20" s="563" t="e">
        <v>#DIV/0!</v>
      </c>
      <c r="U20" s="563" t="e">
        <v>#DIV/0!</v>
      </c>
      <c r="V20" s="563" t="e">
        <v>#DIV/0!</v>
      </c>
      <c r="W20" s="570" t="e">
        <f t="shared" si="10"/>
        <v>#DIV/0!</v>
      </c>
      <c r="X20" s="573" t="e">
        <f t="shared" si="11"/>
        <v>#DIV/0!</v>
      </c>
      <c r="Y20" s="574" t="e">
        <v>#DIV/0!</v>
      </c>
      <c r="Z20" s="563">
        <f t="shared" si="16"/>
        <v>0</v>
      </c>
      <c r="AA20" s="571">
        <v>0</v>
      </c>
      <c r="AB20" s="563" t="e">
        <f t="shared" si="12"/>
        <v>#DIV/0!</v>
      </c>
      <c r="AC20" s="563" t="e">
        <v>#DIV/0!</v>
      </c>
      <c r="AD20" s="563" t="e">
        <v>#DIV/0!</v>
      </c>
      <c r="AE20" s="571" t="e">
        <v>#DIV/0!</v>
      </c>
      <c r="AF20" s="563" t="e">
        <v>#DIV/0!</v>
      </c>
      <c r="AG20" s="575" t="e">
        <f t="shared" si="17"/>
        <v>#DIV/0!</v>
      </c>
      <c r="AH20" s="573" t="e">
        <f t="shared" si="18"/>
        <v>#DIV/0!</v>
      </c>
      <c r="AI20" s="576" t="e">
        <v>#DIV/0!</v>
      </c>
      <c r="AJ20" s="563">
        <f t="shared" si="1"/>
        <v>0</v>
      </c>
      <c r="AK20" s="571">
        <v>0</v>
      </c>
      <c r="AL20" s="563" t="e">
        <f t="shared" si="19"/>
        <v>#DIV/0!</v>
      </c>
      <c r="AM20" s="563" t="e">
        <v>#DIV/0!</v>
      </c>
      <c r="AN20" s="563" t="e">
        <v>#DIV/0!</v>
      </c>
      <c r="AO20" s="563" t="e">
        <v>#DIV/0!</v>
      </c>
      <c r="AP20" s="571" t="e">
        <v>#DIV/0!</v>
      </c>
      <c r="AQ20" s="563" t="e">
        <f t="shared" si="13"/>
        <v>#DIV/0!</v>
      </c>
      <c r="AR20" s="563" t="e">
        <v>#DIV/0!</v>
      </c>
      <c r="AS20" s="563" t="e">
        <v>#DIV/0!</v>
      </c>
      <c r="AT20" s="563">
        <f t="shared" si="3"/>
        <v>0</v>
      </c>
      <c r="AU20" s="577">
        <v>0</v>
      </c>
      <c r="AV20" s="563" t="e">
        <f t="shared" si="14"/>
        <v>#DIV/0!</v>
      </c>
      <c r="AW20" s="563" t="e">
        <v>#DIV/0!</v>
      </c>
      <c r="AX20" s="563" t="e">
        <v>#DIV/0!</v>
      </c>
      <c r="AY20" s="571" t="e">
        <v>#DIV/0!</v>
      </c>
      <c r="AZ20" s="563" t="e">
        <v>#DIV/0!</v>
      </c>
      <c r="BD20" s="580"/>
      <c r="BF20" s="362">
        <f t="shared" si="15"/>
        <v>0</v>
      </c>
      <c r="BG20" s="578"/>
    </row>
    <row r="21" spans="2:59">
      <c r="B21" s="579" t="s">
        <v>118</v>
      </c>
      <c r="C21" s="570">
        <f>D21*P21</f>
        <v>0.34753821313919481</v>
      </c>
      <c r="D21" s="569">
        <f>((E21/O21)-1)*100</f>
        <v>13.426002844596606</v>
      </c>
      <c r="E21" s="571">
        <v>142.74441461206052</v>
      </c>
      <c r="F21" s="563">
        <f t="shared" si="4"/>
        <v>2.4219797231808306E-2</v>
      </c>
      <c r="G21" s="571">
        <v>24995.25</v>
      </c>
      <c r="H21" s="563">
        <f t="shared" si="5"/>
        <v>0.18214836117648475</v>
      </c>
      <c r="I21" s="563">
        <v>1.0575687078811298E-2</v>
      </c>
      <c r="J21" s="563">
        <v>9.2328218154958449E-3</v>
      </c>
      <c r="K21" s="563">
        <v>1.0582760415315732E-2</v>
      </c>
      <c r="L21" s="572">
        <v>1.0381691708237887E-2</v>
      </c>
      <c r="M21" s="570">
        <f t="shared" si="6"/>
        <v>-6.3570736686027807E-2</v>
      </c>
      <c r="N21" s="569">
        <f t="shared" si="7"/>
        <v>-2.7434257906501336</v>
      </c>
      <c r="O21" s="571">
        <v>125.84805162148989</v>
      </c>
      <c r="P21" s="563">
        <f t="shared" si="8"/>
        <v>2.5885456539960747E-2</v>
      </c>
      <c r="Q21" s="571">
        <v>22713.56</v>
      </c>
      <c r="R21" s="563">
        <f t="shared" si="9"/>
        <v>0.14137540015862399</v>
      </c>
      <c r="S21" s="572">
        <v>1.0461924048901835E-2</v>
      </c>
      <c r="T21" s="563">
        <v>1.0746964168253912E-2</v>
      </c>
      <c r="U21" s="563">
        <v>9.6146216641442572E-3</v>
      </c>
      <c r="V21" s="563">
        <v>9.5735065772713165E-3</v>
      </c>
      <c r="W21" s="570">
        <f t="shared" si="10"/>
        <v>2.8675006899912207E-2</v>
      </c>
      <c r="X21" s="573">
        <f t="shared" si="11"/>
        <v>1.2483958712188548</v>
      </c>
      <c r="Y21" s="574">
        <v>129.39798943626718</v>
      </c>
      <c r="Z21" s="563">
        <f t="shared" si="16"/>
        <v>2.3172027070199299E-2</v>
      </c>
      <c r="AA21" s="571">
        <v>22683.29</v>
      </c>
      <c r="AB21" s="563">
        <f t="shared" si="12"/>
        <v>0.10097838370005266</v>
      </c>
      <c r="AC21" s="563">
        <v>8.8509434766678614E-3</v>
      </c>
      <c r="AD21" s="563">
        <v>8.3368506887281282E-3</v>
      </c>
      <c r="AE21" s="571">
        <v>7.5148248657356609E-3</v>
      </c>
      <c r="AF21" s="563">
        <v>7.1565727618016824E-3</v>
      </c>
      <c r="AG21" s="575">
        <f t="shared" si="17"/>
        <v>3.7006426510185604E-2</v>
      </c>
      <c r="AH21" s="573">
        <f t="shared" si="18"/>
        <v>1.3767731075508882</v>
      </c>
      <c r="AI21" s="576">
        <v>127.80250820057704</v>
      </c>
      <c r="AJ21" s="563">
        <f t="shared" si="1"/>
        <v>2.2969482326079583E-2</v>
      </c>
      <c r="AK21" s="571">
        <v>23071.22</v>
      </c>
      <c r="AL21" s="563">
        <f t="shared" si="19"/>
        <v>6.9119191907119321E-2</v>
      </c>
      <c r="AM21" s="563">
        <v>7.8569274223608092E-3</v>
      </c>
      <c r="AN21" s="563">
        <v>7.780169442395039E-3</v>
      </c>
      <c r="AO21" s="563">
        <v>6.6637740341955127E-3</v>
      </c>
      <c r="AP21" s="571">
        <v>8.4618951632994023E-3</v>
      </c>
      <c r="AQ21" s="563">
        <f t="shared" si="13"/>
        <v>0.40551275920308666</v>
      </c>
      <c r="AR21" s="563">
        <v>15.17161854725515</v>
      </c>
      <c r="AS21" s="563">
        <v>126.06685366182549</v>
      </c>
      <c r="AT21" s="563">
        <f t="shared" si="3"/>
        <v>2.6879103250364567E-2</v>
      </c>
      <c r="AU21" s="577">
        <v>23766.21</v>
      </c>
      <c r="AV21" s="563">
        <f t="shared" si="14"/>
        <v>3.8356425844868557E-2</v>
      </c>
      <c r="AW21" s="563">
        <v>9.1972465981605966E-3</v>
      </c>
      <c r="AX21" s="563">
        <v>8.9788989378711496E-3</v>
      </c>
      <c r="AY21" s="571">
        <v>9.5190188578522933E-3</v>
      </c>
      <c r="AZ21" s="563">
        <v>1.0661261450984521E-2</v>
      </c>
      <c r="BD21" s="580">
        <v>183</v>
      </c>
      <c r="BE21" s="563">
        <v>129.87</v>
      </c>
      <c r="BF21" s="362">
        <f t="shared" si="15"/>
        <v>23766.21</v>
      </c>
      <c r="BG21" s="578">
        <f>+BF21/$BF$112</f>
        <v>2.6728378250483503E-2</v>
      </c>
    </row>
    <row r="22" spans="2:59">
      <c r="B22" s="579" t="s">
        <v>556</v>
      </c>
      <c r="C22" s="570">
        <f>D22*P22</f>
        <v>0.92193531602669265</v>
      </c>
      <c r="D22" s="569">
        <f>((E22/O22)-1)*100</f>
        <v>20.56886376040832</v>
      </c>
      <c r="E22" s="571">
        <v>67.047160582101199</v>
      </c>
      <c r="F22" s="563">
        <f t="shared" si="4"/>
        <v>4.3786610496052605E-2</v>
      </c>
      <c r="G22" s="571">
        <v>45188.54</v>
      </c>
      <c r="H22" s="563">
        <f t="shared" si="5"/>
        <v>0.24484145158004458</v>
      </c>
      <c r="I22" s="563">
        <v>1.5238763356649027E-2</v>
      </c>
      <c r="J22" s="563">
        <v>1.404028216035781E-2</v>
      </c>
      <c r="K22" s="563">
        <v>1.633639514868028E-2</v>
      </c>
      <c r="L22" s="572">
        <v>1.6055425207548185E-2</v>
      </c>
      <c r="M22" s="570">
        <f t="shared" si="6"/>
        <v>-0.9978202954400508</v>
      </c>
      <c r="N22" s="569">
        <f t="shared" si="7"/>
        <v>-19.131798510740261</v>
      </c>
      <c r="O22" s="571">
        <v>55.609017528220036</v>
      </c>
      <c r="P22" s="563">
        <f t="shared" si="8"/>
        <v>4.4821888402084051E-2</v>
      </c>
      <c r="Q22" s="571">
        <v>39329.599999999999</v>
      </c>
      <c r="R22" s="563">
        <f t="shared" si="9"/>
        <v>0.18317058570680927</v>
      </c>
      <c r="S22" s="572">
        <v>1.6568235505518333E-2</v>
      </c>
      <c r="T22" s="563">
        <v>1.7175783154328352E-2</v>
      </c>
      <c r="U22" s="563">
        <v>1.4625977858339561E-2</v>
      </c>
      <c r="V22" s="563">
        <v>1.3388350373972091E-2</v>
      </c>
      <c r="W22" s="570">
        <f t="shared" si="10"/>
        <v>-1.2040434290658442</v>
      </c>
      <c r="X22" s="573">
        <f t="shared" si="11"/>
        <v>-19.035863727014213</v>
      </c>
      <c r="Y22" s="574">
        <v>68.7649984841144</v>
      </c>
      <c r="Z22" s="563">
        <f t="shared" si="16"/>
        <v>5.2155070255412307E-2</v>
      </c>
      <c r="AA22" s="571">
        <v>51055.031999999999</v>
      </c>
      <c r="AB22" s="563">
        <f t="shared" si="12"/>
        <v>0.12141223881465095</v>
      </c>
      <c r="AC22" s="563">
        <v>1.2075703479068835E-2</v>
      </c>
      <c r="AD22" s="563">
        <v>1.0612047398323258E-2</v>
      </c>
      <c r="AE22" s="571">
        <v>9.1130886980599554E-3</v>
      </c>
      <c r="AF22" s="563">
        <v>8.492957045595273E-3</v>
      </c>
      <c r="AG22" s="575">
        <f t="shared" si="17"/>
        <v>0.61016066136593206</v>
      </c>
      <c r="AH22" s="573">
        <f t="shared" si="18"/>
        <v>8.0124177997998647</v>
      </c>
      <c r="AI22" s="576">
        <v>84.932664818729492</v>
      </c>
      <c r="AJ22" s="563">
        <f t="shared" si="1"/>
        <v>6.3251315849522483E-2</v>
      </c>
      <c r="AK22" s="571">
        <v>63531.472000000009</v>
      </c>
      <c r="AL22" s="563">
        <f t="shared" si="19"/>
        <v>8.1118442193603632E-2</v>
      </c>
      <c r="AM22" s="563">
        <v>8.600891761358382E-3</v>
      </c>
      <c r="AN22" s="563">
        <v>9.1742845454489425E-3</v>
      </c>
      <c r="AO22" s="563">
        <v>9.028386219793556E-3</v>
      </c>
      <c r="AP22" s="571">
        <v>8.6723903145346885E-3</v>
      </c>
      <c r="AQ22" s="563">
        <f t="shared" si="13"/>
        <v>-0.22679013003969756</v>
      </c>
      <c r="AR22" s="563">
        <v>-2.9949232675726689</v>
      </c>
      <c r="AS22" s="563">
        <v>78.632315199305594</v>
      </c>
      <c r="AT22" s="563">
        <f t="shared" si="3"/>
        <v>7.6151877824091094E-2</v>
      </c>
      <c r="AU22" s="577">
        <v>67332.659999999989</v>
      </c>
      <c r="AV22" s="563">
        <f t="shared" si="14"/>
        <v>4.5642489352468063E-2</v>
      </c>
      <c r="AW22" s="563">
        <v>8.6872579228808519E-3</v>
      </c>
      <c r="AX22" s="563">
        <v>1.2204055559581969E-2</v>
      </c>
      <c r="AY22" s="571">
        <v>1.1729981798804247E-2</v>
      </c>
      <c r="AZ22" s="563">
        <v>1.3021194071200996E-2</v>
      </c>
      <c r="BD22" s="580">
        <v>813</v>
      </c>
      <c r="BE22" s="563">
        <v>82.82</v>
      </c>
      <c r="BF22" s="362">
        <f t="shared" si="15"/>
        <v>67332.659999999989</v>
      </c>
      <c r="BG22" s="578">
        <f>+BF22/$BF$112</f>
        <v>7.572485495546831E-2</v>
      </c>
    </row>
    <row r="23" spans="2:59">
      <c r="B23" s="579" t="s">
        <v>120</v>
      </c>
      <c r="C23" s="570">
        <f>D23*P23</f>
        <v>1.3205375060644045</v>
      </c>
      <c r="D23" s="569">
        <f>((E23/O23)-1)*100</f>
        <v>15.487273010956116</v>
      </c>
      <c r="E23" s="571">
        <v>132.26593068130441</v>
      </c>
      <c r="F23" s="563">
        <f t="shared" si="4"/>
        <v>8.0594849673393171E-2</v>
      </c>
      <c r="G23" s="571">
        <v>83175.28</v>
      </c>
      <c r="H23" s="563">
        <f t="shared" si="5"/>
        <v>0.22763997290982377</v>
      </c>
      <c r="I23" s="563">
        <v>1.1792836987551278E-2</v>
      </c>
      <c r="J23" s="563">
        <v>1.0920626215469291E-2</v>
      </c>
      <c r="K23" s="563">
        <v>1.2197419114606421E-2</v>
      </c>
      <c r="L23" s="572">
        <v>1.2508797440599597E-2</v>
      </c>
      <c r="M23" s="570">
        <f t="shared" si="6"/>
        <v>-0.12822130849137783</v>
      </c>
      <c r="N23" s="569">
        <f t="shared" si="7"/>
        <v>-1.5827650040909025</v>
      </c>
      <c r="O23" s="571">
        <v>114.528577247431</v>
      </c>
      <c r="P23" s="563">
        <f>Q23/Q$112</f>
        <v>8.5265979693792474E-2</v>
      </c>
      <c r="Q23" s="571">
        <v>74817.840000000011</v>
      </c>
      <c r="R23" s="563">
        <f t="shared" si="9"/>
        <v>0.18022029315159718</v>
      </c>
      <c r="S23" s="572">
        <v>1.2335958807733511E-2</v>
      </c>
      <c r="T23" s="563">
        <v>1.3407419417622895E-2</v>
      </c>
      <c r="U23" s="563">
        <v>1.2785820700874667E-2</v>
      </c>
      <c r="V23" s="563">
        <v>1.1771218770930935E-2</v>
      </c>
      <c r="W23" s="570">
        <f t="shared" si="10"/>
        <v>0.16232249842766586</v>
      </c>
      <c r="X23" s="573">
        <f t="shared" si="11"/>
        <v>2.0211392857948596</v>
      </c>
      <c r="Y23" s="574">
        <v>116.37044797305228</v>
      </c>
      <c r="Z23" s="563">
        <f t="shared" si="16"/>
        <v>8.1010957507886464E-2</v>
      </c>
      <c r="AA23" s="571">
        <v>79302.3</v>
      </c>
      <c r="AB23" s="563">
        <f t="shared" si="12"/>
        <v>0.12991987545443517</v>
      </c>
      <c r="AC23" s="563">
        <v>1.0919462232142961E-2</v>
      </c>
      <c r="AD23" s="563">
        <v>1.1960600003067307E-2</v>
      </c>
      <c r="AE23" s="571">
        <v>1.0078415971356685E-2</v>
      </c>
      <c r="AF23" s="563">
        <v>9.5921432490492266E-3</v>
      </c>
      <c r="AG23" s="575">
        <f t="shared" si="17"/>
        <v>1.4388814896861226</v>
      </c>
      <c r="AH23" s="573">
        <f t="shared" si="18"/>
        <v>19.133754456962325</v>
      </c>
      <c r="AI23" s="576">
        <v>114.06503474447611</v>
      </c>
      <c r="AJ23" s="563">
        <f t="shared" si="1"/>
        <v>8.0312376078439732E-2</v>
      </c>
      <c r="AK23" s="571">
        <v>80668.100000000006</v>
      </c>
      <c r="AL23" s="563">
        <f t="shared" si="19"/>
        <v>8.736925399881898E-2</v>
      </c>
      <c r="AM23" s="563">
        <v>1.0115301649797768E-2</v>
      </c>
      <c r="AN23" s="563">
        <v>1.0764343322990474E-2</v>
      </c>
      <c r="AO23" s="563">
        <v>1.0324145786328131E-2</v>
      </c>
      <c r="AP23" s="571">
        <v>1.0453866065196297E-2</v>
      </c>
      <c r="AQ23" s="563">
        <f t="shared" si="13"/>
        <v>1.0344621965559759</v>
      </c>
      <c r="AR23" s="563">
        <v>13.833496418140289</v>
      </c>
      <c r="AS23" s="563">
        <v>95.745353837297799</v>
      </c>
      <c r="AT23" s="563">
        <f t="shared" si="3"/>
        <v>7.5201210140048977E-2</v>
      </c>
      <c r="AU23" s="577">
        <v>66492.09</v>
      </c>
      <c r="AV23" s="563">
        <f t="shared" si="14"/>
        <v>4.5711597174506312E-2</v>
      </c>
      <c r="AW23" s="563">
        <v>1.0906367914330166E-2</v>
      </c>
      <c r="AX23" s="563">
        <v>1.1154281443575201E-2</v>
      </c>
      <c r="AY23" s="571">
        <v>1.1966971555473346E-2</v>
      </c>
      <c r="AZ23" s="563">
        <v>1.1683976261127596E-2</v>
      </c>
      <c r="BD23" s="580">
        <v>729</v>
      </c>
      <c r="BE23" s="563">
        <v>91.21</v>
      </c>
      <c r="BF23" s="362">
        <f t="shared" si="15"/>
        <v>66492.09</v>
      </c>
      <c r="BG23" s="578">
        <f>+BF23/$BF$112</f>
        <v>7.4779518155616384E-2</v>
      </c>
    </row>
    <row r="24" spans="2:59">
      <c r="B24" s="563" t="s">
        <v>233</v>
      </c>
      <c r="C24" s="570"/>
      <c r="D24" s="569"/>
      <c r="E24" s="571" t="e">
        <v>#DIV/0!</v>
      </c>
      <c r="G24" s="571">
        <v>0</v>
      </c>
      <c r="H24" s="563" t="e">
        <f t="shared" si="5"/>
        <v>#DIV/0!</v>
      </c>
      <c r="I24" s="563" t="e">
        <v>#DIV/0!</v>
      </c>
      <c r="J24" s="563" t="e">
        <v>#DIV/0!</v>
      </c>
      <c r="K24" s="563" t="e">
        <v>#DIV/0!</v>
      </c>
      <c r="L24" s="572" t="e">
        <v>#DIV/0!</v>
      </c>
      <c r="O24" s="571">
        <v>0</v>
      </c>
      <c r="Q24" s="571">
        <v>0</v>
      </c>
      <c r="S24" s="572" t="e">
        <v>#VALUE!</v>
      </c>
      <c r="T24" s="563" t="e">
        <v>#VALUE!</v>
      </c>
      <c r="U24" s="563" t="e">
        <v>#VALUE!</v>
      </c>
      <c r="V24" s="563" t="e">
        <v>#VALUE!</v>
      </c>
      <c r="W24" s="570" t="s">
        <v>96</v>
      </c>
      <c r="X24" s="573" t="s">
        <v>96</v>
      </c>
      <c r="Y24" s="574" t="e">
        <v>#VALUE!</v>
      </c>
      <c r="Z24" s="563">
        <f t="shared" si="16"/>
        <v>0</v>
      </c>
      <c r="AA24" s="571">
        <v>0</v>
      </c>
      <c r="AB24" s="563" t="s">
        <v>96</v>
      </c>
      <c r="AC24" s="563" t="e">
        <v>#DIV/0!</v>
      </c>
      <c r="AD24" s="563" t="e">
        <v>#DIV/0!</v>
      </c>
      <c r="AE24" s="571" t="e">
        <v>#DIV/0!</v>
      </c>
      <c r="AF24" s="563" t="e">
        <v>#DIV/0!</v>
      </c>
      <c r="AG24" s="575"/>
      <c r="AH24" s="573"/>
      <c r="AI24" s="576" t="e">
        <v>#DIV/0!</v>
      </c>
      <c r="AJ24" s="563">
        <f t="shared" si="1"/>
        <v>0</v>
      </c>
      <c r="AK24" s="571">
        <v>0</v>
      </c>
      <c r="AL24" s="563" t="e">
        <f t="shared" si="19"/>
        <v>#DIV/0!</v>
      </c>
      <c r="AM24" s="563" t="e">
        <v>#DIV/0!</v>
      </c>
      <c r="AN24" s="563" t="e">
        <v>#DIV/0!</v>
      </c>
      <c r="AO24" s="563" t="e">
        <v>#DIV/0!</v>
      </c>
      <c r="AP24" s="571" t="e">
        <v>#DIV/0!</v>
      </c>
      <c r="AQ24" s="563" t="e">
        <f t="shared" si="13"/>
        <v>#DIV/0!</v>
      </c>
      <c r="AR24" s="563" t="e">
        <v>#DIV/0!</v>
      </c>
      <c r="AS24" s="563" t="e">
        <v>#DIV/0!</v>
      </c>
      <c r="AT24" s="563">
        <f t="shared" si="3"/>
        <v>0</v>
      </c>
      <c r="AU24" s="577">
        <v>0</v>
      </c>
      <c r="AV24" s="563" t="e">
        <f t="shared" si="14"/>
        <v>#DIV/0!</v>
      </c>
      <c r="AW24" s="563" t="e">
        <v>#DIV/0!</v>
      </c>
      <c r="AX24" s="563" t="e">
        <v>#DIV/0!</v>
      </c>
      <c r="AY24" s="571" t="e">
        <v>#DIV/0!</v>
      </c>
      <c r="AZ24" s="563" t="e">
        <v>#DIV/0!</v>
      </c>
      <c r="BD24" s="580"/>
      <c r="BF24" s="362">
        <f t="shared" si="15"/>
        <v>0</v>
      </c>
      <c r="BG24" s="578"/>
    </row>
    <row r="25" spans="2:59">
      <c r="B25" s="563" t="s">
        <v>234</v>
      </c>
      <c r="C25" s="570"/>
      <c r="D25" s="569"/>
      <c r="E25" s="571" t="e">
        <v>#DIV/0!</v>
      </c>
      <c r="G25" s="571">
        <v>0</v>
      </c>
      <c r="H25" s="563" t="e">
        <f t="shared" si="5"/>
        <v>#DIV/0!</v>
      </c>
      <c r="I25" s="563" t="e">
        <v>#DIV/0!</v>
      </c>
      <c r="J25" s="563" t="e">
        <v>#DIV/0!</v>
      </c>
      <c r="K25" s="563" t="e">
        <v>#DIV/0!</v>
      </c>
      <c r="L25" s="572" t="e">
        <v>#DIV/0!</v>
      </c>
      <c r="M25" s="570"/>
      <c r="N25" s="569"/>
      <c r="O25" s="571" t="e">
        <v>#DIV/0!</v>
      </c>
      <c r="Q25" s="571">
        <v>0</v>
      </c>
      <c r="R25" s="563" t="e">
        <f t="shared" si="9"/>
        <v>#DIV/0!</v>
      </c>
      <c r="S25" s="572" t="e">
        <v>#DIV/0!</v>
      </c>
      <c r="T25" s="563" t="e">
        <v>#DIV/0!</v>
      </c>
      <c r="U25" s="563" t="e">
        <v>#DIV/0!</v>
      </c>
      <c r="V25" s="563" t="e">
        <v>#DIV/0!</v>
      </c>
      <c r="W25" s="570" t="e">
        <f t="shared" si="10"/>
        <v>#DIV/0!</v>
      </c>
      <c r="X25" s="573" t="e">
        <f t="shared" si="11"/>
        <v>#DIV/0!</v>
      </c>
      <c r="Y25" s="574" t="e">
        <v>#DIV/0!</v>
      </c>
      <c r="Z25" s="563">
        <f t="shared" si="16"/>
        <v>0</v>
      </c>
      <c r="AA25" s="571">
        <v>0</v>
      </c>
      <c r="AB25" s="563" t="e">
        <f t="shared" si="12"/>
        <v>#DIV/0!</v>
      </c>
      <c r="AC25" s="563" t="e">
        <v>#DIV/0!</v>
      </c>
      <c r="AD25" s="563" t="e">
        <v>#DIV/0!</v>
      </c>
      <c r="AE25" s="571" t="e">
        <v>#DIV/0!</v>
      </c>
      <c r="AF25" s="563" t="e">
        <v>#DIV/0!</v>
      </c>
      <c r="AG25" s="575" t="e">
        <f t="shared" ref="AG25:AG37" si="20">AH25*AT25</f>
        <v>#DIV/0!</v>
      </c>
      <c r="AH25" s="573" t="e">
        <f t="shared" ref="AH25:AH32" si="21">((AI25/AS25)-1)*100</f>
        <v>#DIV/0!</v>
      </c>
      <c r="AI25" s="576" t="e">
        <v>#DIV/0!</v>
      </c>
      <c r="AJ25" s="563">
        <f t="shared" si="1"/>
        <v>0</v>
      </c>
      <c r="AK25" s="571">
        <v>0</v>
      </c>
      <c r="AL25" s="563" t="e">
        <f t="shared" si="19"/>
        <v>#DIV/0!</v>
      </c>
      <c r="AM25" s="563" t="e">
        <v>#DIV/0!</v>
      </c>
      <c r="AN25" s="563" t="e">
        <v>#DIV/0!</v>
      </c>
      <c r="AO25" s="563" t="e">
        <v>#DIV/0!</v>
      </c>
      <c r="AP25" s="571" t="e">
        <v>#DIV/0!</v>
      </c>
      <c r="AQ25" s="563" t="e">
        <f t="shared" si="13"/>
        <v>#DIV/0!</v>
      </c>
      <c r="AR25" s="563" t="e">
        <v>#DIV/0!</v>
      </c>
      <c r="AS25" s="563" t="e">
        <v>#DIV/0!</v>
      </c>
      <c r="AT25" s="563">
        <f t="shared" si="3"/>
        <v>0</v>
      </c>
      <c r="AU25" s="577">
        <v>0</v>
      </c>
      <c r="AV25" s="563" t="e">
        <f t="shared" si="14"/>
        <v>#DIV/0!</v>
      </c>
      <c r="AW25" s="563" t="e">
        <v>#DIV/0!</v>
      </c>
      <c r="AX25" s="563" t="e">
        <v>#DIV/0!</v>
      </c>
      <c r="AY25" s="571" t="e">
        <v>#DIV/0!</v>
      </c>
      <c r="AZ25" s="563" t="e">
        <v>#DIV/0!</v>
      </c>
      <c r="BD25" s="580"/>
      <c r="BF25" s="362">
        <f t="shared" si="15"/>
        <v>0</v>
      </c>
      <c r="BG25" s="578"/>
    </row>
    <row r="26" spans="2:59">
      <c r="B26" s="563" t="s">
        <v>121</v>
      </c>
      <c r="C26" s="570"/>
      <c r="D26" s="569"/>
      <c r="E26" s="571" t="e">
        <v>#DIV/0!</v>
      </c>
      <c r="F26" s="563">
        <f t="shared" si="4"/>
        <v>0</v>
      </c>
      <c r="G26" s="571">
        <v>0</v>
      </c>
      <c r="H26" s="563" t="e">
        <f t="shared" si="5"/>
        <v>#DIV/0!</v>
      </c>
      <c r="I26" s="563" t="e">
        <v>#DIV/0!</v>
      </c>
      <c r="J26" s="563" t="e">
        <v>#DIV/0!</v>
      </c>
      <c r="K26" s="563" t="e">
        <v>#DIV/0!</v>
      </c>
      <c r="L26" s="572" t="e">
        <v>#DIV/0!</v>
      </c>
      <c r="M26" s="570" t="e">
        <f t="shared" si="6"/>
        <v>#DIV/0!</v>
      </c>
      <c r="N26" s="569" t="e">
        <f t="shared" si="7"/>
        <v>#DIV/0!</v>
      </c>
      <c r="O26" s="571" t="e">
        <v>#DIV/0!</v>
      </c>
      <c r="P26" s="563">
        <f>Q26/Q$112</f>
        <v>0</v>
      </c>
      <c r="Q26" s="571">
        <v>0</v>
      </c>
      <c r="R26" s="563" t="e">
        <f t="shared" si="9"/>
        <v>#DIV/0!</v>
      </c>
      <c r="S26" s="572" t="e">
        <v>#DIV/0!</v>
      </c>
      <c r="T26" s="563" t="e">
        <v>#DIV/0!</v>
      </c>
      <c r="U26" s="563" t="e">
        <v>#DIV/0!</v>
      </c>
      <c r="V26" s="563" t="e">
        <v>#DIV/0!</v>
      </c>
      <c r="W26" s="570" t="e">
        <f t="shared" si="10"/>
        <v>#DIV/0!</v>
      </c>
      <c r="X26" s="573" t="e">
        <f t="shared" si="11"/>
        <v>#DIV/0!</v>
      </c>
      <c r="Y26" s="574" t="e">
        <v>#DIV/0!</v>
      </c>
      <c r="Z26" s="563">
        <f t="shared" si="16"/>
        <v>0</v>
      </c>
      <c r="AA26" s="571">
        <v>0</v>
      </c>
      <c r="AB26" s="563" t="e">
        <f t="shared" si="12"/>
        <v>#DIV/0!</v>
      </c>
      <c r="AC26" s="563" t="e">
        <v>#DIV/0!</v>
      </c>
      <c r="AD26" s="563" t="e">
        <v>#DIV/0!</v>
      </c>
      <c r="AE26" s="571" t="e">
        <v>#DIV/0!</v>
      </c>
      <c r="AF26" s="563" t="e">
        <v>#DIV/0!</v>
      </c>
      <c r="AG26" s="575" t="e">
        <f t="shared" si="20"/>
        <v>#DIV/0!</v>
      </c>
      <c r="AH26" s="573" t="e">
        <f t="shared" si="21"/>
        <v>#DIV/0!</v>
      </c>
      <c r="AI26" s="576" t="e">
        <v>#DIV/0!</v>
      </c>
      <c r="AJ26" s="563">
        <f t="shared" si="1"/>
        <v>0</v>
      </c>
      <c r="AK26" s="571">
        <v>0</v>
      </c>
      <c r="AL26" s="563" t="e">
        <f t="shared" si="19"/>
        <v>#DIV/0!</v>
      </c>
      <c r="AM26" s="563" t="e">
        <v>#DIV/0!</v>
      </c>
      <c r="AN26" s="563" t="e">
        <v>#DIV/0!</v>
      </c>
      <c r="AO26" s="563" t="e">
        <v>#DIV/0!</v>
      </c>
      <c r="AP26" s="571" t="e">
        <v>#DIV/0!</v>
      </c>
      <c r="AQ26" s="563" t="e">
        <f t="shared" si="13"/>
        <v>#DIV/0!</v>
      </c>
      <c r="AR26" s="563" t="e">
        <v>#DIV/0!</v>
      </c>
      <c r="AS26" s="563" t="e">
        <v>#DIV/0!</v>
      </c>
      <c r="AT26" s="563">
        <f t="shared" si="3"/>
        <v>3.118627418552605E-3</v>
      </c>
      <c r="AU26" s="577">
        <v>2757.45635748</v>
      </c>
      <c r="AV26" s="563" t="e">
        <f t="shared" si="14"/>
        <v>#DIV/0!</v>
      </c>
      <c r="AW26" s="563" t="e">
        <v>#DIV/0!</v>
      </c>
      <c r="AX26" s="563" t="e">
        <v>#DIV/0!</v>
      </c>
      <c r="AY26" s="571">
        <v>6.1540699972767125E-3</v>
      </c>
      <c r="AZ26" s="563">
        <v>5.6650971159505599E-3</v>
      </c>
      <c r="BD26" s="580">
        <v>40.616531999999999</v>
      </c>
      <c r="BE26" s="563">
        <v>67.89</v>
      </c>
      <c r="BF26" s="362">
        <f t="shared" si="15"/>
        <v>2757.45635748</v>
      </c>
      <c r="BG26" s="578">
        <f>+BF26/$BF$112</f>
        <v>3.1011396655977498E-3</v>
      </c>
    </row>
    <row r="27" spans="2:59">
      <c r="B27" s="563" t="s">
        <v>122</v>
      </c>
      <c r="C27" s="570"/>
      <c r="D27" s="569"/>
      <c r="E27" s="571" t="e">
        <v>#DIV/0!</v>
      </c>
      <c r="F27" s="563">
        <f t="shared" si="4"/>
        <v>0</v>
      </c>
      <c r="G27" s="571">
        <v>0</v>
      </c>
      <c r="H27" s="563" t="e">
        <f t="shared" si="5"/>
        <v>#DIV/0!</v>
      </c>
      <c r="I27" s="563" t="e">
        <v>#DIV/0!</v>
      </c>
      <c r="J27" s="563" t="e">
        <v>#DIV/0!</v>
      </c>
      <c r="K27" s="563" t="e">
        <v>#DIV/0!</v>
      </c>
      <c r="L27" s="572" t="e">
        <v>#DIV/0!</v>
      </c>
      <c r="M27" s="570" t="e">
        <f t="shared" si="6"/>
        <v>#DIV/0!</v>
      </c>
      <c r="N27" s="569" t="e">
        <f t="shared" si="7"/>
        <v>#DIV/0!</v>
      </c>
      <c r="O27" s="571" t="e">
        <v>#DIV/0!</v>
      </c>
      <c r="Q27" s="571">
        <v>0</v>
      </c>
      <c r="R27" s="563" t="e">
        <f t="shared" si="9"/>
        <v>#DIV/0!</v>
      </c>
      <c r="S27" s="572" t="e">
        <v>#DIV/0!</v>
      </c>
      <c r="T27" s="563" t="e">
        <v>#DIV/0!</v>
      </c>
      <c r="U27" s="563" t="e">
        <v>#DIV/0!</v>
      </c>
      <c r="V27" s="563" t="e">
        <v>#DIV/0!</v>
      </c>
      <c r="W27" s="570" t="e">
        <f t="shared" si="10"/>
        <v>#DIV/0!</v>
      </c>
      <c r="X27" s="573" t="e">
        <f t="shared" si="11"/>
        <v>#DIV/0!</v>
      </c>
      <c r="Y27" s="574" t="e">
        <v>#DIV/0!</v>
      </c>
      <c r="Z27" s="563">
        <f t="shared" si="16"/>
        <v>0</v>
      </c>
      <c r="AA27" s="571">
        <v>0</v>
      </c>
      <c r="AB27" s="563" t="e">
        <f t="shared" si="12"/>
        <v>#DIV/0!</v>
      </c>
      <c r="AC27" s="563" t="e">
        <v>#DIV/0!</v>
      </c>
      <c r="AD27" s="563" t="e">
        <v>#DIV/0!</v>
      </c>
      <c r="AE27" s="571" t="e">
        <v>#DIV/0!</v>
      </c>
      <c r="AF27" s="563" t="e">
        <v>#DIV/0!</v>
      </c>
      <c r="AG27" s="575" t="e">
        <f t="shared" si="20"/>
        <v>#DIV/0!</v>
      </c>
      <c r="AH27" s="573" t="e">
        <f t="shared" si="21"/>
        <v>#DIV/0!</v>
      </c>
      <c r="AI27" s="576" t="e">
        <v>#DIV/0!</v>
      </c>
      <c r="AJ27" s="563">
        <f t="shared" si="1"/>
        <v>0</v>
      </c>
      <c r="AK27" s="571">
        <v>0</v>
      </c>
      <c r="AL27" s="563" t="e">
        <f t="shared" si="19"/>
        <v>#DIV/0!</v>
      </c>
      <c r="AM27" s="563" t="e">
        <v>#DIV/0!</v>
      </c>
      <c r="AN27" s="563" t="e">
        <v>#DIV/0!</v>
      </c>
      <c r="AO27" s="563" t="e">
        <v>#DIV/0!</v>
      </c>
      <c r="AP27" s="571" t="e">
        <v>#DIV/0!</v>
      </c>
      <c r="AQ27" s="563" t="e">
        <f t="shared" si="13"/>
        <v>#DIV/0!</v>
      </c>
      <c r="AR27" s="563" t="e">
        <v>#DIV/0!</v>
      </c>
      <c r="AS27" s="563" t="e">
        <v>#DIV/0!</v>
      </c>
      <c r="AT27" s="563">
        <f t="shared" si="3"/>
        <v>0</v>
      </c>
      <c r="AU27" s="577">
        <v>0</v>
      </c>
      <c r="AV27" s="563" t="e">
        <f t="shared" si="14"/>
        <v>#DIV/0!</v>
      </c>
      <c r="AW27" s="563" t="e">
        <v>#DIV/0!</v>
      </c>
      <c r="AX27" s="563" t="e">
        <v>#DIV/0!</v>
      </c>
      <c r="AY27" s="571" t="e">
        <v>#DIV/0!</v>
      </c>
      <c r="AZ27" s="563" t="e">
        <v>#DIV/0!</v>
      </c>
      <c r="BD27" s="580"/>
      <c r="BF27" s="362">
        <f t="shared" si="15"/>
        <v>0</v>
      </c>
      <c r="BG27" s="578">
        <f>+BF27/$BF$112</f>
        <v>0</v>
      </c>
    </row>
    <row r="28" spans="2:59">
      <c r="B28" s="579" t="s">
        <v>123</v>
      </c>
      <c r="C28" s="581">
        <f>D28*P28</f>
        <v>1.3638911487042928</v>
      </c>
      <c r="D28" s="582">
        <v>55.93</v>
      </c>
      <c r="E28" s="571">
        <v>92.052494493908497</v>
      </c>
      <c r="F28" s="563">
        <f t="shared" si="4"/>
        <v>3.1446033090463316E-2</v>
      </c>
      <c r="G28" s="571">
        <v>32452.850495879997</v>
      </c>
      <c r="H28" s="563">
        <f t="shared" si="5"/>
        <v>0.21409251508716032</v>
      </c>
      <c r="I28" s="563">
        <v>9.5322626151831489E-3</v>
      </c>
      <c r="J28" s="563">
        <v>1.0254279684295119E-2</v>
      </c>
      <c r="K28" s="563">
        <v>1.2480955787016374E-2</v>
      </c>
      <c r="L28" s="572">
        <v>1.2503157655750885E-2</v>
      </c>
      <c r="M28" s="570">
        <f t="shared" si="6"/>
        <v>-0.14173500282959109</v>
      </c>
      <c r="N28" s="569">
        <f t="shared" si="7"/>
        <v>-6.0620280461829656</v>
      </c>
      <c r="O28" s="571">
        <v>118.32367894711193</v>
      </c>
      <c r="P28" s="563">
        <f>Q28/Q$112</f>
        <v>2.438568118548709E-2</v>
      </c>
      <c r="Q28" s="571">
        <v>21397.56090036</v>
      </c>
      <c r="R28" s="563">
        <f t="shared" si="9"/>
        <v>0.16932185934491478</v>
      </c>
      <c r="S28" s="572">
        <v>1.2913738282444812E-2</v>
      </c>
      <c r="T28" s="563">
        <v>1.322386116850318E-2</v>
      </c>
      <c r="U28" s="563">
        <v>1.2425915868412681E-2</v>
      </c>
      <c r="V28" s="563">
        <v>1.1119487437802987E-2</v>
      </c>
      <c r="W28" s="570">
        <f t="shared" si="10"/>
        <v>8.1825123671770292E-2</v>
      </c>
      <c r="X28" s="573">
        <f t="shared" si="11"/>
        <v>3.6304345882770761</v>
      </c>
      <c r="Y28" s="574">
        <v>125.959371366122</v>
      </c>
      <c r="Z28" s="563">
        <f t="shared" si="16"/>
        <v>2.3380789687839923E-2</v>
      </c>
      <c r="AA28" s="571">
        <v>22887.649462500001</v>
      </c>
      <c r="AB28" s="563">
        <f t="shared" si="12"/>
        <v>0.11963885658775111</v>
      </c>
      <c r="AC28" s="563">
        <v>1.0548679902693441E-2</v>
      </c>
      <c r="AD28" s="563">
        <v>1.1021065313379656E-2</v>
      </c>
      <c r="AE28" s="571">
        <v>9.7584672458019776E-3</v>
      </c>
      <c r="AF28" s="563">
        <v>9.334186061201892E-3</v>
      </c>
      <c r="AG28" s="575">
        <f t="shared" si="20"/>
        <v>0.4618346055384453</v>
      </c>
      <c r="AH28" s="573">
        <f t="shared" si="21"/>
        <v>17.134416309964017</v>
      </c>
      <c r="AI28" s="576">
        <v>121.54669800098554</v>
      </c>
      <c r="AJ28" s="563">
        <f t="shared" si="1"/>
        <v>2.2538658026228942E-2</v>
      </c>
      <c r="AK28" s="571">
        <v>22638.487469850003</v>
      </c>
      <c r="AL28" s="563">
        <f t="shared" si="19"/>
        <v>7.8976458064674154E-2</v>
      </c>
      <c r="AM28" s="563">
        <v>9.5879484659978972E-3</v>
      </c>
      <c r="AN28" s="563">
        <v>1.0132845443035532E-2</v>
      </c>
      <c r="AO28" s="563">
        <v>9.9979421852743038E-3</v>
      </c>
      <c r="AP28" s="571">
        <v>9.9262580748043037E-3</v>
      </c>
      <c r="AQ28" s="563">
        <f t="shared" si="13"/>
        <v>0.73689049981288068</v>
      </c>
      <c r="AR28" s="563">
        <v>27.493369400826783</v>
      </c>
      <c r="AS28" s="563">
        <v>103.76685335533293</v>
      </c>
      <c r="AT28" s="563">
        <f t="shared" si="3"/>
        <v>2.6953623466582807E-2</v>
      </c>
      <c r="AU28" s="577">
        <v>23832.099962600001</v>
      </c>
      <c r="AV28" s="563">
        <f t="shared" si="14"/>
        <v>3.9331463895562122E-2</v>
      </c>
      <c r="AW28" s="563">
        <v>9.7962584651332864E-3</v>
      </c>
      <c r="AX28" s="563">
        <v>9.6266613819656014E-3</v>
      </c>
      <c r="AY28" s="571">
        <v>1.0011768481793021E-2</v>
      </c>
      <c r="AZ28" s="563">
        <v>9.8967755666702142E-3</v>
      </c>
      <c r="BD28" s="580">
        <v>198.93238700000001</v>
      </c>
      <c r="BE28" s="563">
        <v>119.8</v>
      </c>
      <c r="BF28" s="362">
        <f t="shared" si="15"/>
        <v>23832.099962600001</v>
      </c>
      <c r="BG28" s="578">
        <f>+BF28/$BF$112</f>
        <v>2.6802480593401581E-2</v>
      </c>
    </row>
    <row r="29" spans="2:59">
      <c r="B29" s="579" t="s">
        <v>197</v>
      </c>
      <c r="C29" s="570">
        <f>D29*P29</f>
        <v>3.0147576399533524</v>
      </c>
      <c r="D29" s="569">
        <f>((E29/O29)-1)*100</f>
        <v>21.440402190398466</v>
      </c>
      <c r="E29" s="571">
        <v>80.674907464473463</v>
      </c>
      <c r="F29" s="563">
        <f t="shared" si="4"/>
        <v>0.14264820318646587</v>
      </c>
      <c r="G29" s="571">
        <v>147215.41500000001</v>
      </c>
      <c r="H29" s="563">
        <f t="shared" si="5"/>
        <v>0.12532999671465286</v>
      </c>
      <c r="I29" s="563">
        <v>8.0263824985533725E-3</v>
      </c>
      <c r="J29" s="563">
        <v>6.7659634466610769E-3</v>
      </c>
      <c r="K29" s="563">
        <v>8.018603437031346E-3</v>
      </c>
      <c r="L29" s="572">
        <v>8.8133070915978225E-3</v>
      </c>
      <c r="M29" s="570">
        <f t="shared" si="6"/>
        <v>-4.2572161770816717</v>
      </c>
      <c r="N29" s="569">
        <f t="shared" si="7"/>
        <v>-25.272280454313744</v>
      </c>
      <c r="O29" s="571">
        <v>66.431686662226753</v>
      </c>
      <c r="P29" s="563">
        <f>Q29/Q$112</f>
        <v>0.14061105818730557</v>
      </c>
      <c r="Q29" s="571">
        <v>123381.162</v>
      </c>
      <c r="R29" s="563">
        <f t="shared" si="9"/>
        <v>9.3705740240809243E-2</v>
      </c>
      <c r="S29" s="572">
        <v>8.3536728924164267E-3</v>
      </c>
      <c r="T29" s="563">
        <v>8.7850424877353346E-3</v>
      </c>
      <c r="U29" s="563">
        <v>6.7404839337376673E-3</v>
      </c>
      <c r="V29" s="563">
        <v>6.4495168494578805E-3</v>
      </c>
      <c r="W29" s="570">
        <f t="shared" si="10"/>
        <v>-1.5612570936522066</v>
      </c>
      <c r="X29" s="573">
        <f t="shared" si="11"/>
        <v>-8.5581326204897561</v>
      </c>
      <c r="Y29" s="574">
        <v>88.898319212875805</v>
      </c>
      <c r="Z29" s="563">
        <f t="shared" si="16"/>
        <v>0.16845397805622264</v>
      </c>
      <c r="AA29" s="571">
        <v>164901</v>
      </c>
      <c r="AB29" s="563">
        <f t="shared" si="12"/>
        <v>6.337702407746193E-2</v>
      </c>
      <c r="AC29" s="563">
        <v>5.3785806037836515E-3</v>
      </c>
      <c r="AD29" s="563">
        <v>5.7036765202805005E-3</v>
      </c>
      <c r="AE29" s="571">
        <v>5.7421233351119478E-3</v>
      </c>
      <c r="AF29" s="563">
        <v>5.2244655375318196E-3</v>
      </c>
      <c r="AG29" s="575">
        <f t="shared" si="20"/>
        <v>3.0847292427648965</v>
      </c>
      <c r="AH29" s="573">
        <f t="shared" si="21"/>
        <v>23.372376357812819</v>
      </c>
      <c r="AI29" s="576">
        <v>97.218398705619194</v>
      </c>
      <c r="AJ29" s="563">
        <f t="shared" si="1"/>
        <v>0.18242964474683035</v>
      </c>
      <c r="AK29" s="571">
        <v>183237.67199999999</v>
      </c>
      <c r="AL29" s="563">
        <f t="shared" si="19"/>
        <v>4.1328178080754008E-2</v>
      </c>
      <c r="AM29" s="563">
        <v>4.2766158041611839E-3</v>
      </c>
      <c r="AN29" s="563">
        <v>5.0600703564601512E-3</v>
      </c>
      <c r="AO29" s="563">
        <v>5.3935617238749884E-3</v>
      </c>
      <c r="AP29" s="571">
        <v>5.2008711510699284E-3</v>
      </c>
      <c r="AQ29" s="563">
        <f t="shared" si="13"/>
        <v>13.3613943073476</v>
      </c>
      <c r="AR29" s="563">
        <v>101.80749882921121</v>
      </c>
      <c r="AS29" s="563">
        <v>78.800783105336237</v>
      </c>
      <c r="AT29" s="563">
        <f t="shared" si="3"/>
        <v>0.13198184025193255</v>
      </c>
      <c r="AU29" s="577">
        <v>116696.90399999999</v>
      </c>
      <c r="AV29" s="563">
        <f t="shared" si="14"/>
        <v>2.1397059045187752E-2</v>
      </c>
      <c r="AW29" s="563">
        <v>4.6127609118169766E-3</v>
      </c>
      <c r="AX29" s="563">
        <v>5.102875026479492E-3</v>
      </c>
      <c r="AY29" s="571">
        <v>5.8631203889127287E-3</v>
      </c>
      <c r="AZ29" s="563">
        <v>5.8183027179785551E-3</v>
      </c>
      <c r="BD29" s="580">
        <f>481.9*4</f>
        <v>1927.6</v>
      </c>
      <c r="BE29" s="563">
        <f>242.16/4</f>
        <v>60.54</v>
      </c>
      <c r="BF29" s="362">
        <f t="shared" si="15"/>
        <v>116696.90399999999</v>
      </c>
      <c r="BG29" s="578">
        <f>+BF29/$BF$112</f>
        <v>0.13124174997916627</v>
      </c>
    </row>
    <row r="30" spans="2:59">
      <c r="B30" s="563" t="s">
        <v>235</v>
      </c>
      <c r="C30" s="570"/>
      <c r="D30" s="569"/>
      <c r="E30" s="571" t="e">
        <v>#DIV/0!</v>
      </c>
      <c r="G30" s="571">
        <v>0</v>
      </c>
      <c r="H30" s="563" t="e">
        <f t="shared" si="5"/>
        <v>#DIV/0!</v>
      </c>
      <c r="I30" s="563" t="e">
        <v>#DIV/0!</v>
      </c>
      <c r="J30" s="563" t="e">
        <v>#DIV/0!</v>
      </c>
      <c r="K30" s="563" t="e">
        <v>#DIV/0!</v>
      </c>
      <c r="L30" s="572" t="e">
        <v>#DIV/0!</v>
      </c>
      <c r="M30" s="570"/>
      <c r="N30" s="569"/>
      <c r="O30" s="571" t="e">
        <v>#DIV/0!</v>
      </c>
      <c r="Q30" s="571">
        <v>0</v>
      </c>
      <c r="R30" s="563" t="e">
        <f t="shared" si="9"/>
        <v>#DIV/0!</v>
      </c>
      <c r="S30" s="572" t="e">
        <v>#DIV/0!</v>
      </c>
      <c r="T30" s="563" t="e">
        <v>#DIV/0!</v>
      </c>
      <c r="U30" s="563" t="e">
        <v>#DIV/0!</v>
      </c>
      <c r="V30" s="563" t="e">
        <v>#DIV/0!</v>
      </c>
      <c r="W30" s="570" t="e">
        <f t="shared" si="10"/>
        <v>#DIV/0!</v>
      </c>
      <c r="X30" s="573" t="e">
        <f t="shared" si="11"/>
        <v>#DIV/0!</v>
      </c>
      <c r="Y30" s="574" t="e">
        <v>#DIV/0!</v>
      </c>
      <c r="Z30" s="563">
        <f t="shared" si="16"/>
        <v>0</v>
      </c>
      <c r="AA30" s="571">
        <v>0</v>
      </c>
      <c r="AB30" s="563" t="e">
        <f t="shared" si="12"/>
        <v>#DIV/0!</v>
      </c>
      <c r="AC30" s="563" t="e">
        <v>#DIV/0!</v>
      </c>
      <c r="AD30" s="563" t="e">
        <v>#DIV/0!</v>
      </c>
      <c r="AE30" s="571" t="e">
        <v>#DIV/0!</v>
      </c>
      <c r="AF30" s="563" t="e">
        <v>#DIV/0!</v>
      </c>
      <c r="AG30" s="575" t="e">
        <f t="shared" si="20"/>
        <v>#DIV/0!</v>
      </c>
      <c r="AH30" s="573" t="e">
        <f t="shared" si="21"/>
        <v>#DIV/0!</v>
      </c>
      <c r="AI30" s="576" t="e">
        <v>#DIV/0!</v>
      </c>
      <c r="AJ30" s="563">
        <f t="shared" si="1"/>
        <v>0</v>
      </c>
      <c r="AK30" s="571">
        <v>0</v>
      </c>
      <c r="AL30" s="563" t="e">
        <f t="shared" si="19"/>
        <v>#DIV/0!</v>
      </c>
      <c r="AM30" s="563" t="e">
        <v>#DIV/0!</v>
      </c>
      <c r="AN30" s="563" t="e">
        <v>#DIV/0!</v>
      </c>
      <c r="AO30" s="563" t="e">
        <v>#DIV/0!</v>
      </c>
      <c r="AP30" s="571" t="e">
        <v>#DIV/0!</v>
      </c>
      <c r="AQ30" s="563" t="e">
        <f t="shared" si="13"/>
        <v>#DIV/0!</v>
      </c>
      <c r="AR30" s="563" t="e">
        <v>#DIV/0!</v>
      </c>
      <c r="AS30" s="563" t="e">
        <v>#DIV/0!</v>
      </c>
      <c r="AT30" s="563">
        <f t="shared" si="3"/>
        <v>0</v>
      </c>
      <c r="AU30" s="577">
        <v>0</v>
      </c>
      <c r="AV30" s="563" t="e">
        <f t="shared" si="14"/>
        <v>#DIV/0!</v>
      </c>
      <c r="AW30" s="563" t="e">
        <v>#DIV/0!</v>
      </c>
      <c r="AX30" s="563" t="e">
        <v>#DIV/0!</v>
      </c>
      <c r="AY30" s="571" t="e">
        <v>#DIV/0!</v>
      </c>
      <c r="AZ30" s="563" t="e">
        <v>#DIV/0!</v>
      </c>
      <c r="BD30" s="580"/>
      <c r="BF30" s="362">
        <f t="shared" si="15"/>
        <v>0</v>
      </c>
      <c r="BG30" s="578"/>
    </row>
    <row r="31" spans="2:59">
      <c r="B31" s="563" t="s">
        <v>236</v>
      </c>
      <c r="C31" s="570"/>
      <c r="D31" s="569"/>
      <c r="E31" s="571" t="e">
        <v>#DIV/0!</v>
      </c>
      <c r="F31" s="563">
        <f t="shared" si="4"/>
        <v>0</v>
      </c>
      <c r="G31" s="571">
        <v>0</v>
      </c>
      <c r="H31" s="563" t="e">
        <f t="shared" si="5"/>
        <v>#DIV/0!</v>
      </c>
      <c r="I31" s="563" t="e">
        <v>#DIV/0!</v>
      </c>
      <c r="J31" s="563" t="e">
        <v>#DIV/0!</v>
      </c>
      <c r="K31" s="563" t="e">
        <v>#DIV/0!</v>
      </c>
      <c r="L31" s="572" t="e">
        <v>#DIV/0!</v>
      </c>
      <c r="M31" s="570" t="e">
        <f t="shared" si="6"/>
        <v>#DIV/0!</v>
      </c>
      <c r="N31" s="569" t="e">
        <f t="shared" si="7"/>
        <v>#DIV/0!</v>
      </c>
      <c r="O31" s="571" t="e">
        <v>#DIV/0!</v>
      </c>
      <c r="Q31" s="571">
        <v>0</v>
      </c>
      <c r="R31" s="563" t="e">
        <f t="shared" si="9"/>
        <v>#DIV/0!</v>
      </c>
      <c r="S31" s="572" t="e">
        <v>#DIV/0!</v>
      </c>
      <c r="T31" s="563" t="e">
        <v>#DIV/0!</v>
      </c>
      <c r="U31" s="563" t="e">
        <v>#DIV/0!</v>
      </c>
      <c r="V31" s="563" t="e">
        <v>#DIV/0!</v>
      </c>
      <c r="W31" s="570" t="e">
        <f t="shared" si="10"/>
        <v>#DIV/0!</v>
      </c>
      <c r="X31" s="573" t="e">
        <f t="shared" si="11"/>
        <v>#DIV/0!</v>
      </c>
      <c r="Y31" s="574" t="e">
        <v>#DIV/0!</v>
      </c>
      <c r="Z31" s="563">
        <f t="shared" si="16"/>
        <v>0</v>
      </c>
      <c r="AA31" s="571">
        <v>0</v>
      </c>
      <c r="AB31" s="563" t="e">
        <f t="shared" si="12"/>
        <v>#DIV/0!</v>
      </c>
      <c r="AC31" s="563" t="e">
        <v>#DIV/0!</v>
      </c>
      <c r="AD31" s="563" t="e">
        <v>#DIV/0!</v>
      </c>
      <c r="AE31" s="571" t="e">
        <v>#DIV/0!</v>
      </c>
      <c r="AF31" s="563" t="e">
        <v>#DIV/0!</v>
      </c>
      <c r="AG31" s="575" t="e">
        <f t="shared" si="20"/>
        <v>#DIV/0!</v>
      </c>
      <c r="AH31" s="573" t="e">
        <f t="shared" si="21"/>
        <v>#DIV/0!</v>
      </c>
      <c r="AI31" s="576" t="e">
        <v>#DIV/0!</v>
      </c>
      <c r="AJ31" s="563">
        <f t="shared" si="1"/>
        <v>0</v>
      </c>
      <c r="AK31" s="571">
        <v>0</v>
      </c>
      <c r="AL31" s="563" t="e">
        <f t="shared" si="19"/>
        <v>#DIV/0!</v>
      </c>
      <c r="AM31" s="563" t="e">
        <v>#DIV/0!</v>
      </c>
      <c r="AN31" s="563" t="e">
        <v>#DIV/0!</v>
      </c>
      <c r="AO31" s="563" t="e">
        <v>#DIV/0!</v>
      </c>
      <c r="AP31" s="571" t="e">
        <v>#DIV/0!</v>
      </c>
      <c r="AQ31" s="563" t="e">
        <f t="shared" si="13"/>
        <v>#DIV/0!</v>
      </c>
      <c r="AR31" s="563" t="e">
        <v>#DIV/0!</v>
      </c>
      <c r="AS31" s="563" t="e">
        <v>#DIV/0!</v>
      </c>
      <c r="AT31" s="563">
        <f t="shared" si="3"/>
        <v>0</v>
      </c>
      <c r="AU31" s="577">
        <v>0</v>
      </c>
      <c r="AV31" s="563" t="e">
        <f t="shared" si="14"/>
        <v>#DIV/0!</v>
      </c>
      <c r="AW31" s="563" t="e">
        <v>#DIV/0!</v>
      </c>
      <c r="AX31" s="563" t="e">
        <v>#DIV/0!</v>
      </c>
      <c r="AY31" s="571" t="e">
        <v>#DIV/0!</v>
      </c>
      <c r="AZ31" s="563" t="e">
        <v>#DIV/0!</v>
      </c>
      <c r="BD31" s="580"/>
      <c r="BF31" s="362">
        <f t="shared" si="15"/>
        <v>0</v>
      </c>
      <c r="BG31" s="578"/>
    </row>
    <row r="32" spans="2:59">
      <c r="B32" s="563" t="s">
        <v>237</v>
      </c>
      <c r="C32" s="570"/>
      <c r="D32" s="569"/>
      <c r="E32" s="571" t="e">
        <v>#DIV/0!</v>
      </c>
      <c r="F32" s="563">
        <f t="shared" si="4"/>
        <v>0</v>
      </c>
      <c r="G32" s="571">
        <v>0</v>
      </c>
      <c r="H32" s="563" t="e">
        <f t="shared" si="5"/>
        <v>#DIV/0!</v>
      </c>
      <c r="I32" s="563" t="e">
        <v>#DIV/0!</v>
      </c>
      <c r="J32" s="563" t="e">
        <v>#DIV/0!</v>
      </c>
      <c r="K32" s="563" t="e">
        <v>#DIV/0!</v>
      </c>
      <c r="L32" s="572" t="e">
        <v>#DIV/0!</v>
      </c>
      <c r="M32" s="570" t="e">
        <f t="shared" si="6"/>
        <v>#DIV/0!</v>
      </c>
      <c r="N32" s="569" t="e">
        <f t="shared" si="7"/>
        <v>#DIV/0!</v>
      </c>
      <c r="O32" s="571" t="e">
        <v>#DIV/0!</v>
      </c>
      <c r="Q32" s="571">
        <v>0</v>
      </c>
      <c r="R32" s="563" t="e">
        <f t="shared" si="9"/>
        <v>#DIV/0!</v>
      </c>
      <c r="S32" s="572" t="e">
        <v>#DIV/0!</v>
      </c>
      <c r="T32" s="563" t="e">
        <v>#DIV/0!</v>
      </c>
      <c r="U32" s="563" t="e">
        <v>#DIV/0!</v>
      </c>
      <c r="V32" s="563" t="e">
        <v>#DIV/0!</v>
      </c>
      <c r="W32" s="570" t="e">
        <f t="shared" si="10"/>
        <v>#DIV/0!</v>
      </c>
      <c r="X32" s="573" t="e">
        <f t="shared" si="11"/>
        <v>#DIV/0!</v>
      </c>
      <c r="Y32" s="574" t="e">
        <v>#DIV/0!</v>
      </c>
      <c r="Z32" s="563">
        <f t="shared" si="16"/>
        <v>0</v>
      </c>
      <c r="AA32" s="571">
        <v>0</v>
      </c>
      <c r="AB32" s="563" t="e">
        <f t="shared" si="12"/>
        <v>#DIV/0!</v>
      </c>
      <c r="AC32" s="563" t="e">
        <v>#DIV/0!</v>
      </c>
      <c r="AD32" s="563" t="e">
        <v>#DIV/0!</v>
      </c>
      <c r="AE32" s="571" t="e">
        <v>#DIV/0!</v>
      </c>
      <c r="AF32" s="563" t="e">
        <v>#DIV/0!</v>
      </c>
      <c r="AG32" s="575" t="e">
        <f t="shared" si="20"/>
        <v>#DIV/0!</v>
      </c>
      <c r="AH32" s="573" t="e">
        <f t="shared" si="21"/>
        <v>#DIV/0!</v>
      </c>
      <c r="AI32" s="576" t="e">
        <v>#DIV/0!</v>
      </c>
      <c r="AJ32" s="563">
        <f t="shared" si="1"/>
        <v>0</v>
      </c>
      <c r="AK32" s="571">
        <v>0</v>
      </c>
      <c r="AL32" s="563" t="e">
        <f t="shared" si="19"/>
        <v>#DIV/0!</v>
      </c>
      <c r="AM32" s="563" t="e">
        <v>#DIV/0!</v>
      </c>
      <c r="AN32" s="563" t="e">
        <v>#DIV/0!</v>
      </c>
      <c r="AO32" s="563" t="e">
        <v>#DIV/0!</v>
      </c>
      <c r="AP32" s="571" t="e">
        <v>#DIV/0!</v>
      </c>
      <c r="AQ32" s="563" t="e">
        <f t="shared" si="13"/>
        <v>#DIV/0!</v>
      </c>
      <c r="AR32" s="563" t="e">
        <v>#DIV/0!</v>
      </c>
      <c r="AS32" s="563" t="e">
        <v>#DIV/0!</v>
      </c>
      <c r="AT32" s="563">
        <f t="shared" si="3"/>
        <v>0</v>
      </c>
      <c r="AU32" s="577">
        <v>0</v>
      </c>
      <c r="AV32" s="563" t="e">
        <f t="shared" si="14"/>
        <v>#DIV/0!</v>
      </c>
      <c r="AW32" s="563" t="e">
        <v>#DIV/0!</v>
      </c>
      <c r="AX32" s="563" t="e">
        <v>#DIV/0!</v>
      </c>
      <c r="AY32" s="571" t="e">
        <v>#DIV/0!</v>
      </c>
      <c r="AZ32" s="563" t="e">
        <v>#DIV/0!</v>
      </c>
      <c r="BD32" s="580"/>
      <c r="BF32" s="362">
        <f t="shared" si="15"/>
        <v>0</v>
      </c>
      <c r="BG32" s="578"/>
    </row>
    <row r="33" spans="2:59">
      <c r="B33" s="563" t="s">
        <v>238</v>
      </c>
      <c r="C33" s="570"/>
      <c r="D33" s="569"/>
      <c r="E33" s="571" t="e">
        <v>#DIV/0!</v>
      </c>
      <c r="G33" s="571">
        <v>0</v>
      </c>
      <c r="H33" s="563" t="e">
        <f t="shared" si="5"/>
        <v>#DIV/0!</v>
      </c>
      <c r="I33" s="563" t="e">
        <v>#DIV/0!</v>
      </c>
      <c r="J33" s="563" t="e">
        <v>#DIV/0!</v>
      </c>
      <c r="K33" s="563" t="e">
        <v>#DIV/0!</v>
      </c>
      <c r="L33" s="572" t="e">
        <v>#DIV/0!</v>
      </c>
      <c r="N33" s="569"/>
      <c r="O33" s="571">
        <v>0</v>
      </c>
      <c r="Q33" s="571">
        <v>0</v>
      </c>
      <c r="S33" s="572" t="e">
        <v>#DIV/0!</v>
      </c>
      <c r="T33" s="563" t="e">
        <v>#DIV/0!</v>
      </c>
      <c r="U33" s="563" t="e">
        <v>#DIV/0!</v>
      </c>
      <c r="V33" s="563" t="e">
        <v>#DIV/0!</v>
      </c>
      <c r="W33" s="570"/>
      <c r="X33" s="573"/>
      <c r="Y33" s="574">
        <v>0</v>
      </c>
      <c r="AA33" s="571">
        <v>0</v>
      </c>
      <c r="AC33" s="563" t="e">
        <v>#DIV/0!</v>
      </c>
      <c r="AD33" s="563" t="e">
        <v>#DIV/0!</v>
      </c>
      <c r="AE33" s="571" t="e">
        <v>#DIV/0!</v>
      </c>
      <c r="AF33" s="563" t="e">
        <v>#DIV/0!</v>
      </c>
      <c r="AG33" s="575">
        <f t="shared" si="20"/>
        <v>0</v>
      </c>
      <c r="AH33" s="573"/>
      <c r="AI33" s="576">
        <v>0</v>
      </c>
      <c r="AK33" s="571">
        <v>0</v>
      </c>
      <c r="AM33" s="563" t="e">
        <v>#DIV/0!</v>
      </c>
      <c r="AN33" s="563" t="e">
        <v>#DIV/0!</v>
      </c>
      <c r="AO33" s="563" t="e">
        <v>#DIV/0!</v>
      </c>
      <c r="AP33" s="571" t="e">
        <v>#DIV/0!</v>
      </c>
      <c r="AQ33" s="563" t="e">
        <f t="shared" si="13"/>
        <v>#DIV/0!</v>
      </c>
      <c r="AR33" s="563" t="e">
        <v>#DIV/0!</v>
      </c>
      <c r="AS33" s="563">
        <v>0</v>
      </c>
      <c r="AU33" s="577">
        <v>0</v>
      </c>
      <c r="AW33" s="563" t="e">
        <v>#DIV/0!</v>
      </c>
      <c r="AX33" s="563" t="e">
        <v>#DIV/0!</v>
      </c>
      <c r="AY33" s="571" t="e">
        <v>#DIV/0!</v>
      </c>
      <c r="AZ33" s="563" t="e">
        <v>#DIV/0!</v>
      </c>
      <c r="BD33" s="580"/>
      <c r="BF33" s="362">
        <f t="shared" si="15"/>
        <v>0</v>
      </c>
      <c r="BG33" s="578"/>
    </row>
    <row r="34" spans="2:59">
      <c r="B34" s="579" t="s">
        <v>124</v>
      </c>
      <c r="C34" s="570">
        <f>D34*P34</f>
        <v>-5.5772863494172584E-2</v>
      </c>
      <c r="D34" s="569">
        <f>((E34/O34)-1)*100</f>
        <v>-31.430584918957017</v>
      </c>
      <c r="E34" s="571">
        <v>11.315057514416756</v>
      </c>
      <c r="F34" s="563">
        <f t="shared" si="4"/>
        <v>1.0781828256951165E-3</v>
      </c>
      <c r="G34" s="571">
        <v>1112.70334</v>
      </c>
      <c r="H34" s="563">
        <f t="shared" si="5"/>
        <v>0.16290416386605922</v>
      </c>
      <c r="I34" s="563">
        <v>0</v>
      </c>
      <c r="J34" s="563">
        <v>0</v>
      </c>
      <c r="K34" s="563">
        <v>0</v>
      </c>
      <c r="L34" s="572">
        <v>0</v>
      </c>
      <c r="M34" s="570">
        <f t="shared" si="6"/>
        <v>-0.30154971665458491</v>
      </c>
      <c r="N34" s="569">
        <f t="shared" si="7"/>
        <v>-64.433298169209024</v>
      </c>
      <c r="O34" s="571">
        <v>16.501610085259379</v>
      </c>
      <c r="P34" s="563">
        <f>Q34/Q$112</f>
        <v>1.7744774282114548E-3</v>
      </c>
      <c r="Q34" s="571">
        <v>1557.0403199999998</v>
      </c>
      <c r="R34" s="563">
        <f t="shared" si="9"/>
        <v>0.16290416386605922</v>
      </c>
      <c r="S34" s="572">
        <v>0</v>
      </c>
      <c r="T34" s="563">
        <v>3.3042265113794891E-2</v>
      </c>
      <c r="U34" s="563">
        <v>1.1125554801718139E-2</v>
      </c>
      <c r="V34" s="563">
        <v>1.0104715364714609E-2</v>
      </c>
      <c r="W34" s="570">
        <f t="shared" si="10"/>
        <v>2.0095744594562748E-2</v>
      </c>
      <c r="X34" s="573">
        <f t="shared" si="11"/>
        <v>4.4495028727770336</v>
      </c>
      <c r="Y34" s="574">
        <v>46.396233656317051</v>
      </c>
      <c r="Z34" s="563">
        <f t="shared" ref="Z34:Z40" si="22">AA34/$AA$112</f>
        <v>4.6800291964363165E-3</v>
      </c>
      <c r="AA34" s="571">
        <v>4581.3195000000005</v>
      </c>
      <c r="AB34" s="563">
        <f t="shared" si="12"/>
        <v>0.10863162858583159</v>
      </c>
      <c r="AC34" s="563">
        <v>9.1948120854275124E-3</v>
      </c>
      <c r="AD34" s="563">
        <v>1.0991227814199983E-2</v>
      </c>
      <c r="AE34" s="571">
        <v>9.2352959040041573E-3</v>
      </c>
      <c r="AF34" s="563">
        <v>8.8542804142937147E-3</v>
      </c>
      <c r="AG34" s="575">
        <f t="shared" si="20"/>
        <v>0.12179113866989014</v>
      </c>
      <c r="AH34" s="573">
        <f>((AI34/AS34)-1)*100</f>
        <v>21.088206917996779</v>
      </c>
      <c r="AI34" s="576">
        <v>44.419774513268102</v>
      </c>
      <c r="AJ34" s="563">
        <f t="shared" ref="AJ34:AJ40" si="23">AK34/$AK$112</f>
        <v>4.5164022069774613E-3</v>
      </c>
      <c r="AK34" s="571">
        <v>4536.4065000000001</v>
      </c>
      <c r="AL34" s="563">
        <f t="shared" ref="AL34:AL40" si="24">AM34+AN34+AO34+AP34+AV34</f>
        <v>7.0356012367906229E-2</v>
      </c>
      <c r="AM34" s="563">
        <v>8.6979217066225634E-3</v>
      </c>
      <c r="AN34" s="563">
        <v>8.76764029207764E-3</v>
      </c>
      <c r="AO34" s="563">
        <v>8.399407628473252E-3</v>
      </c>
      <c r="AP34" s="571">
        <v>7.932252725750483E-3</v>
      </c>
      <c r="AQ34" s="563">
        <f t="shared" si="13"/>
        <v>8.4804092680278442E-3</v>
      </c>
      <c r="AR34" s="563">
        <v>1.476668267303527</v>
      </c>
      <c r="AS34" s="563">
        <v>36.683815578630224</v>
      </c>
      <c r="AT34" s="563">
        <f t="shared" ref="AT34:AT40" si="25">AU34/$AU$112</f>
        <v>5.7753197862428496E-3</v>
      </c>
      <c r="AU34" s="577">
        <v>5106.4747799999996</v>
      </c>
      <c r="AV34" s="563">
        <f t="shared" ref="AV34:AV40" si="26">AW34+AX34+AY34+AZ34</f>
        <v>3.6558790014982294E-2</v>
      </c>
      <c r="AW34" s="563">
        <v>9.5762710163758164E-3</v>
      </c>
      <c r="AX34" s="563">
        <v>1.0095449248422405E-2</v>
      </c>
      <c r="AY34" s="571">
        <v>9.2215645237032368E-3</v>
      </c>
      <c r="AZ34" s="563">
        <v>7.6655052264808371E-3</v>
      </c>
      <c r="BD34" s="580">
        <v>108.973</v>
      </c>
      <c r="BE34" s="563">
        <v>46.86</v>
      </c>
      <c r="BF34" s="362">
        <f t="shared" si="15"/>
        <v>5106.4747799999996</v>
      </c>
      <c r="BG34" s="578">
        <f>+BF34/$BF$112</f>
        <v>5.7429345884932653E-3</v>
      </c>
    </row>
    <row r="35" spans="2:59">
      <c r="B35" s="579" t="s">
        <v>125</v>
      </c>
      <c r="C35" s="570">
        <f>D35*P35</f>
        <v>0.29083474525311809</v>
      </c>
      <c r="D35" s="569">
        <f>((E35/O35)-1)*100</f>
        <v>14.151704743634163</v>
      </c>
      <c r="E35" s="571">
        <v>36.751312460497267</v>
      </c>
      <c r="F35" s="563">
        <f t="shared" si="4"/>
        <v>1.9916912827812015E-2</v>
      </c>
      <c r="G35" s="571">
        <v>20554.59881</v>
      </c>
      <c r="H35" s="563">
        <f t="shared" si="5"/>
        <v>0.15825125939165666</v>
      </c>
      <c r="I35" s="563">
        <v>7.9754390318048339E-3</v>
      </c>
      <c r="J35" s="563">
        <v>8.1524779708258138E-3</v>
      </c>
      <c r="K35" s="563">
        <v>7.3259996304620018E-3</v>
      </c>
      <c r="L35" s="572">
        <v>7.9107517794253339E-3</v>
      </c>
      <c r="M35" s="570">
        <f t="shared" si="6"/>
        <v>-4.0425330504650393E-2</v>
      </c>
      <c r="N35" s="569">
        <f t="shared" si="7"/>
        <v>-2.096125049209363</v>
      </c>
      <c r="O35" s="571">
        <v>32.195149904273997</v>
      </c>
      <c r="P35" s="563">
        <f>Q35/Q$112</f>
        <v>2.0551216303742049E-2</v>
      </c>
      <c r="Q35" s="571">
        <v>18032.955449999998</v>
      </c>
      <c r="R35" s="563">
        <f t="shared" si="9"/>
        <v>0.12688659097913868</v>
      </c>
      <c r="S35" s="572">
        <v>7.8337614944674217E-3</v>
      </c>
      <c r="T35" s="563">
        <v>8.2739580738238165E-3</v>
      </c>
      <c r="U35" s="563">
        <v>7.193182875530368E-3</v>
      </c>
      <c r="V35" s="563">
        <v>7.0718813093325547E-3</v>
      </c>
      <c r="W35" s="570">
        <f t="shared" si="10"/>
        <v>0.16895378385488366</v>
      </c>
      <c r="X35" s="573">
        <f t="shared" si="11"/>
        <v>10.056671592313226</v>
      </c>
      <c r="Y35" s="574">
        <v>32.884449078707277</v>
      </c>
      <c r="Z35" s="563">
        <f t="shared" si="22"/>
        <v>1.9285743720251047E-2</v>
      </c>
      <c r="AA35" s="571">
        <v>18878.974910000001</v>
      </c>
      <c r="AB35" s="563">
        <f t="shared" si="12"/>
        <v>9.6513807225984516E-2</v>
      </c>
      <c r="AC35" s="563">
        <v>6.9031684351536469E-3</v>
      </c>
      <c r="AD35" s="563">
        <v>6.9157233773748071E-3</v>
      </c>
      <c r="AE35" s="571">
        <v>6.1868280880768931E-3</v>
      </c>
      <c r="AF35" s="563">
        <v>5.9398368985820989E-3</v>
      </c>
      <c r="AG35" s="575">
        <f t="shared" si="20"/>
        <v>0.50245199075378688</v>
      </c>
      <c r="AH35" s="573">
        <f>((AI35/AS35)-1)*100</f>
        <v>32.437969894153859</v>
      </c>
      <c r="AI35" s="576">
        <v>29.879559869411906</v>
      </c>
      <c r="AJ35" s="563">
        <f t="shared" si="23"/>
        <v>1.6800169151792006E-2</v>
      </c>
      <c r="AK35" s="571">
        <v>16874.58137</v>
      </c>
      <c r="AL35" s="563">
        <f t="shared" si="24"/>
        <v>7.0568250426797069E-2</v>
      </c>
      <c r="AM35" s="563">
        <v>6.481360490475623E-3</v>
      </c>
      <c r="AN35" s="563">
        <v>7.3029782514806071E-3</v>
      </c>
      <c r="AO35" s="563">
        <v>6.8511112588968606E-3</v>
      </c>
      <c r="AP35" s="571">
        <v>7.3647193366133731E-3</v>
      </c>
      <c r="AQ35" s="563">
        <f t="shared" si="13"/>
        <v>-0.31494349544652889</v>
      </c>
      <c r="AR35" s="563">
        <v>-20.447202839304957</v>
      </c>
      <c r="AS35" s="563">
        <v>22.561173274773115</v>
      </c>
      <c r="AT35" s="563">
        <f t="shared" si="25"/>
        <v>1.548962504106465E-2</v>
      </c>
      <c r="AU35" s="577">
        <v>13695.75756</v>
      </c>
      <c r="AV35" s="563">
        <f t="shared" si="26"/>
        <v>4.2568081089330613E-2</v>
      </c>
      <c r="AW35" s="563">
        <v>7.6518758245088473E-3</v>
      </c>
      <c r="AX35" s="563">
        <v>7.9608938866524738E-3</v>
      </c>
      <c r="AY35" s="571">
        <v>8.1850848409524644E-3</v>
      </c>
      <c r="AZ35" s="563">
        <v>1.8770226537216828E-2</v>
      </c>
      <c r="BD35" s="580">
        <v>502.22800000000001</v>
      </c>
      <c r="BE35" s="563">
        <v>27.27</v>
      </c>
      <c r="BF35" s="362">
        <f t="shared" si="15"/>
        <v>13695.75756</v>
      </c>
      <c r="BG35" s="578">
        <f>+BF35/$BF$112</f>
        <v>1.5402766721770069E-2</v>
      </c>
    </row>
    <row r="36" spans="2:59">
      <c r="B36" s="579" t="s">
        <v>126</v>
      </c>
      <c r="C36" s="570">
        <f>D36*P36</f>
        <v>8.4962708620516733E-2</v>
      </c>
      <c r="D36" s="569">
        <f>((E36/O36)-1)*100</f>
        <v>14.948074083685835</v>
      </c>
      <c r="E36" s="571">
        <v>127.2807226833753</v>
      </c>
      <c r="F36" s="563">
        <f t="shared" si="4"/>
        <v>5.653027348135848E-3</v>
      </c>
      <c r="G36" s="571">
        <v>5834.0220800000006</v>
      </c>
      <c r="H36" s="563">
        <f t="shared" si="5"/>
        <v>0.16472110801038906</v>
      </c>
      <c r="I36" s="563">
        <v>9.0944266650529737E-3</v>
      </c>
      <c r="J36" s="563">
        <v>9.2298897759490843E-3</v>
      </c>
      <c r="K36" s="563">
        <v>1.012459392426677E-2</v>
      </c>
      <c r="L36" s="572">
        <v>1.006301668849178E-2</v>
      </c>
      <c r="M36" s="570">
        <f t="shared" si="6"/>
        <v>-3.2913784341893577E-2</v>
      </c>
      <c r="N36" s="569">
        <f t="shared" si="7"/>
        <v>-5.8961147327112666</v>
      </c>
      <c r="O36" s="571">
        <v>110.72888667165569</v>
      </c>
      <c r="P36" s="563">
        <f>Q36/Q$112</f>
        <v>5.683856538632231E-3</v>
      </c>
      <c r="Q36" s="571">
        <v>4987.3803199999993</v>
      </c>
      <c r="R36" s="563">
        <f t="shared" si="9"/>
        <v>0.12620918095662845</v>
      </c>
      <c r="S36" s="572">
        <v>9.4276714089158026E-3</v>
      </c>
      <c r="T36" s="563">
        <v>9.3419884852042889E-3</v>
      </c>
      <c r="U36" s="563">
        <v>8.4619133537032765E-3</v>
      </c>
      <c r="V36" s="563">
        <v>7.9563078270707115E-3</v>
      </c>
      <c r="W36" s="570">
        <f t="shared" si="10"/>
        <v>-1.186720157792279E-2</v>
      </c>
      <c r="X36" s="573">
        <f t="shared" si="11"/>
        <v>-2.0786036087071857</v>
      </c>
      <c r="Y36" s="574">
        <v>117.66664719224504</v>
      </c>
      <c r="Z36" s="563">
        <f t="shared" si="22"/>
        <v>5.5822835602723289E-3</v>
      </c>
      <c r="AA36" s="571">
        <v>5464.5437999999995</v>
      </c>
      <c r="AB36" s="563">
        <f t="shared" si="12"/>
        <v>9.1021299881734366E-2</v>
      </c>
      <c r="AC36" s="563">
        <v>7.9336048132048077E-3</v>
      </c>
      <c r="AD36" s="563">
        <v>8.1427001934783177E-3</v>
      </c>
      <c r="AE36" s="571">
        <v>7.557970808627433E-3</v>
      </c>
      <c r="AF36" s="563">
        <v>6.8946711570908427E-3</v>
      </c>
      <c r="AG36" s="575">
        <f t="shared" si="20"/>
        <v>0.13003060585125978</v>
      </c>
      <c r="AH36" s="573">
        <f>((AI36/AS36)-1)*100</f>
        <v>21.317521513477544</v>
      </c>
      <c r="AI36" s="576">
        <v>120.16438850815651</v>
      </c>
      <c r="AJ36" s="563">
        <f t="shared" si="23"/>
        <v>5.7092182117896685E-3</v>
      </c>
      <c r="AK36" s="571">
        <v>5734.5057900000002</v>
      </c>
      <c r="AL36" s="563">
        <f t="shared" si="24"/>
        <v>6.0492352909332969E-2</v>
      </c>
      <c r="AM36" s="563">
        <v>6.9732532411187053E-3</v>
      </c>
      <c r="AN36" s="563">
        <v>7.1860751346376397E-3</v>
      </c>
      <c r="AO36" s="563">
        <v>7.5643666369905231E-3</v>
      </c>
      <c r="AP36" s="571">
        <v>7.3254444488138276E-3</v>
      </c>
      <c r="AQ36" s="563">
        <f t="shared" si="13"/>
        <v>5.1051470455358218E-2</v>
      </c>
      <c r="AR36" s="563">
        <v>8.4166941630796632</v>
      </c>
      <c r="AS36" s="563">
        <v>99.04949178738957</v>
      </c>
      <c r="AT36" s="563">
        <f t="shared" si="25"/>
        <v>6.0997056233319958E-3</v>
      </c>
      <c r="AU36" s="577">
        <v>5393.2932000000001</v>
      </c>
      <c r="AV36" s="563">
        <f t="shared" si="26"/>
        <v>3.1443213447772275E-2</v>
      </c>
      <c r="AW36" s="563">
        <v>7.570029786519725E-3</v>
      </c>
      <c r="AX36" s="563">
        <v>8.5142737129581623E-3</v>
      </c>
      <c r="AY36" s="571">
        <v>7.727061218370709E-3</v>
      </c>
      <c r="AZ36" s="563">
        <v>7.6318487299236815E-3</v>
      </c>
      <c r="BD36" s="580">
        <v>50.499000000000002</v>
      </c>
      <c r="BE36" s="563">
        <v>106.8</v>
      </c>
      <c r="BF36" s="362">
        <f t="shared" si="15"/>
        <v>5393.2932000000001</v>
      </c>
      <c r="BG36" s="578">
        <f>+BF36/$BF$112</f>
        <v>6.0655014268308069E-3</v>
      </c>
    </row>
    <row r="37" spans="2:59">
      <c r="B37" s="563" t="s">
        <v>239</v>
      </c>
      <c r="C37" s="570"/>
      <c r="D37" s="569"/>
      <c r="E37" s="571" t="e">
        <v>#DIV/0!</v>
      </c>
      <c r="F37" s="563">
        <f t="shared" si="4"/>
        <v>0</v>
      </c>
      <c r="G37" s="571">
        <v>0</v>
      </c>
      <c r="H37" s="563" t="e">
        <f t="shared" si="5"/>
        <v>#DIV/0!</v>
      </c>
      <c r="I37" s="563" t="e">
        <v>#DIV/0!</v>
      </c>
      <c r="J37" s="563" t="e">
        <v>#DIV/0!</v>
      </c>
      <c r="K37" s="563" t="e">
        <v>#DIV/0!</v>
      </c>
      <c r="L37" s="572" t="e">
        <v>#DIV/0!</v>
      </c>
      <c r="M37" s="570" t="e">
        <f t="shared" si="6"/>
        <v>#DIV/0!</v>
      </c>
      <c r="N37" s="569" t="e">
        <f t="shared" si="7"/>
        <v>#DIV/0!</v>
      </c>
      <c r="O37" s="571" t="e">
        <v>#DIV/0!</v>
      </c>
      <c r="Q37" s="571">
        <v>0</v>
      </c>
      <c r="R37" s="563" t="e">
        <f t="shared" si="9"/>
        <v>#DIV/0!</v>
      </c>
      <c r="S37" s="572" t="e">
        <v>#DIV/0!</v>
      </c>
      <c r="T37" s="563" t="e">
        <v>#DIV/0!</v>
      </c>
      <c r="U37" s="563" t="e">
        <v>#DIV/0!</v>
      </c>
      <c r="V37" s="563" t="e">
        <v>#DIV/0!</v>
      </c>
      <c r="W37" s="570" t="e">
        <f t="shared" si="10"/>
        <v>#DIV/0!</v>
      </c>
      <c r="X37" s="573" t="e">
        <f t="shared" si="11"/>
        <v>#DIV/0!</v>
      </c>
      <c r="Y37" s="574" t="e">
        <v>#DIV/0!</v>
      </c>
      <c r="Z37" s="563">
        <f t="shared" si="22"/>
        <v>0</v>
      </c>
      <c r="AA37" s="571">
        <v>0</v>
      </c>
      <c r="AB37" s="563" t="e">
        <f t="shared" si="12"/>
        <v>#DIV/0!</v>
      </c>
      <c r="AC37" s="563" t="e">
        <v>#DIV/0!</v>
      </c>
      <c r="AD37" s="563" t="e">
        <v>#DIV/0!</v>
      </c>
      <c r="AE37" s="571" t="e">
        <v>#DIV/0!</v>
      </c>
      <c r="AF37" s="563" t="e">
        <v>#DIV/0!</v>
      </c>
      <c r="AG37" s="575" t="e">
        <f t="shared" si="20"/>
        <v>#DIV/0!</v>
      </c>
      <c r="AH37" s="573" t="e">
        <f>((AI37/AS37)-1)*100</f>
        <v>#DIV/0!</v>
      </c>
      <c r="AI37" s="576" t="e">
        <v>#DIV/0!</v>
      </c>
      <c r="AJ37" s="563">
        <f t="shared" si="23"/>
        <v>0</v>
      </c>
      <c r="AK37" s="571">
        <v>0</v>
      </c>
      <c r="AL37" s="563" t="e">
        <f t="shared" si="24"/>
        <v>#DIV/0!</v>
      </c>
      <c r="AM37" s="563" t="e">
        <v>#DIV/0!</v>
      </c>
      <c r="AN37" s="563" t="e">
        <v>#DIV/0!</v>
      </c>
      <c r="AO37" s="563" t="e">
        <v>#DIV/0!</v>
      </c>
      <c r="AP37" s="571" t="e">
        <v>#DIV/0!</v>
      </c>
      <c r="AQ37" s="563" t="e">
        <f t="shared" si="13"/>
        <v>#DIV/0!</v>
      </c>
      <c r="AR37" s="563" t="e">
        <v>#DIV/0!</v>
      </c>
      <c r="AS37" s="563" t="e">
        <v>#DIV/0!</v>
      </c>
      <c r="AT37" s="563">
        <f t="shared" si="25"/>
        <v>0</v>
      </c>
      <c r="AU37" s="577">
        <v>0</v>
      </c>
      <c r="AV37" s="563" t="e">
        <f t="shared" si="26"/>
        <v>#DIV/0!</v>
      </c>
      <c r="AW37" s="563" t="e">
        <v>#DIV/0!</v>
      </c>
      <c r="AX37" s="563" t="e">
        <v>#DIV/0!</v>
      </c>
      <c r="AY37" s="571" t="e">
        <v>#DIV/0!</v>
      </c>
      <c r="AZ37" s="563" t="e">
        <v>#DIV/0!</v>
      </c>
      <c r="BD37" s="580"/>
      <c r="BF37" s="362">
        <f t="shared" si="15"/>
        <v>0</v>
      </c>
      <c r="BG37" s="578"/>
    </row>
    <row r="38" spans="2:59">
      <c r="B38" s="563" t="s">
        <v>240</v>
      </c>
      <c r="C38" s="570"/>
      <c r="D38" s="569"/>
      <c r="E38" s="571" t="e">
        <v>#DIV/0!</v>
      </c>
      <c r="G38" s="571">
        <v>0</v>
      </c>
      <c r="H38" s="563" t="e">
        <f t="shared" si="5"/>
        <v>#DIV/0!</v>
      </c>
      <c r="I38" s="563" t="e">
        <v>#DIV/0!</v>
      </c>
      <c r="J38" s="563" t="e">
        <v>#DIV/0!</v>
      </c>
      <c r="K38" s="563" t="e">
        <v>#DIV/0!</v>
      </c>
      <c r="L38" s="572" t="e">
        <v>#DIV/0!</v>
      </c>
      <c r="N38" s="569"/>
      <c r="O38" s="571">
        <v>0</v>
      </c>
      <c r="Q38" s="571">
        <v>0</v>
      </c>
      <c r="S38" s="572" t="e">
        <v>#VALUE!</v>
      </c>
      <c r="T38" s="563" t="e">
        <v>#VALUE!</v>
      </c>
      <c r="U38" s="563" t="e">
        <v>#VALUE!</v>
      </c>
      <c r="V38" s="563" t="e">
        <v>#VALUE!</v>
      </c>
      <c r="W38" s="570" t="s">
        <v>96</v>
      </c>
      <c r="X38" s="573" t="s">
        <v>96</v>
      </c>
      <c r="Y38" s="574" t="e">
        <v>#VALUE!</v>
      </c>
      <c r="Z38" s="563">
        <f t="shared" si="22"/>
        <v>0</v>
      </c>
      <c r="AA38" s="571">
        <v>0</v>
      </c>
      <c r="AB38" s="563" t="s">
        <v>96</v>
      </c>
      <c r="AC38" s="563" t="e">
        <v>#DIV/0!</v>
      </c>
      <c r="AD38" s="563" t="e">
        <v>#DIV/0!</v>
      </c>
      <c r="AE38" s="571" t="e">
        <v>#DIV/0!</v>
      </c>
      <c r="AF38" s="563" t="e">
        <v>#DIV/0!</v>
      </c>
      <c r="AG38" s="575"/>
      <c r="AH38" s="573"/>
      <c r="AI38" s="576" t="e">
        <v>#DIV/0!</v>
      </c>
      <c r="AJ38" s="563">
        <f t="shared" si="23"/>
        <v>0</v>
      </c>
      <c r="AK38" s="571">
        <v>0</v>
      </c>
      <c r="AL38" s="563" t="e">
        <f t="shared" si="24"/>
        <v>#DIV/0!</v>
      </c>
      <c r="AM38" s="563" t="e">
        <v>#DIV/0!</v>
      </c>
      <c r="AN38" s="563" t="e">
        <v>#DIV/0!</v>
      </c>
      <c r="AO38" s="563" t="e">
        <v>#DIV/0!</v>
      </c>
      <c r="AP38" s="571" t="e">
        <v>#DIV/0!</v>
      </c>
      <c r="AQ38" s="563" t="e">
        <f t="shared" si="13"/>
        <v>#DIV/0!</v>
      </c>
      <c r="AR38" s="563" t="e">
        <v>#DIV/0!</v>
      </c>
      <c r="AS38" s="563" t="e">
        <v>#DIV/0!</v>
      </c>
      <c r="AT38" s="563">
        <f t="shared" si="25"/>
        <v>0</v>
      </c>
      <c r="AU38" s="577">
        <v>0</v>
      </c>
      <c r="AV38" s="563" t="e">
        <f t="shared" si="26"/>
        <v>#DIV/0!</v>
      </c>
      <c r="AW38" s="563" t="e">
        <v>#DIV/0!</v>
      </c>
      <c r="AX38" s="563" t="e">
        <v>#DIV/0!</v>
      </c>
      <c r="AY38" s="571" t="e">
        <v>#DIV/0!</v>
      </c>
      <c r="AZ38" s="563" t="e">
        <v>#DIV/0!</v>
      </c>
      <c r="BD38" s="580"/>
      <c r="BF38" s="362">
        <f t="shared" si="15"/>
        <v>0</v>
      </c>
      <c r="BG38" s="578"/>
    </row>
    <row r="39" spans="2:59">
      <c r="B39" s="579" t="s">
        <v>557</v>
      </c>
      <c r="C39" s="570">
        <f>D39*P39</f>
        <v>0.31967361506738279</v>
      </c>
      <c r="D39" s="569">
        <f>((E39/O39)-1)*100</f>
        <v>23.35334257786721</v>
      </c>
      <c r="E39" s="571">
        <v>75.015312566793895</v>
      </c>
      <c r="F39" s="563">
        <f t="shared" si="4"/>
        <v>1.3735200810873252E-2</v>
      </c>
      <c r="G39" s="571">
        <v>14174.965</v>
      </c>
      <c r="H39" s="563">
        <f t="shared" si="5"/>
        <v>0.21877030977731773</v>
      </c>
      <c r="I39" s="563">
        <v>1.307556847794205E-2</v>
      </c>
      <c r="J39" s="563">
        <v>1.2364372870752942E-2</v>
      </c>
      <c r="K39" s="563">
        <v>1.430104475104481E-2</v>
      </c>
      <c r="L39" s="572">
        <v>1.4022422887923434E-2</v>
      </c>
      <c r="M39" s="570">
        <f t="shared" si="6"/>
        <v>-0.19602830579766142</v>
      </c>
      <c r="N39" s="569">
        <f t="shared" si="7"/>
        <v>-13.263682013000878</v>
      </c>
      <c r="O39" s="571">
        <v>60.813360221219966</v>
      </c>
      <c r="P39" s="563">
        <f>Q39/Q$112</f>
        <v>1.3688559314431879E-2</v>
      </c>
      <c r="Q39" s="571">
        <v>12011.220000000001</v>
      </c>
      <c r="R39" s="563">
        <f t="shared" si="9"/>
        <v>0.16500690078965449</v>
      </c>
      <c r="S39" s="572">
        <v>1.4165055282345705E-2</v>
      </c>
      <c r="T39" s="563">
        <v>1.3737210823351557E-2</v>
      </c>
      <c r="U39" s="563">
        <v>1.1798188942428728E-2</v>
      </c>
      <c r="V39" s="563">
        <v>1.1165110728006905E-2</v>
      </c>
      <c r="W39" s="570">
        <f t="shared" si="10"/>
        <v>-7.6610777236388483E-2</v>
      </c>
      <c r="X39" s="573">
        <f t="shared" si="11"/>
        <v>-4.8827086067647301</v>
      </c>
      <c r="Y39" s="574">
        <v>70.112914212400923</v>
      </c>
      <c r="Z39" s="563">
        <f t="shared" si="22"/>
        <v>1.4779327912529658E-2</v>
      </c>
      <c r="AA39" s="571">
        <v>14467.607</v>
      </c>
      <c r="AB39" s="563">
        <f t="shared" si="12"/>
        <v>0.1141413350135216</v>
      </c>
      <c r="AC39" s="563">
        <v>1.0739451039788834E-2</v>
      </c>
      <c r="AD39" s="563">
        <v>1.0533120656550286E-2</v>
      </c>
      <c r="AE39" s="571">
        <v>9.5053722815008086E-3</v>
      </c>
      <c r="AF39" s="563">
        <v>9.0001892453172895E-3</v>
      </c>
      <c r="AG39" s="575">
        <f t="shared" ref="AG39:AG51" si="27">AH39*AT39</f>
        <v>0.48279256609206123</v>
      </c>
      <c r="AH39" s="573">
        <f>((AI39/AS39)-1)*100</f>
        <v>27.955254459296963</v>
      </c>
      <c r="AI39" s="576">
        <v>73.712059274836903</v>
      </c>
      <c r="AJ39" s="563">
        <f t="shared" si="23"/>
        <v>1.5690221024094776E-2</v>
      </c>
      <c r="AK39" s="571">
        <v>15759.716999999999</v>
      </c>
      <c r="AL39" s="563">
        <f t="shared" si="24"/>
        <v>7.4363201790364375E-2</v>
      </c>
      <c r="AM39" s="563">
        <v>8.8905855241568823E-3</v>
      </c>
      <c r="AN39" s="563">
        <v>9.0862811780094196E-3</v>
      </c>
      <c r="AO39" s="563">
        <v>9.2703467443973741E-3</v>
      </c>
      <c r="AP39" s="571">
        <v>9.326680325712702E-3</v>
      </c>
      <c r="AQ39" s="563">
        <f t="shared" si="13"/>
        <v>0.15637128096637901</v>
      </c>
      <c r="AR39" s="563">
        <v>9.1054630456137495</v>
      </c>
      <c r="AS39" s="563">
        <v>57.607684488084061</v>
      </c>
      <c r="AT39" s="563">
        <f t="shared" si="25"/>
        <v>1.7270190360635436E-2</v>
      </c>
      <c r="AU39" s="577">
        <v>15270.114</v>
      </c>
      <c r="AV39" s="563">
        <f t="shared" si="26"/>
        <v>3.7789308018088004E-2</v>
      </c>
      <c r="AW39" s="563">
        <v>9.9066335942488565E-3</v>
      </c>
      <c r="AX39" s="563">
        <v>1.0113604492626181E-2</v>
      </c>
      <c r="AY39" s="571">
        <v>8.595591275445482E-3</v>
      </c>
      <c r="AZ39" s="563">
        <v>9.1734786557674843E-3</v>
      </c>
      <c r="BD39" s="580">
        <v>234.6</v>
      </c>
      <c r="BE39" s="563">
        <v>65.09</v>
      </c>
      <c r="BF39" s="362">
        <f t="shared" si="15"/>
        <v>15270.114</v>
      </c>
      <c r="BG39" s="578">
        <f>+BF39/$BF$112</f>
        <v>1.7173347492932346E-2</v>
      </c>
    </row>
    <row r="40" spans="2:59">
      <c r="B40" s="563" t="s">
        <v>127</v>
      </c>
      <c r="C40" s="570"/>
      <c r="D40" s="569"/>
      <c r="E40" s="571" t="e">
        <v>#DIV/0!</v>
      </c>
      <c r="F40" s="563">
        <f t="shared" si="4"/>
        <v>0</v>
      </c>
      <c r="G40" s="571">
        <v>0</v>
      </c>
      <c r="H40" s="563" t="e">
        <f t="shared" si="5"/>
        <v>#DIV/0!</v>
      </c>
      <c r="I40" s="563" t="e">
        <v>#DIV/0!</v>
      </c>
      <c r="J40" s="563" t="e">
        <v>#DIV/0!</v>
      </c>
      <c r="K40" s="563" t="e">
        <v>#DIV/0!</v>
      </c>
      <c r="L40" s="572" t="e">
        <v>#DIV/0!</v>
      </c>
      <c r="M40" s="570" t="e">
        <f t="shared" si="6"/>
        <v>#DIV/0!</v>
      </c>
      <c r="N40" s="569" t="e">
        <f t="shared" si="7"/>
        <v>#DIV/0!</v>
      </c>
      <c r="O40" s="571" t="e">
        <v>#DIV/0!</v>
      </c>
      <c r="Q40" s="571">
        <v>0</v>
      </c>
      <c r="R40" s="563" t="e">
        <f t="shared" si="9"/>
        <v>#DIV/0!</v>
      </c>
      <c r="S40" s="572" t="e">
        <v>#DIV/0!</v>
      </c>
      <c r="T40" s="563" t="e">
        <v>#DIV/0!</v>
      </c>
      <c r="U40" s="563" t="e">
        <v>#DIV/0!</v>
      </c>
      <c r="V40" s="563" t="e">
        <v>#DIV/0!</v>
      </c>
      <c r="W40" s="570" t="e">
        <f t="shared" si="10"/>
        <v>#DIV/0!</v>
      </c>
      <c r="X40" s="573" t="e">
        <f t="shared" si="11"/>
        <v>#DIV/0!</v>
      </c>
      <c r="Y40" s="574" t="e">
        <v>#DIV/0!</v>
      </c>
      <c r="Z40" s="563">
        <f t="shared" si="22"/>
        <v>0</v>
      </c>
      <c r="AA40" s="571">
        <v>0</v>
      </c>
      <c r="AB40" s="563" t="e">
        <f t="shared" si="12"/>
        <v>#DIV/0!</v>
      </c>
      <c r="AC40" s="563" t="e">
        <v>#DIV/0!</v>
      </c>
      <c r="AD40" s="563" t="e">
        <v>#DIV/0!</v>
      </c>
      <c r="AE40" s="571" t="e">
        <v>#DIV/0!</v>
      </c>
      <c r="AF40" s="563" t="e">
        <v>#DIV/0!</v>
      </c>
      <c r="AG40" s="575" t="e">
        <f t="shared" si="27"/>
        <v>#DIV/0!</v>
      </c>
      <c r="AH40" s="573" t="e">
        <f>((AI40/AS40)-1)*100</f>
        <v>#DIV/0!</v>
      </c>
      <c r="AI40" s="576" t="e">
        <v>#DIV/0!</v>
      </c>
      <c r="AJ40" s="563">
        <f t="shared" si="23"/>
        <v>0</v>
      </c>
      <c r="AK40" s="571">
        <v>0</v>
      </c>
      <c r="AL40" s="563" t="e">
        <f t="shared" si="24"/>
        <v>#DIV/0!</v>
      </c>
      <c r="AM40" s="563" t="e">
        <v>#DIV/0!</v>
      </c>
      <c r="AN40" s="563" t="e">
        <v>#DIV/0!</v>
      </c>
      <c r="AO40" s="563" t="e">
        <v>#DIV/0!</v>
      </c>
      <c r="AP40" s="571" t="e">
        <v>#DIV/0!</v>
      </c>
      <c r="AQ40" s="563" t="e">
        <f t="shared" si="13"/>
        <v>#DIV/0!</v>
      </c>
      <c r="AR40" s="563" t="e">
        <v>#DIV/0!</v>
      </c>
      <c r="AS40" s="563" t="e">
        <v>#DIV/0!</v>
      </c>
      <c r="AT40" s="563">
        <f t="shared" si="25"/>
        <v>0</v>
      </c>
      <c r="AU40" s="577">
        <v>0</v>
      </c>
      <c r="AV40" s="563" t="e">
        <f t="shared" si="26"/>
        <v>#DIV/0!</v>
      </c>
      <c r="AW40" s="563" t="e">
        <v>#DIV/0!</v>
      </c>
      <c r="AX40" s="563" t="e">
        <v>#DIV/0!</v>
      </c>
      <c r="AY40" s="571" t="e">
        <v>#DIV/0!</v>
      </c>
      <c r="AZ40" s="563" t="e">
        <v>#DIV/0!</v>
      </c>
      <c r="BD40" s="580"/>
      <c r="BF40" s="362">
        <f t="shared" si="15"/>
        <v>0</v>
      </c>
      <c r="BG40" s="578">
        <f>+BF40/$BF$112</f>
        <v>0</v>
      </c>
    </row>
    <row r="41" spans="2:59">
      <c r="B41" s="563" t="s">
        <v>241</v>
      </c>
      <c r="C41" s="570"/>
      <c r="D41" s="569"/>
      <c r="E41" s="571" t="e">
        <v>#DIV/0!</v>
      </c>
      <c r="G41" s="571">
        <v>0</v>
      </c>
      <c r="H41" s="563" t="e">
        <f t="shared" si="5"/>
        <v>#DIV/0!</v>
      </c>
      <c r="I41" s="563" t="e">
        <v>#DIV/0!</v>
      </c>
      <c r="J41" s="563" t="e">
        <v>#DIV/0!</v>
      </c>
      <c r="K41" s="563" t="e">
        <v>#DIV/0!</v>
      </c>
      <c r="L41" s="572" t="e">
        <v>#DIV/0!</v>
      </c>
      <c r="M41" s="570"/>
      <c r="N41" s="569"/>
      <c r="O41" s="571">
        <v>0</v>
      </c>
      <c r="Q41" s="571">
        <v>0</v>
      </c>
      <c r="S41" s="572" t="e">
        <v>#DIV/0!</v>
      </c>
      <c r="T41" s="563" t="e">
        <v>#DIV/0!</v>
      </c>
      <c r="U41" s="563" t="e">
        <v>#DIV/0!</v>
      </c>
      <c r="V41" s="563" t="e">
        <v>#DIV/0!</v>
      </c>
      <c r="W41" s="570"/>
      <c r="X41" s="573"/>
      <c r="Y41" s="574">
        <v>0</v>
      </c>
      <c r="AA41" s="571">
        <v>0</v>
      </c>
      <c r="AC41" s="563" t="e">
        <v>#DIV/0!</v>
      </c>
      <c r="AD41" s="563" t="e">
        <v>#DIV/0!</v>
      </c>
      <c r="AE41" s="571" t="e">
        <v>#DIV/0!</v>
      </c>
      <c r="AF41" s="563" t="e">
        <v>#DIV/0!</v>
      </c>
      <c r="AG41" s="575">
        <f t="shared" si="27"/>
        <v>0</v>
      </c>
      <c r="AH41" s="573"/>
      <c r="AI41" s="576">
        <v>0</v>
      </c>
      <c r="AK41" s="571">
        <v>0</v>
      </c>
      <c r="AM41" s="563" t="e">
        <v>#DIV/0!</v>
      </c>
      <c r="AN41" s="563" t="e">
        <v>#DIV/0!</v>
      </c>
      <c r="AO41" s="563" t="e">
        <v>#DIV/0!</v>
      </c>
      <c r="AP41" s="571" t="e">
        <v>#DIV/0!</v>
      </c>
      <c r="AQ41" s="563" t="e">
        <f t="shared" si="13"/>
        <v>#DIV/0!</v>
      </c>
      <c r="AR41" s="563" t="e">
        <v>#DIV/0!</v>
      </c>
      <c r="AS41" s="563">
        <v>0</v>
      </c>
      <c r="AU41" s="577">
        <v>0</v>
      </c>
      <c r="AW41" s="563" t="e">
        <v>#DIV/0!</v>
      </c>
      <c r="AX41" s="563" t="e">
        <v>#DIV/0!</v>
      </c>
      <c r="AY41" s="571" t="e">
        <v>#DIV/0!</v>
      </c>
      <c r="AZ41" s="563" t="e">
        <v>#DIV/0!</v>
      </c>
      <c r="BD41" s="580"/>
      <c r="BF41" s="362">
        <f t="shared" si="15"/>
        <v>0</v>
      </c>
      <c r="BG41" s="578"/>
    </row>
    <row r="42" spans="2:59">
      <c r="B42" s="563" t="s">
        <v>242</v>
      </c>
      <c r="C42" s="570"/>
      <c r="D42" s="569"/>
      <c r="E42" s="571" t="e">
        <v>#DIV/0!</v>
      </c>
      <c r="F42" s="563">
        <f t="shared" si="4"/>
        <v>0</v>
      </c>
      <c r="G42" s="571">
        <v>0</v>
      </c>
      <c r="H42" s="563" t="e">
        <f t="shared" si="5"/>
        <v>#DIV/0!</v>
      </c>
      <c r="I42" s="563" t="e">
        <v>#DIV/0!</v>
      </c>
      <c r="J42" s="563" t="e">
        <v>#DIV/0!</v>
      </c>
      <c r="K42" s="563" t="e">
        <v>#DIV/0!</v>
      </c>
      <c r="L42" s="572" t="e">
        <v>#DIV/0!</v>
      </c>
      <c r="M42" s="570" t="e">
        <f t="shared" si="6"/>
        <v>#DIV/0!</v>
      </c>
      <c r="N42" s="569" t="e">
        <f t="shared" si="7"/>
        <v>#DIV/0!</v>
      </c>
      <c r="O42" s="571" t="e">
        <v>#DIV/0!</v>
      </c>
      <c r="Q42" s="571">
        <v>0</v>
      </c>
      <c r="R42" s="563" t="e">
        <f t="shared" si="9"/>
        <v>#DIV/0!</v>
      </c>
      <c r="S42" s="572" t="e">
        <v>#DIV/0!</v>
      </c>
      <c r="T42" s="563" t="e">
        <v>#DIV/0!</v>
      </c>
      <c r="U42" s="563" t="e">
        <v>#DIV/0!</v>
      </c>
      <c r="V42" s="563" t="e">
        <v>#DIV/0!</v>
      </c>
      <c r="W42" s="570" t="e">
        <f t="shared" si="10"/>
        <v>#DIV/0!</v>
      </c>
      <c r="X42" s="573" t="e">
        <f t="shared" si="11"/>
        <v>#DIV/0!</v>
      </c>
      <c r="Y42" s="574" t="e">
        <v>#DIV/0!</v>
      </c>
      <c r="Z42" s="563">
        <f>AA42/$AA$112</f>
        <v>0</v>
      </c>
      <c r="AA42" s="571">
        <v>0</v>
      </c>
      <c r="AB42" s="563" t="e">
        <f t="shared" si="12"/>
        <v>#DIV/0!</v>
      </c>
      <c r="AC42" s="563" t="e">
        <v>#DIV/0!</v>
      </c>
      <c r="AD42" s="563" t="e">
        <v>#DIV/0!</v>
      </c>
      <c r="AE42" s="571" t="e">
        <v>#DIV/0!</v>
      </c>
      <c r="AF42" s="563" t="e">
        <v>#DIV/0!</v>
      </c>
      <c r="AG42" s="575" t="e">
        <f t="shared" si="27"/>
        <v>#DIV/0!</v>
      </c>
      <c r="AH42" s="573" t="e">
        <f t="shared" ref="AH42:AH48" si="28">((AI42/AS42)-1)*100</f>
        <v>#DIV/0!</v>
      </c>
      <c r="AI42" s="576" t="e">
        <v>#DIV/0!</v>
      </c>
      <c r="AJ42" s="563">
        <f t="shared" ref="AJ42:AJ48" si="29">AK42/$AK$112</f>
        <v>0</v>
      </c>
      <c r="AK42" s="571">
        <v>0</v>
      </c>
      <c r="AL42" s="563" t="e">
        <f t="shared" ref="AL42:AL48" si="30">AM42+AN42+AO42+AP42+AV42</f>
        <v>#DIV/0!</v>
      </c>
      <c r="AM42" s="563" t="e">
        <v>#DIV/0!</v>
      </c>
      <c r="AN42" s="563" t="e">
        <v>#DIV/0!</v>
      </c>
      <c r="AO42" s="563" t="e">
        <v>#DIV/0!</v>
      </c>
      <c r="AP42" s="571" t="e">
        <v>#DIV/0!</v>
      </c>
      <c r="AQ42" s="563" t="e">
        <f t="shared" si="13"/>
        <v>#DIV/0!</v>
      </c>
      <c r="AR42" s="563" t="e">
        <v>#DIV/0!</v>
      </c>
      <c r="AS42" s="563" t="e">
        <v>#DIV/0!</v>
      </c>
      <c r="AT42" s="563">
        <f t="shared" ref="AT42:AT48" si="31">AU42/$AU$112</f>
        <v>0</v>
      </c>
      <c r="AU42" s="577">
        <v>0</v>
      </c>
      <c r="AV42" s="563" t="e">
        <f t="shared" ref="AV42:AV48" si="32">AW42+AX42+AY42+AZ42</f>
        <v>#DIV/0!</v>
      </c>
      <c r="AW42" s="563" t="e">
        <v>#DIV/0!</v>
      </c>
      <c r="AX42" s="563" t="e">
        <v>#DIV/0!</v>
      </c>
      <c r="AY42" s="571" t="e">
        <v>#DIV/0!</v>
      </c>
      <c r="AZ42" s="563" t="e">
        <v>#DIV/0!</v>
      </c>
      <c r="BD42" s="580"/>
      <c r="BF42" s="362">
        <f t="shared" si="15"/>
        <v>0</v>
      </c>
      <c r="BG42" s="578"/>
    </row>
    <row r="43" spans="2:59">
      <c r="B43" s="563" t="s">
        <v>128</v>
      </c>
      <c r="C43" s="570"/>
      <c r="D43" s="569"/>
      <c r="E43" s="571" t="e">
        <v>#DIV/0!</v>
      </c>
      <c r="F43" s="563">
        <f t="shared" si="4"/>
        <v>0</v>
      </c>
      <c r="G43" s="571">
        <v>0</v>
      </c>
      <c r="H43" s="563" t="e">
        <f t="shared" si="5"/>
        <v>#DIV/0!</v>
      </c>
      <c r="I43" s="563" t="e">
        <v>#DIV/0!</v>
      </c>
      <c r="J43" s="563" t="e">
        <v>#DIV/0!</v>
      </c>
      <c r="K43" s="563" t="e">
        <v>#DIV/0!</v>
      </c>
      <c r="L43" s="572" t="e">
        <v>#DIV/0!</v>
      </c>
      <c r="M43" s="570" t="e">
        <f t="shared" si="6"/>
        <v>#DIV/0!</v>
      </c>
      <c r="N43" s="569" t="e">
        <f t="shared" si="7"/>
        <v>#DIV/0!</v>
      </c>
      <c r="O43" s="571" t="e">
        <v>#DIV/0!</v>
      </c>
      <c r="Q43" s="571">
        <v>0</v>
      </c>
      <c r="R43" s="563" t="e">
        <f t="shared" si="9"/>
        <v>#DIV/0!</v>
      </c>
      <c r="S43" s="572" t="e">
        <v>#DIV/0!</v>
      </c>
      <c r="T43" s="563" t="e">
        <v>#DIV/0!</v>
      </c>
      <c r="U43" s="563" t="e">
        <v>#DIV/0!</v>
      </c>
      <c r="V43" s="563" t="e">
        <v>#DIV/0!</v>
      </c>
      <c r="W43" s="570" t="e">
        <f t="shared" si="10"/>
        <v>#DIV/0!</v>
      </c>
      <c r="X43" s="573" t="e">
        <f t="shared" si="11"/>
        <v>#DIV/0!</v>
      </c>
      <c r="Y43" s="574" t="e">
        <v>#DIV/0!</v>
      </c>
      <c r="Z43" s="563">
        <f>AA43/$AA$112</f>
        <v>0</v>
      </c>
      <c r="AA43" s="571">
        <v>0</v>
      </c>
      <c r="AB43" s="563" t="e">
        <f t="shared" si="12"/>
        <v>#DIV/0!</v>
      </c>
      <c r="AC43" s="563" t="e">
        <v>#DIV/0!</v>
      </c>
      <c r="AD43" s="563" t="e">
        <v>#DIV/0!</v>
      </c>
      <c r="AE43" s="571" t="e">
        <v>#DIV/0!</v>
      </c>
      <c r="AF43" s="563" t="e">
        <v>#DIV/0!</v>
      </c>
      <c r="AG43" s="575" t="e">
        <f t="shared" si="27"/>
        <v>#DIV/0!</v>
      </c>
      <c r="AH43" s="573" t="e">
        <f t="shared" si="28"/>
        <v>#DIV/0!</v>
      </c>
      <c r="AI43" s="576" t="e">
        <v>#DIV/0!</v>
      </c>
      <c r="AJ43" s="563">
        <f t="shared" si="29"/>
        <v>0</v>
      </c>
      <c r="AK43" s="571">
        <v>0</v>
      </c>
      <c r="AL43" s="563" t="e">
        <f t="shared" si="30"/>
        <v>#DIV/0!</v>
      </c>
      <c r="AM43" s="563" t="e">
        <v>#DIV/0!</v>
      </c>
      <c r="AN43" s="563" t="e">
        <v>#DIV/0!</v>
      </c>
      <c r="AO43" s="563" t="e">
        <v>#DIV/0!</v>
      </c>
      <c r="AP43" s="571" t="e">
        <v>#DIV/0!</v>
      </c>
      <c r="AQ43" s="563" t="e">
        <f t="shared" si="13"/>
        <v>#DIV/0!</v>
      </c>
      <c r="AR43" s="563" t="e">
        <v>#DIV/0!</v>
      </c>
      <c r="AS43" s="563" t="e">
        <v>#DIV/0!</v>
      </c>
      <c r="AT43" s="563">
        <f t="shared" si="31"/>
        <v>0</v>
      </c>
      <c r="AU43" s="577">
        <v>0</v>
      </c>
      <c r="AV43" s="563" t="e">
        <f t="shared" si="32"/>
        <v>#DIV/0!</v>
      </c>
      <c r="AW43" s="563" t="e">
        <v>#DIV/0!</v>
      </c>
      <c r="AX43" s="563" t="e">
        <v>#DIV/0!</v>
      </c>
      <c r="AY43" s="571" t="e">
        <v>#DIV/0!</v>
      </c>
      <c r="AZ43" s="563" t="e">
        <v>#DIV/0!</v>
      </c>
      <c r="BD43" s="580"/>
      <c r="BF43" s="362">
        <f t="shared" si="15"/>
        <v>0</v>
      </c>
      <c r="BG43" s="578"/>
    </row>
    <row r="44" spans="2:59">
      <c r="B44" s="563" t="s">
        <v>243</v>
      </c>
      <c r="C44" s="570"/>
      <c r="D44" s="569"/>
      <c r="E44" s="571" t="e">
        <v>#DIV/0!</v>
      </c>
      <c r="G44" s="571">
        <v>0</v>
      </c>
      <c r="H44" s="563" t="e">
        <f t="shared" si="5"/>
        <v>#DIV/0!</v>
      </c>
      <c r="I44" s="563" t="e">
        <v>#DIV/0!</v>
      </c>
      <c r="J44" s="563" t="e">
        <v>#DIV/0!</v>
      </c>
      <c r="K44" s="563" t="e">
        <v>#DIV/0!</v>
      </c>
      <c r="L44" s="572" t="e">
        <v>#DIV/0!</v>
      </c>
      <c r="M44" s="570"/>
      <c r="N44" s="569"/>
      <c r="O44" s="571" t="e">
        <v>#DIV/0!</v>
      </c>
      <c r="Q44" s="571">
        <v>0</v>
      </c>
      <c r="R44" s="563" t="e">
        <f t="shared" si="9"/>
        <v>#DIV/0!</v>
      </c>
      <c r="S44" s="572" t="e">
        <v>#DIV/0!</v>
      </c>
      <c r="T44" s="563" t="e">
        <v>#DIV/0!</v>
      </c>
      <c r="U44" s="563" t="e">
        <v>#DIV/0!</v>
      </c>
      <c r="V44" s="563" t="e">
        <v>#DIV/0!</v>
      </c>
      <c r="W44" s="570" t="e">
        <f t="shared" si="10"/>
        <v>#DIV/0!</v>
      </c>
      <c r="X44" s="573" t="e">
        <f t="shared" si="11"/>
        <v>#DIV/0!</v>
      </c>
      <c r="Y44" s="574" t="e">
        <v>#DIV/0!</v>
      </c>
      <c r="Z44" s="563">
        <f>AA44/$AA$112</f>
        <v>0</v>
      </c>
      <c r="AA44" s="571">
        <v>0</v>
      </c>
      <c r="AB44" s="563" t="e">
        <f t="shared" si="12"/>
        <v>#DIV/0!</v>
      </c>
      <c r="AC44" s="563" t="e">
        <v>#DIV/0!</v>
      </c>
      <c r="AD44" s="563" t="e">
        <v>#DIV/0!</v>
      </c>
      <c r="AE44" s="571" t="e">
        <v>#DIV/0!</v>
      </c>
      <c r="AF44" s="563" t="e">
        <v>#DIV/0!</v>
      </c>
      <c r="AG44" s="575" t="e">
        <f t="shared" si="27"/>
        <v>#DIV/0!</v>
      </c>
      <c r="AH44" s="573" t="e">
        <f t="shared" si="28"/>
        <v>#DIV/0!</v>
      </c>
      <c r="AI44" s="576" t="e">
        <v>#DIV/0!</v>
      </c>
      <c r="AJ44" s="563">
        <f t="shared" si="29"/>
        <v>0</v>
      </c>
      <c r="AK44" s="571">
        <v>0</v>
      </c>
      <c r="AL44" s="563" t="e">
        <f t="shared" si="30"/>
        <v>#DIV/0!</v>
      </c>
      <c r="AM44" s="563" t="e">
        <v>#DIV/0!</v>
      </c>
      <c r="AN44" s="563" t="e">
        <v>#DIV/0!</v>
      </c>
      <c r="AO44" s="563" t="e">
        <v>#DIV/0!</v>
      </c>
      <c r="AP44" s="571" t="e">
        <v>#DIV/0!</v>
      </c>
      <c r="AQ44" s="563" t="e">
        <f t="shared" si="13"/>
        <v>#DIV/0!</v>
      </c>
      <c r="AR44" s="563" t="e">
        <v>#DIV/0!</v>
      </c>
      <c r="AS44" s="563" t="e">
        <v>#DIV/0!</v>
      </c>
      <c r="AT44" s="563">
        <f t="shared" si="31"/>
        <v>0</v>
      </c>
      <c r="AU44" s="577">
        <v>0</v>
      </c>
      <c r="AV44" s="563" t="e">
        <f t="shared" si="32"/>
        <v>#DIV/0!</v>
      </c>
      <c r="AW44" s="563" t="e">
        <v>#DIV/0!</v>
      </c>
      <c r="AX44" s="563" t="e">
        <v>#DIV/0!</v>
      </c>
      <c r="AY44" s="571" t="e">
        <v>#DIV/0!</v>
      </c>
      <c r="AZ44" s="563" t="e">
        <v>#DIV/0!</v>
      </c>
      <c r="BD44" s="580"/>
      <c r="BF44" s="362">
        <f t="shared" si="15"/>
        <v>0</v>
      </c>
      <c r="BG44" s="578"/>
    </row>
    <row r="45" spans="2:59">
      <c r="B45" s="579" t="s">
        <v>523</v>
      </c>
      <c r="C45" s="570">
        <f>D45*P45</f>
        <v>-6.0241070059141193E-2</v>
      </c>
      <c r="D45" s="569">
        <f>((E45/O45)-1)*100</f>
        <v>-2.4490370047575927</v>
      </c>
      <c r="E45" s="571">
        <v>68.334816984197573</v>
      </c>
      <c r="F45" s="563">
        <f t="shared" si="4"/>
        <v>2.0006702541412073E-2</v>
      </c>
      <c r="G45" s="571">
        <v>20647.263348739998</v>
      </c>
      <c r="H45" s="563">
        <f t="shared" si="5"/>
        <v>0.18988014947235909</v>
      </c>
      <c r="I45" s="563">
        <v>1.4631770691766046E-2</v>
      </c>
      <c r="J45" s="563">
        <v>1.2219916975614397E-2</v>
      </c>
      <c r="K45" s="563">
        <v>1.4480894213157331E-2</v>
      </c>
      <c r="L45" s="572">
        <v>1.3577110206301597E-2</v>
      </c>
      <c r="M45" s="570">
        <f t="shared" si="6"/>
        <v>-0.69431852634924685</v>
      </c>
      <c r="N45" s="569">
        <f t="shared" si="7"/>
        <v>-23.342531639908071</v>
      </c>
      <c r="O45" s="571">
        <v>70.050376629834275</v>
      </c>
      <c r="P45" s="563">
        <f t="shared" ref="P45:P48" si="33">Q45/Q$112</f>
        <v>2.459786027818877E-2</v>
      </c>
      <c r="Q45" s="571">
        <v>21583.740446600001</v>
      </c>
      <c r="R45" s="563">
        <f t="shared" si="9"/>
        <v>0.13497045738551972</v>
      </c>
      <c r="S45" s="572">
        <v>1.2278308498040322E-2</v>
      </c>
      <c r="T45" s="563">
        <v>1.2882570344225222E-2</v>
      </c>
      <c r="U45" s="563">
        <v>1.0463320979351862E-2</v>
      </c>
      <c r="V45" s="563">
        <v>9.400883307222831E-3</v>
      </c>
      <c r="W45" s="570">
        <f t="shared" si="10"/>
        <v>-0.15579370982296875</v>
      </c>
      <c r="X45" s="573">
        <f t="shared" si="11"/>
        <v>-4.9995946299866034</v>
      </c>
      <c r="Y45" s="574">
        <v>91.381020177680014</v>
      </c>
      <c r="Z45" s="563">
        <f>AA45/$AA$112</f>
        <v>2.9744782488039554E-2</v>
      </c>
      <c r="AA45" s="571">
        <v>29117.414938240003</v>
      </c>
      <c r="AB45" s="563">
        <f t="shared" si="12"/>
        <v>8.9945374256679492E-2</v>
      </c>
      <c r="AC45" s="563">
        <v>8.2251507926800992E-3</v>
      </c>
      <c r="AD45" s="563">
        <v>8.7737732428932163E-3</v>
      </c>
      <c r="AE45" s="571">
        <v>8.0369340189284742E-3</v>
      </c>
      <c r="AF45" s="563">
        <v>7.6426761597353093E-3</v>
      </c>
      <c r="AG45" s="575">
        <f t="shared" si="27"/>
        <v>0.25539619702726862</v>
      </c>
      <c r="AH45" s="573">
        <f t="shared" si="28"/>
        <v>8.1919693511596456</v>
      </c>
      <c r="AI45" s="576">
        <v>96.190137107061403</v>
      </c>
      <c r="AJ45" s="563">
        <f t="shared" si="29"/>
        <v>3.1161268333346096E-2</v>
      </c>
      <c r="AK45" s="571">
        <v>31299.289509080001</v>
      </c>
      <c r="AL45" s="563">
        <f t="shared" si="30"/>
        <v>5.7266840042442396E-2</v>
      </c>
      <c r="AM45" s="563">
        <v>6.9555130196879483E-3</v>
      </c>
      <c r="AN45" s="563">
        <v>7.6832608836692609E-3</v>
      </c>
      <c r="AO45" s="563">
        <v>7.7704599665868691E-3</v>
      </c>
      <c r="AP45" s="571">
        <v>7.1508639816375286E-3</v>
      </c>
      <c r="AQ45" s="563">
        <f t="shared" si="13"/>
        <v>1.2623853636609903</v>
      </c>
      <c r="AR45" s="563">
        <v>40.720022581404521</v>
      </c>
      <c r="AS45" s="563">
        <v>88.906910266931376</v>
      </c>
      <c r="AT45" s="563">
        <f t="shared" si="31"/>
        <v>3.1176410223155319E-2</v>
      </c>
      <c r="AU45" s="577">
        <v>27565.841966829998</v>
      </c>
      <c r="AV45" s="563">
        <f t="shared" si="32"/>
        <v>2.7706742190860785E-2</v>
      </c>
      <c r="AW45" s="563">
        <v>6.6977528775322374E-3</v>
      </c>
      <c r="AX45" s="563">
        <v>6.8882527587638001E-3</v>
      </c>
      <c r="AY45" s="571">
        <v>6.8646311971935648E-3</v>
      </c>
      <c r="AZ45" s="563">
        <v>7.2561053573711809E-3</v>
      </c>
      <c r="BD45" s="580">
        <v>324.03716900000001</v>
      </c>
      <c r="BE45" s="563">
        <v>85.07</v>
      </c>
      <c r="BF45" s="362">
        <f t="shared" si="15"/>
        <v>27565.841966829998</v>
      </c>
      <c r="BG45" s="578">
        <f>+BF45/$BF$112</f>
        <v>3.1001588005932976E-2</v>
      </c>
    </row>
    <row r="46" spans="2:59">
      <c r="B46" s="579" t="s">
        <v>129</v>
      </c>
      <c r="C46" s="570">
        <f>D46*P46</f>
        <v>0.31558337096259803</v>
      </c>
      <c r="D46" s="569">
        <f>((E46/O46)-1)*100</f>
        <v>13.182458347516102</v>
      </c>
      <c r="E46" s="571">
        <v>49.117928716474921</v>
      </c>
      <c r="F46" s="563">
        <f t="shared" si="4"/>
        <v>2.2202418280099164E-2</v>
      </c>
      <c r="G46" s="571">
        <v>22913.279999999999</v>
      </c>
      <c r="H46" s="563">
        <f t="shared" si="5"/>
        <v>0.23473928397372851</v>
      </c>
      <c r="I46" s="563">
        <v>1.3052212304162035E-2</v>
      </c>
      <c r="J46" s="563">
        <v>1.1596136358672602E-2</v>
      </c>
      <c r="K46" s="563">
        <v>1.3290829500119649E-2</v>
      </c>
      <c r="L46" s="572">
        <v>1.3027021256744245E-2</v>
      </c>
      <c r="M46" s="570">
        <f t="shared" si="6"/>
        <v>-0.21466392378513552</v>
      </c>
      <c r="N46" s="569">
        <f t="shared" si="7"/>
        <v>-8.7747862704679935</v>
      </c>
      <c r="O46" s="571">
        <v>43.397121279750735</v>
      </c>
      <c r="P46" s="563">
        <f t="shared" si="33"/>
        <v>2.3939644840376962E-2</v>
      </c>
      <c r="Q46" s="571">
        <v>21006.179999999997</v>
      </c>
      <c r="R46" s="563">
        <f t="shared" si="9"/>
        <v>0.18377308455402996</v>
      </c>
      <c r="S46" s="572">
        <v>1.3092715529192132E-2</v>
      </c>
      <c r="T46" s="563">
        <v>1.3876234498415249E-2</v>
      </c>
      <c r="U46" s="563">
        <v>1.1488505537695563E-2</v>
      </c>
      <c r="V46" s="563">
        <v>1.1042598153414178E-2</v>
      </c>
      <c r="W46" s="570">
        <f t="shared" si="10"/>
        <v>0.10768168257829876</v>
      </c>
      <c r="X46" s="573">
        <f t="shared" si="11"/>
        <v>4.7805004788105565</v>
      </c>
      <c r="Y46" s="574">
        <v>47.571410913233017</v>
      </c>
      <c r="Z46" s="563">
        <f>AA46/$AA$112</f>
        <v>2.446372107177109E-2</v>
      </c>
      <c r="AA46" s="571">
        <v>23947.739999999998</v>
      </c>
      <c r="AB46" s="563">
        <f t="shared" si="12"/>
        <v>0.13427303083531283</v>
      </c>
      <c r="AC46" s="563">
        <v>1.04504248057116E-2</v>
      </c>
      <c r="AD46" s="563">
        <v>1.1722140046845264E-2</v>
      </c>
      <c r="AE46" s="571">
        <v>1.1184094423240712E-2</v>
      </c>
      <c r="AF46" s="563">
        <v>9.283402916934292E-3</v>
      </c>
      <c r="AG46" s="575">
        <f t="shared" si="27"/>
        <v>1.2323783697503088</v>
      </c>
      <c r="AH46" s="573">
        <f t="shared" si="28"/>
        <v>41.674526767540002</v>
      </c>
      <c r="AI46" s="576">
        <v>45.401015165844946</v>
      </c>
      <c r="AJ46" s="563">
        <f t="shared" si="29"/>
        <v>2.2525190208764753E-2</v>
      </c>
      <c r="AK46" s="571">
        <v>22624.960000000003</v>
      </c>
      <c r="AL46" s="563">
        <f t="shared" si="30"/>
        <v>9.1632968642580984E-2</v>
      </c>
      <c r="AM46" s="563">
        <v>1.0141421099823881E-2</v>
      </c>
      <c r="AN46" s="563">
        <v>1.1712904847033473E-2</v>
      </c>
      <c r="AO46" s="563">
        <v>1.1096108262003515E-2</v>
      </c>
      <c r="AP46" s="571">
        <v>1.1769845736292785E-2</v>
      </c>
      <c r="AQ46" s="563">
        <f t="shared" si="13"/>
        <v>0.13694455557635229</v>
      </c>
      <c r="AR46" s="563">
        <v>4.6570783835018004</v>
      </c>
      <c r="AS46" s="563">
        <v>32.045997401028252</v>
      </c>
      <c r="AT46" s="563">
        <f t="shared" si="31"/>
        <v>2.9571502434196796E-2</v>
      </c>
      <c r="AU46" s="577">
        <v>26146.799999999999</v>
      </c>
      <c r="AV46" s="563">
        <f t="shared" si="32"/>
        <v>4.6912688697427332E-2</v>
      </c>
      <c r="AW46" s="563">
        <v>1.3170837051354731E-2</v>
      </c>
      <c r="AX46" s="563">
        <v>1.3854272238555614E-2</v>
      </c>
      <c r="AY46" s="571">
        <v>1.0154612100304612E-2</v>
      </c>
      <c r="AZ46" s="563">
        <v>9.7329673072123792E-3</v>
      </c>
      <c r="BD46" s="580">
        <v>538</v>
      </c>
      <c r="BE46" s="563">
        <v>48.6</v>
      </c>
      <c r="BF46" s="362">
        <f t="shared" si="15"/>
        <v>26146.799999999999</v>
      </c>
      <c r="BG46" s="578">
        <f>+BF46/$BF$112</f>
        <v>2.9405679762980388E-2</v>
      </c>
    </row>
    <row r="47" spans="2:59">
      <c r="B47" s="579" t="s">
        <v>130</v>
      </c>
      <c r="C47" s="570">
        <f>D47*P47</f>
        <v>0.18676378253405279</v>
      </c>
      <c r="D47" s="569">
        <f>((E47/O47)-1)*100</f>
        <v>23.422999315054561</v>
      </c>
      <c r="E47" s="571">
        <v>51.966051499059375</v>
      </c>
      <c r="F47" s="563">
        <f t="shared" si="4"/>
        <v>8.0300251901721086E-3</v>
      </c>
      <c r="G47" s="571">
        <v>8287.125</v>
      </c>
      <c r="H47" s="563">
        <f t="shared" si="5"/>
        <v>0.25978306664386358</v>
      </c>
      <c r="I47" s="563">
        <v>1.2735005953114619E-2</v>
      </c>
      <c r="J47" s="563">
        <v>1.2676234321261498E-2</v>
      </c>
      <c r="K47" s="563">
        <v>1.4292359469401012E-2</v>
      </c>
      <c r="L47" s="572">
        <v>1.4696534758645787E-2</v>
      </c>
      <c r="M47" s="570">
        <f t="shared" si="6"/>
        <v>-6.0279256409475152E-2</v>
      </c>
      <c r="N47" s="569">
        <f t="shared" si="7"/>
        <v>-7.4524546739969662</v>
      </c>
      <c r="O47" s="571">
        <v>42.104025819700524</v>
      </c>
      <c r="P47" s="563">
        <f t="shared" si="33"/>
        <v>7.9735212396140464E-3</v>
      </c>
      <c r="Q47" s="571">
        <v>6996.4790000000003</v>
      </c>
      <c r="R47" s="563">
        <f t="shared" si="9"/>
        <v>0.20538293214144066</v>
      </c>
      <c r="S47" s="572">
        <v>1.4260730170745625E-2</v>
      </c>
      <c r="T47" s="563">
        <v>1.4760114757650622E-2</v>
      </c>
      <c r="U47" s="563">
        <v>1.3410698140213295E-2</v>
      </c>
      <c r="V47" s="563">
        <v>1.2648445274216841E-2</v>
      </c>
      <c r="W47" s="570">
        <f t="shared" si="10"/>
        <v>5.7280720927024978E-2</v>
      </c>
      <c r="X47" s="573">
        <f t="shared" si="11"/>
        <v>7.4878784315505875</v>
      </c>
      <c r="Y47" s="574">
        <v>45.494481427235193</v>
      </c>
      <c r="Z47" s="563">
        <f t="shared" ref="Z47:Z109" si="34">AA47/$AA$112</f>
        <v>8.0885103024914678E-3</v>
      </c>
      <c r="AA47" s="571">
        <v>7917.9099999999989</v>
      </c>
      <c r="AB47" s="563">
        <f t="shared" si="12"/>
        <v>0.15030294379861428</v>
      </c>
      <c r="AC47" s="563">
        <v>1.1919208715497316E-2</v>
      </c>
      <c r="AD47" s="563">
        <v>1.2659000037539407E-2</v>
      </c>
      <c r="AE47" s="571">
        <v>1.1843652588367637E-2</v>
      </c>
      <c r="AF47" s="563">
        <v>1.1087430051164266E-2</v>
      </c>
      <c r="AG47" s="575">
        <f t="shared" si="27"/>
        <v>0.2647328710824241</v>
      </c>
      <c r="AH47" s="573">
        <f t="shared" si="28"/>
        <v>26.291890920209404</v>
      </c>
      <c r="AI47" s="576">
        <v>42.325220379344039</v>
      </c>
      <c r="AJ47" s="563">
        <f t="shared" si="29"/>
        <v>7.6497931223975957E-3</v>
      </c>
      <c r="AK47" s="571">
        <v>7683.6760000000004</v>
      </c>
      <c r="AL47" s="563">
        <f t="shared" si="30"/>
        <v>0.10279365240604565</v>
      </c>
      <c r="AM47" s="563">
        <v>1.1656236078537732E-2</v>
      </c>
      <c r="AN47" s="563">
        <v>1.3406243353139891E-2</v>
      </c>
      <c r="AO47" s="563">
        <v>1.2738765057548878E-2</v>
      </c>
      <c r="AP47" s="571">
        <v>1.3083844156780457E-2</v>
      </c>
      <c r="AQ47" s="563">
        <f t="shared" si="13"/>
        <v>1.8370206072788709E-2</v>
      </c>
      <c r="AR47" s="563">
        <v>1.8347214870702899</v>
      </c>
      <c r="AS47" s="563">
        <v>33.513806841394832</v>
      </c>
      <c r="AT47" s="563">
        <f t="shared" si="31"/>
        <v>1.0068993207290988E-2</v>
      </c>
      <c r="AU47" s="577">
        <v>8902.8939999999984</v>
      </c>
      <c r="AV47" s="563">
        <f t="shared" si="32"/>
        <v>5.1908563760038696E-2</v>
      </c>
      <c r="AW47" s="563">
        <v>1.3123384638928032E-2</v>
      </c>
      <c r="AX47" s="563">
        <v>1.3250901387850561E-2</v>
      </c>
      <c r="AY47" s="571">
        <v>1.2924450203159228E-2</v>
      </c>
      <c r="AZ47" s="563">
        <v>1.2609827530100879E-2</v>
      </c>
      <c r="BD47" s="580">
        <v>200.2</v>
      </c>
      <c r="BE47" s="563">
        <v>44.47</v>
      </c>
      <c r="BF47" s="362">
        <f t="shared" si="15"/>
        <v>8902.8939999999984</v>
      </c>
      <c r="BG47" s="578">
        <f>+BF47/$BF$112</f>
        <v>1.0012531167399431E-2</v>
      </c>
    </row>
    <row r="48" spans="2:59">
      <c r="B48" s="579" t="s">
        <v>131</v>
      </c>
      <c r="C48" s="570">
        <f>D48*P48</f>
        <v>-4.4709536703382007E-2</v>
      </c>
      <c r="D48" s="569">
        <f>((E48/O48)-1)*100</f>
        <v>-11.077358739439669</v>
      </c>
      <c r="E48" s="571">
        <v>84.697845068665529</v>
      </c>
      <c r="F48" s="563">
        <f t="shared" si="4"/>
        <v>2.9907560353884485E-3</v>
      </c>
      <c r="G48" s="571">
        <v>3086.5119999999997</v>
      </c>
      <c r="H48" s="563">
        <f t="shared" si="5"/>
        <v>0.14704557243588193</v>
      </c>
      <c r="I48" s="563">
        <v>7.2165502151704045E-3</v>
      </c>
      <c r="J48" s="563">
        <v>6.7771462641974213E-3</v>
      </c>
      <c r="K48" s="563">
        <v>6.0154075690278547E-3</v>
      </c>
      <c r="L48" s="572">
        <v>6.0654393066584145E-3</v>
      </c>
      <c r="M48" s="570">
        <f t="shared" si="6"/>
        <v>0.11979081378659365</v>
      </c>
      <c r="N48" s="569">
        <f t="shared" si="7"/>
        <v>48.013141438580043</v>
      </c>
      <c r="O48" s="571">
        <v>95.248908340997943</v>
      </c>
      <c r="P48" s="563">
        <f t="shared" si="33"/>
        <v>4.0361188759012396E-3</v>
      </c>
      <c r="Q48" s="571">
        <v>3541.5495999999998</v>
      </c>
      <c r="R48" s="563">
        <f t="shared" si="9"/>
        <v>0.12097102908082782</v>
      </c>
      <c r="S48" s="572">
        <v>5.7421751628704996E-3</v>
      </c>
      <c r="T48" s="563">
        <v>6.3898454452949137E-3</v>
      </c>
      <c r="U48" s="563">
        <v>6.1099791077400406E-3</v>
      </c>
      <c r="V48" s="563">
        <v>6.6354083189100656E-3</v>
      </c>
      <c r="W48" s="570">
        <f t="shared" si="10"/>
        <v>-4.6032005689279516E-2</v>
      </c>
      <c r="X48" s="573">
        <f t="shared" si="11"/>
        <v>-15.598019216845959</v>
      </c>
      <c r="Y48" s="574">
        <v>64.351656491611394</v>
      </c>
      <c r="Z48" s="563">
        <f t="shared" si="34"/>
        <v>2.4949588841178807E-3</v>
      </c>
      <c r="AA48" s="571">
        <v>2442.3360000000002</v>
      </c>
      <c r="AB48" s="563">
        <f t="shared" si="12"/>
        <v>9.6093621046012295E-2</v>
      </c>
      <c r="AC48" s="563">
        <v>7.6474881590169576E-3</v>
      </c>
      <c r="AD48" s="563">
        <v>7.249570577901516E-3</v>
      </c>
      <c r="AE48" s="571">
        <v>6.6031547833216315E-3</v>
      </c>
      <c r="AF48" s="563">
        <v>7.045814116501189E-3</v>
      </c>
      <c r="AG48" s="575">
        <f t="shared" si="27"/>
        <v>0.16703166406018638</v>
      </c>
      <c r="AH48" s="573">
        <f t="shared" si="28"/>
        <v>72.503718925805444</v>
      </c>
      <c r="AI48" s="576">
        <v>76.244249121290139</v>
      </c>
      <c r="AJ48" s="563">
        <f t="shared" si="29"/>
        <v>2.951144311937035E-3</v>
      </c>
      <c r="AK48" s="571">
        <v>2964.2156799999998</v>
      </c>
      <c r="AL48" s="563">
        <f t="shared" si="30"/>
        <v>6.7547593409270995E-2</v>
      </c>
      <c r="AM48" s="563">
        <v>5.7978493445149104E-3</v>
      </c>
      <c r="AN48" s="563">
        <v>7.347097235366481E-3</v>
      </c>
      <c r="AO48" s="563">
        <v>8.3580697614524802E-3</v>
      </c>
      <c r="AP48" s="571">
        <v>8.7619713285329789E-3</v>
      </c>
      <c r="AQ48" s="563">
        <f t="shared" si="13"/>
        <v>-1.2955954907072952E-3</v>
      </c>
      <c r="AR48" s="563">
        <v>-0.56555268716308449</v>
      </c>
      <c r="AS48" s="563">
        <v>44.198611830556011</v>
      </c>
      <c r="AT48" s="563">
        <f t="shared" si="31"/>
        <v>2.3037668485821165E-3</v>
      </c>
      <c r="AU48" s="577">
        <v>2036.96552688</v>
      </c>
      <c r="AV48" s="563">
        <f t="shared" si="32"/>
        <v>3.7282605739404139E-2</v>
      </c>
      <c r="AW48" s="563">
        <v>8.92960828579757E-3</v>
      </c>
      <c r="AX48" s="563">
        <v>1.0412988753635315E-2</v>
      </c>
      <c r="AY48" s="571">
        <v>9.6179214305155605E-3</v>
      </c>
      <c r="AZ48" s="563">
        <v>8.322087269455691E-3</v>
      </c>
      <c r="BD48" s="580">
        <v>39.714672</v>
      </c>
      <c r="BE48" s="563">
        <v>51.29</v>
      </c>
      <c r="BF48" s="362">
        <f t="shared" si="15"/>
        <v>2036.96552688</v>
      </c>
      <c r="BG48" s="578">
        <f>+BF48/$BF$112</f>
        <v>2.2908484392607851E-3</v>
      </c>
    </row>
    <row r="49" spans="2:59">
      <c r="B49" s="563" t="s">
        <v>244</v>
      </c>
      <c r="C49" s="570"/>
      <c r="D49" s="569"/>
      <c r="E49" s="571" t="e">
        <v>#DIV/0!</v>
      </c>
      <c r="G49" s="571">
        <v>0</v>
      </c>
      <c r="H49" s="563" t="e">
        <f t="shared" si="5"/>
        <v>#DIV/0!</v>
      </c>
      <c r="I49" s="563" t="e">
        <v>#DIV/0!</v>
      </c>
      <c r="J49" s="563" t="e">
        <v>#DIV/0!</v>
      </c>
      <c r="K49" s="563" t="e">
        <v>#DIV/0!</v>
      </c>
      <c r="L49" s="572" t="e">
        <v>#DIV/0!</v>
      </c>
      <c r="M49" s="570"/>
      <c r="N49" s="569"/>
      <c r="O49" s="571">
        <v>0</v>
      </c>
      <c r="Q49" s="571">
        <v>0</v>
      </c>
      <c r="S49" s="572" t="e">
        <v>#DIV/0!</v>
      </c>
      <c r="T49" s="563" t="e">
        <v>#DIV/0!</v>
      </c>
      <c r="U49" s="563" t="e">
        <v>#DIV/0!</v>
      </c>
      <c r="V49" s="563" t="e">
        <v>#DIV/0!</v>
      </c>
      <c r="W49" s="570"/>
      <c r="X49" s="573"/>
      <c r="Y49" s="574">
        <v>0</v>
      </c>
      <c r="Z49" s="563">
        <f t="shared" si="34"/>
        <v>0</v>
      </c>
      <c r="AA49" s="571">
        <v>0</v>
      </c>
      <c r="AC49" s="563" t="e">
        <v>#DIV/0!</v>
      </c>
      <c r="AD49" s="563" t="e">
        <v>#DIV/0!</v>
      </c>
      <c r="AE49" s="571" t="e">
        <v>#DIV/0!</v>
      </c>
      <c r="AF49" s="563" t="e">
        <v>#DIV/0!</v>
      </c>
      <c r="AG49" s="575">
        <f t="shared" si="27"/>
        <v>0</v>
      </c>
      <c r="AH49" s="573"/>
      <c r="AI49" s="576">
        <v>0</v>
      </c>
      <c r="AK49" s="571">
        <v>0</v>
      </c>
      <c r="AM49" s="563" t="e">
        <v>#DIV/0!</v>
      </c>
      <c r="AN49" s="563" t="e">
        <v>#DIV/0!</v>
      </c>
      <c r="AO49" s="563" t="e">
        <v>#DIV/0!</v>
      </c>
      <c r="AP49" s="571" t="e">
        <v>#DIV/0!</v>
      </c>
      <c r="AQ49" s="563" t="e">
        <f t="shared" si="13"/>
        <v>#DIV/0!</v>
      </c>
      <c r="AR49" s="563" t="e">
        <v>#DIV/0!</v>
      </c>
      <c r="AS49" s="563">
        <v>0</v>
      </c>
      <c r="AU49" s="577">
        <v>0</v>
      </c>
      <c r="AW49" s="563" t="e">
        <v>#DIV/0!</v>
      </c>
      <c r="AX49" s="563" t="e">
        <v>#DIV/0!</v>
      </c>
      <c r="AY49" s="571" t="e">
        <v>#DIV/0!</v>
      </c>
      <c r="AZ49" s="563" t="e">
        <v>#DIV/0!</v>
      </c>
      <c r="BD49" s="580"/>
      <c r="BF49" s="362">
        <f t="shared" si="15"/>
        <v>0</v>
      </c>
      <c r="BG49" s="578"/>
    </row>
    <row r="50" spans="2:59">
      <c r="B50" s="579" t="s">
        <v>132</v>
      </c>
      <c r="C50" s="570">
        <f>D50*P50</f>
        <v>0.54695588183141541</v>
      </c>
      <c r="D50" s="569">
        <f>((E50/O50)-1)*100</f>
        <v>24.026020875805031</v>
      </c>
      <c r="E50" s="571">
        <v>40.570324754855854</v>
      </c>
      <c r="F50" s="563">
        <f t="shared" si="4"/>
        <v>2.3219442926219278E-2</v>
      </c>
      <c r="G50" s="571">
        <v>23962.867039999997</v>
      </c>
      <c r="H50" s="563">
        <f t="shared" si="5"/>
        <v>0.24908635328989712</v>
      </c>
      <c r="I50" s="563">
        <v>9.8248105680686856E-3</v>
      </c>
      <c r="J50" s="563">
        <v>9.5720989051629804E-3</v>
      </c>
      <c r="K50" s="563">
        <v>1.1346234230324874E-2</v>
      </c>
      <c r="L50" s="572">
        <v>1.1290090021357902E-2</v>
      </c>
      <c r="M50" s="570">
        <f t="shared" si="6"/>
        <v>-8.3507080830053176E-2</v>
      </c>
      <c r="N50" s="569">
        <f t="shared" si="7"/>
        <v>-3.7998072799032112</v>
      </c>
      <c r="O50" s="571">
        <v>32.711139540211036</v>
      </c>
      <c r="P50" s="563">
        <f>Q50/Q$112</f>
        <v>2.2765146366047546E-2</v>
      </c>
      <c r="Q50" s="571">
        <v>19975.599699999999</v>
      </c>
      <c r="R50" s="563">
        <f t="shared" si="9"/>
        <v>0.20705311956498268</v>
      </c>
      <c r="S50" s="572">
        <v>1.0595930822808918E-2</v>
      </c>
      <c r="T50" s="563">
        <v>1.2065114508324442E-2</v>
      </c>
      <c r="U50" s="563">
        <v>1.0646220891989655E-2</v>
      </c>
      <c r="V50" s="563">
        <v>1.0049910981164692E-2</v>
      </c>
      <c r="W50" s="570">
        <f t="shared" si="10"/>
        <v>7.8319417628666642E-3</v>
      </c>
      <c r="X50" s="573">
        <f t="shared" si="11"/>
        <v>0.34087065702768093</v>
      </c>
      <c r="Y50" s="574">
        <v>34.003195435779503</v>
      </c>
      <c r="Z50" s="563">
        <f t="shared" si="34"/>
        <v>2.1976662151186856E-2</v>
      </c>
      <c r="AA50" s="571">
        <v>21513.137339999997</v>
      </c>
      <c r="AB50" s="563">
        <f t="shared" si="12"/>
        <v>0.16369594236069496</v>
      </c>
      <c r="AC50" s="563">
        <v>8.8922257439686334E-3</v>
      </c>
      <c r="AD50" s="563">
        <v>1.0159563489296712E-2</v>
      </c>
      <c r="AE50" s="571">
        <v>9.414912610260345E-3</v>
      </c>
      <c r="AF50" s="563">
        <v>7.8945009771708586E-3</v>
      </c>
      <c r="AG50" s="575">
        <f t="shared" si="27"/>
        <v>0.37822922810952336</v>
      </c>
      <c r="AH50" s="573">
        <f>((AI50/AS50)-1)*100</f>
        <v>12.90490597176046</v>
      </c>
      <c r="AI50" s="576">
        <v>33.887682270572348</v>
      </c>
      <c r="AJ50" s="563">
        <f t="shared" ref="AJ50:AJ78" si="35">AK50/$AK$112</f>
        <v>2.2976286170125398E-2</v>
      </c>
      <c r="AK50" s="571">
        <v>23078.053979999997</v>
      </c>
      <c r="AL50" s="563">
        <f t="shared" ref="AL50:AL56" si="36">AM50+AN50+AO50+AP50+AV50</f>
        <v>0.12733473953999841</v>
      </c>
      <c r="AM50" s="563">
        <v>1.5351728200462652E-2</v>
      </c>
      <c r="AN50" s="563">
        <v>1.6309346163841925E-2</v>
      </c>
      <c r="AO50" s="563">
        <v>1.6019185169910622E-2</v>
      </c>
      <c r="AP50" s="571">
        <v>1.5315556629717997E-2</v>
      </c>
      <c r="AQ50" s="563">
        <f t="shared" si="13"/>
        <v>-8.8106367796826845E-2</v>
      </c>
      <c r="AR50" s="563">
        <v>-3.0230770946525376</v>
      </c>
      <c r="AS50" s="563">
        <v>30.014357639205038</v>
      </c>
      <c r="AT50" s="563">
        <f t="shared" ref="AT50:AT78" si="37">AU50/$AU$112</f>
        <v>2.9308948777867473E-2</v>
      </c>
      <c r="AU50" s="577">
        <v>25914.652920000004</v>
      </c>
      <c r="AV50" s="563">
        <f t="shared" ref="AV50:AV78" si="38">AW50+AX50+AY50+AZ50</f>
        <v>6.4338923376065199E-2</v>
      </c>
      <c r="AW50" s="563">
        <v>1.5435982987980676E-2</v>
      </c>
      <c r="AX50" s="563">
        <v>1.5757274941576652E-2</v>
      </c>
      <c r="AY50" s="571">
        <v>1.6330430438404139E-2</v>
      </c>
      <c r="AZ50" s="563">
        <v>1.6815235008103727E-2</v>
      </c>
      <c r="BD50" s="580">
        <v>722.25900000000001</v>
      </c>
      <c r="BE50" s="563">
        <v>35.880000000000003</v>
      </c>
      <c r="BF50" s="362">
        <f t="shared" si="15"/>
        <v>25914.652920000004</v>
      </c>
      <c r="BG50" s="578">
        <f>+BF50/$BF$112</f>
        <v>2.9144598380463564E-2</v>
      </c>
    </row>
    <row r="51" spans="2:59">
      <c r="B51" s="579" t="s">
        <v>133</v>
      </c>
      <c r="C51" s="570">
        <f>D51*P51</f>
        <v>0.21598803849268078</v>
      </c>
      <c r="D51" s="569">
        <f>((E51/O51)-1)*100</f>
        <v>23.250626858562097</v>
      </c>
      <c r="E51" s="571">
        <v>105.72097378955375</v>
      </c>
      <c r="F51" s="563">
        <f t="shared" si="4"/>
        <v>9.3417108724070056E-3</v>
      </c>
      <c r="G51" s="571">
        <v>9640.8073299999996</v>
      </c>
      <c r="H51" s="563">
        <f t="shared" si="5"/>
        <v>0.24715080558633679</v>
      </c>
      <c r="I51" s="563">
        <v>1.3029825144455394E-2</v>
      </c>
      <c r="J51" s="563">
        <v>1.213844263763111E-2</v>
      </c>
      <c r="K51" s="563">
        <v>1.3918517127462339E-2</v>
      </c>
      <c r="L51" s="572">
        <v>1.406026105271225E-2</v>
      </c>
      <c r="M51" s="570">
        <f t="shared" si="6"/>
        <v>-1.0100178369007971E-2</v>
      </c>
      <c r="N51" s="569">
        <f t="shared" si="7"/>
        <v>-1.1485246661583237</v>
      </c>
      <c r="O51" s="571">
        <v>85.777230091393591</v>
      </c>
      <c r="P51" s="563">
        <f>Q51/Q$112</f>
        <v>9.2895576453304388E-3</v>
      </c>
      <c r="Q51" s="571">
        <v>8151.2537600000005</v>
      </c>
      <c r="R51" s="563">
        <f t="shared" si="9"/>
        <v>0.19400375962407568</v>
      </c>
      <c r="S51" s="572">
        <v>1.4448890380489363E-2</v>
      </c>
      <c r="T51" s="563">
        <v>1.3687235386621531E-2</v>
      </c>
      <c r="U51" s="563">
        <v>1.224993019479228E-2</v>
      </c>
      <c r="V51" s="563">
        <v>1.2457141422729906E-2</v>
      </c>
      <c r="W51" s="570">
        <f t="shared" si="10"/>
        <v>0.10221661685576057</v>
      </c>
      <c r="X51" s="573">
        <f t="shared" si="11"/>
        <v>12.879982306898397</v>
      </c>
      <c r="Y51" s="574">
        <v>86.77384915268722</v>
      </c>
      <c r="Z51" s="563">
        <f t="shared" si="34"/>
        <v>8.7940456714716009E-3</v>
      </c>
      <c r="AA51" s="571">
        <v>8608.5644400000001</v>
      </c>
      <c r="AB51" s="563">
        <f t="shared" si="12"/>
        <v>0.14116056223944259</v>
      </c>
      <c r="AC51" s="563">
        <v>1.2835366833588427E-2</v>
      </c>
      <c r="AD51" s="563">
        <v>1.4673751776238924E-2</v>
      </c>
      <c r="AE51" s="571">
        <v>1.2797130283698431E-2</v>
      </c>
      <c r="AF51" s="563">
        <v>1.1852136369145401E-2</v>
      </c>
      <c r="AG51" s="575">
        <f t="shared" si="27"/>
        <v>-8.8906447003987532E-2</v>
      </c>
      <c r="AH51" s="573">
        <f>((AI51/AS51)-1)*100</f>
        <v>-7.7725612255440275</v>
      </c>
      <c r="AI51" s="576">
        <v>76.87266367279031</v>
      </c>
      <c r="AJ51" s="563">
        <f t="shared" si="35"/>
        <v>7.9360836389514543E-3</v>
      </c>
      <c r="AK51" s="571">
        <v>7971.2345700000005</v>
      </c>
      <c r="AL51" s="563">
        <f t="shared" si="36"/>
        <v>8.9002176976771402E-2</v>
      </c>
      <c r="AM51" s="563">
        <v>1.2957052777579164E-2</v>
      </c>
      <c r="AN51" s="563">
        <v>1.2202725141212319E-2</v>
      </c>
      <c r="AO51" s="563">
        <v>1.0664120666885546E-2</v>
      </c>
      <c r="AP51" s="571">
        <v>1.0636869932643079E-2</v>
      </c>
      <c r="AQ51" s="563">
        <f t="shared" si="13"/>
        <v>-2.4420746283070956E-2</v>
      </c>
      <c r="AR51" s="563">
        <v>-2.1469997578619671</v>
      </c>
      <c r="AS51" s="563">
        <v>83.351185606253182</v>
      </c>
      <c r="AT51" s="563">
        <f t="shared" si="37"/>
        <v>1.1438500698045601E-2</v>
      </c>
      <c r="AU51" s="577">
        <v>10113.79759</v>
      </c>
      <c r="AV51" s="563">
        <f t="shared" si="38"/>
        <v>4.2541408458451301E-2</v>
      </c>
      <c r="AW51" s="563">
        <v>1.0711925835856827E-2</v>
      </c>
      <c r="AX51" s="563">
        <v>1.0717904890348523E-2</v>
      </c>
      <c r="AY51" s="571">
        <v>1.0786996652947887E-2</v>
      </c>
      <c r="AZ51" s="563">
        <v>1.0324581079298059E-2</v>
      </c>
      <c r="BD51" s="580">
        <v>112.46299999999999</v>
      </c>
      <c r="BE51" s="563">
        <v>89.93</v>
      </c>
      <c r="BF51" s="362">
        <f t="shared" si="15"/>
        <v>10113.79759</v>
      </c>
      <c r="BG51" s="578">
        <f>+BF51/$BF$112</f>
        <v>1.1374359123072147E-2</v>
      </c>
    </row>
    <row r="52" spans="2:59">
      <c r="B52" s="563" t="s">
        <v>245</v>
      </c>
      <c r="C52" s="570"/>
      <c r="D52" s="569"/>
      <c r="E52" s="571" t="e">
        <v>#DIV/0!</v>
      </c>
      <c r="G52" s="571">
        <v>0</v>
      </c>
      <c r="H52" s="563" t="e">
        <f t="shared" si="5"/>
        <v>#DIV/0!</v>
      </c>
      <c r="I52" s="563" t="e">
        <v>#DIV/0!</v>
      </c>
      <c r="J52" s="563" t="e">
        <v>#DIV/0!</v>
      </c>
      <c r="K52" s="563" t="e">
        <v>#DIV/0!</v>
      </c>
      <c r="L52" s="572" t="e">
        <v>#DIV/0!</v>
      </c>
      <c r="N52" s="569"/>
      <c r="O52" s="571">
        <v>0</v>
      </c>
      <c r="Q52" s="571">
        <v>0</v>
      </c>
      <c r="S52" s="572" t="e">
        <v>#VALUE!</v>
      </c>
      <c r="T52" s="563" t="e">
        <v>#VALUE!</v>
      </c>
      <c r="U52" s="563" t="e">
        <v>#VALUE!</v>
      </c>
      <c r="V52" s="563" t="e">
        <v>#VALUE!</v>
      </c>
      <c r="W52" s="570"/>
      <c r="X52" s="573" t="s">
        <v>96</v>
      </c>
      <c r="Y52" s="574" t="e">
        <v>#VALUE!</v>
      </c>
      <c r="Z52" s="563">
        <f t="shared" si="34"/>
        <v>0</v>
      </c>
      <c r="AA52" s="571">
        <v>0</v>
      </c>
      <c r="AB52" s="563" t="s">
        <v>96</v>
      </c>
      <c r="AC52" s="563" t="e">
        <v>#DIV/0!</v>
      </c>
      <c r="AD52" s="563" t="e">
        <v>#DIV/0!</v>
      </c>
      <c r="AE52" s="571" t="e">
        <v>#DIV/0!</v>
      </c>
      <c r="AF52" s="563" t="e">
        <v>#DIV/0!</v>
      </c>
      <c r="AG52" s="575"/>
      <c r="AH52" s="573"/>
      <c r="AI52" s="576" t="e">
        <v>#DIV/0!</v>
      </c>
      <c r="AJ52" s="563">
        <f t="shared" si="35"/>
        <v>0</v>
      </c>
      <c r="AK52" s="571">
        <v>0</v>
      </c>
      <c r="AL52" s="563" t="e">
        <f t="shared" si="36"/>
        <v>#DIV/0!</v>
      </c>
      <c r="AM52" s="563" t="e">
        <v>#DIV/0!</v>
      </c>
      <c r="AN52" s="563" t="e">
        <v>#DIV/0!</v>
      </c>
      <c r="AO52" s="563" t="e">
        <v>#DIV/0!</v>
      </c>
      <c r="AP52" s="571" t="e">
        <v>#DIV/0!</v>
      </c>
      <c r="AQ52" s="563" t="e">
        <f t="shared" si="13"/>
        <v>#DIV/0!</v>
      </c>
      <c r="AR52" s="563" t="e">
        <v>#DIV/0!</v>
      </c>
      <c r="AS52" s="563" t="e">
        <v>#DIV/0!</v>
      </c>
      <c r="AT52" s="563">
        <f t="shared" si="37"/>
        <v>0</v>
      </c>
      <c r="AU52" s="577">
        <v>0</v>
      </c>
      <c r="AV52" s="563" t="e">
        <f t="shared" si="38"/>
        <v>#DIV/0!</v>
      </c>
      <c r="AW52" s="563" t="e">
        <v>#DIV/0!</v>
      </c>
      <c r="AX52" s="563" t="e">
        <v>#DIV/0!</v>
      </c>
      <c r="AY52" s="571" t="e">
        <v>#DIV/0!</v>
      </c>
      <c r="AZ52" s="563" t="e">
        <v>#DIV/0!</v>
      </c>
      <c r="BD52" s="580"/>
      <c r="BF52" s="362">
        <f t="shared" si="15"/>
        <v>0</v>
      </c>
      <c r="BG52" s="578"/>
    </row>
    <row r="53" spans="2:59">
      <c r="B53" s="563" t="s">
        <v>134</v>
      </c>
      <c r="C53" s="570"/>
      <c r="D53" s="569"/>
      <c r="E53" s="571" t="e">
        <v>#DIV/0!</v>
      </c>
      <c r="F53" s="563">
        <f t="shared" si="4"/>
        <v>0</v>
      </c>
      <c r="G53" s="571">
        <v>0</v>
      </c>
      <c r="H53" s="563" t="e">
        <f t="shared" si="5"/>
        <v>#DIV/0!</v>
      </c>
      <c r="I53" s="563" t="e">
        <v>#DIV/0!</v>
      </c>
      <c r="J53" s="563" t="e">
        <v>#DIV/0!</v>
      </c>
      <c r="K53" s="563" t="e">
        <v>#DIV/0!</v>
      </c>
      <c r="L53" s="572" t="e">
        <v>#DIV/0!</v>
      </c>
      <c r="M53" s="570" t="e">
        <f t="shared" si="6"/>
        <v>#DIV/0!</v>
      </c>
      <c r="N53" s="569" t="e">
        <f t="shared" si="7"/>
        <v>#DIV/0!</v>
      </c>
      <c r="O53" s="571" t="e">
        <v>#DIV/0!</v>
      </c>
      <c r="Q53" s="571">
        <v>0</v>
      </c>
      <c r="R53" s="563" t="e">
        <f t="shared" si="9"/>
        <v>#DIV/0!</v>
      </c>
      <c r="S53" s="572" t="e">
        <v>#DIV/0!</v>
      </c>
      <c r="T53" s="563" t="e">
        <v>#DIV/0!</v>
      </c>
      <c r="U53" s="563" t="e">
        <v>#DIV/0!</v>
      </c>
      <c r="V53" s="563" t="e">
        <v>#DIV/0!</v>
      </c>
      <c r="W53" s="570" t="e">
        <f t="shared" si="10"/>
        <v>#DIV/0!</v>
      </c>
      <c r="X53" s="573" t="e">
        <f t="shared" si="11"/>
        <v>#DIV/0!</v>
      </c>
      <c r="Y53" s="574" t="e">
        <v>#DIV/0!</v>
      </c>
      <c r="Z53" s="563">
        <f t="shared" si="34"/>
        <v>0</v>
      </c>
      <c r="AA53" s="571">
        <v>0</v>
      </c>
      <c r="AB53" s="563" t="e">
        <f t="shared" si="12"/>
        <v>#DIV/0!</v>
      </c>
      <c r="AC53" s="563" t="e">
        <v>#DIV/0!</v>
      </c>
      <c r="AD53" s="563" t="e">
        <v>#DIV/0!</v>
      </c>
      <c r="AE53" s="571" t="e">
        <v>#DIV/0!</v>
      </c>
      <c r="AF53" s="563" t="e">
        <v>#DIV/0!</v>
      </c>
      <c r="AG53" s="575" t="e">
        <f>AH53*AT53</f>
        <v>#DIV/0!</v>
      </c>
      <c r="AH53" s="573" t="e">
        <f>((AI53/AS53)-1)*100</f>
        <v>#DIV/0!</v>
      </c>
      <c r="AI53" s="576" t="e">
        <v>#DIV/0!</v>
      </c>
      <c r="AJ53" s="563">
        <f t="shared" si="35"/>
        <v>0</v>
      </c>
      <c r="AK53" s="571">
        <v>0</v>
      </c>
      <c r="AL53" s="563" t="e">
        <f t="shared" si="36"/>
        <v>#DIV/0!</v>
      </c>
      <c r="AM53" s="563" t="e">
        <v>#DIV/0!</v>
      </c>
      <c r="AN53" s="563" t="e">
        <v>#DIV/0!</v>
      </c>
      <c r="AO53" s="563" t="e">
        <v>#DIV/0!</v>
      </c>
      <c r="AP53" s="571" t="e">
        <v>#DIV/0!</v>
      </c>
      <c r="AQ53" s="563" t="e">
        <f t="shared" si="13"/>
        <v>#DIV/0!</v>
      </c>
      <c r="AR53" s="563" t="e">
        <v>#DIV/0!</v>
      </c>
      <c r="AS53" s="563" t="e">
        <v>#DIV/0!</v>
      </c>
      <c r="AT53" s="563">
        <f t="shared" si="37"/>
        <v>0</v>
      </c>
      <c r="AU53" s="577">
        <v>0</v>
      </c>
      <c r="AV53" s="563" t="e">
        <f t="shared" si="38"/>
        <v>#DIV/0!</v>
      </c>
      <c r="AW53" s="563" t="e">
        <v>#DIV/0!</v>
      </c>
      <c r="AX53" s="563" t="e">
        <v>#DIV/0!</v>
      </c>
      <c r="AY53" s="571" t="e">
        <v>#DIV/0!</v>
      </c>
      <c r="AZ53" s="563" t="e">
        <v>#DIV/0!</v>
      </c>
      <c r="BD53" s="580"/>
      <c r="BF53" s="362">
        <f t="shared" si="15"/>
        <v>0</v>
      </c>
      <c r="BG53" s="578">
        <f>+BF53/$BF$112</f>
        <v>0</v>
      </c>
    </row>
    <row r="54" spans="2:59">
      <c r="B54" s="563" t="s">
        <v>246</v>
      </c>
      <c r="C54" s="570"/>
      <c r="D54" s="569"/>
      <c r="E54" s="571" t="e">
        <v>#DIV/0!</v>
      </c>
      <c r="G54" s="571">
        <v>0</v>
      </c>
      <c r="H54" s="563" t="e">
        <f t="shared" si="5"/>
        <v>#DIV/0!</v>
      </c>
      <c r="I54" s="563" t="e">
        <v>#DIV/0!</v>
      </c>
      <c r="J54" s="563" t="e">
        <v>#DIV/0!</v>
      </c>
      <c r="K54" s="563" t="e">
        <v>#DIV/0!</v>
      </c>
      <c r="L54" s="572" t="e">
        <v>#DIV/0!</v>
      </c>
      <c r="M54" s="570"/>
      <c r="N54" s="569"/>
      <c r="O54" s="571" t="e">
        <v>#DIV/0!</v>
      </c>
      <c r="Q54" s="571">
        <v>0</v>
      </c>
      <c r="R54" s="563" t="e">
        <f t="shared" si="9"/>
        <v>#DIV/0!</v>
      </c>
      <c r="S54" s="572" t="e">
        <v>#DIV/0!</v>
      </c>
      <c r="T54" s="563" t="e">
        <v>#DIV/0!</v>
      </c>
      <c r="U54" s="563" t="e">
        <v>#DIV/0!</v>
      </c>
      <c r="V54" s="563" t="e">
        <v>#DIV/0!</v>
      </c>
      <c r="W54" s="570" t="e">
        <f t="shared" si="10"/>
        <v>#DIV/0!</v>
      </c>
      <c r="X54" s="573" t="e">
        <f t="shared" si="11"/>
        <v>#DIV/0!</v>
      </c>
      <c r="Y54" s="574" t="e">
        <v>#DIV/0!</v>
      </c>
      <c r="Z54" s="563">
        <f t="shared" si="34"/>
        <v>0</v>
      </c>
      <c r="AA54" s="571">
        <v>0</v>
      </c>
      <c r="AB54" s="563" t="e">
        <f t="shared" si="12"/>
        <v>#DIV/0!</v>
      </c>
      <c r="AC54" s="563" t="e">
        <v>#DIV/0!</v>
      </c>
      <c r="AD54" s="563" t="e">
        <v>#DIV/0!</v>
      </c>
      <c r="AE54" s="571" t="e">
        <v>#DIV/0!</v>
      </c>
      <c r="AF54" s="563" t="e">
        <v>#DIV/0!</v>
      </c>
      <c r="AG54" s="575" t="e">
        <f>AH54*AT54</f>
        <v>#DIV/0!</v>
      </c>
      <c r="AH54" s="573" t="e">
        <f>((AI54/AS54)-1)*100</f>
        <v>#DIV/0!</v>
      </c>
      <c r="AI54" s="576" t="e">
        <v>#DIV/0!</v>
      </c>
      <c r="AJ54" s="563">
        <f t="shared" si="35"/>
        <v>0</v>
      </c>
      <c r="AK54" s="571">
        <v>0</v>
      </c>
      <c r="AL54" s="563" t="e">
        <f t="shared" si="36"/>
        <v>#DIV/0!</v>
      </c>
      <c r="AM54" s="563" t="e">
        <v>#DIV/0!</v>
      </c>
      <c r="AN54" s="563" t="e">
        <v>#DIV/0!</v>
      </c>
      <c r="AO54" s="563" t="e">
        <v>#DIV/0!</v>
      </c>
      <c r="AP54" s="571" t="e">
        <v>#DIV/0!</v>
      </c>
      <c r="AQ54" s="563" t="e">
        <f t="shared" si="13"/>
        <v>#DIV/0!</v>
      </c>
      <c r="AR54" s="563" t="e">
        <v>#DIV/0!</v>
      </c>
      <c r="AS54" s="563" t="e">
        <v>#DIV/0!</v>
      </c>
      <c r="AT54" s="563">
        <f t="shared" si="37"/>
        <v>0</v>
      </c>
      <c r="AU54" s="577">
        <v>0</v>
      </c>
      <c r="AV54" s="563" t="e">
        <f t="shared" si="38"/>
        <v>#DIV/0!</v>
      </c>
      <c r="AW54" s="563" t="e">
        <v>#DIV/0!</v>
      </c>
      <c r="AX54" s="563" t="e">
        <v>#DIV/0!</v>
      </c>
      <c r="AY54" s="571" t="e">
        <v>#DIV/0!</v>
      </c>
      <c r="AZ54" s="563" t="e">
        <v>#DIV/0!</v>
      </c>
      <c r="BD54" s="580"/>
      <c r="BF54" s="362">
        <f t="shared" si="15"/>
        <v>0</v>
      </c>
      <c r="BG54" s="578"/>
    </row>
    <row r="55" spans="2:59">
      <c r="B55" s="579" t="s">
        <v>135</v>
      </c>
      <c r="C55" s="570">
        <f>D55*P55</f>
        <v>0.51030962869501528</v>
      </c>
      <c r="D55" s="569">
        <f>((E55/O55)-1)*100</f>
        <v>16.353814651360786</v>
      </c>
      <c r="E55" s="571">
        <v>99.49269603455356</v>
      </c>
      <c r="F55" s="563">
        <f t="shared" si="4"/>
        <v>2.9939497802670172E-2</v>
      </c>
      <c r="G55" s="571">
        <v>30898.080000000002</v>
      </c>
      <c r="H55" s="563">
        <f t="shared" si="5"/>
        <v>0.24615100243679305</v>
      </c>
      <c r="I55" s="563">
        <v>1.2783214485591426E-2</v>
      </c>
      <c r="J55" s="563">
        <v>1.0948297195879564E-2</v>
      </c>
      <c r="K55" s="563">
        <v>1.3135241807262036E-2</v>
      </c>
      <c r="L55" s="572">
        <v>1.3190347002929474E-2</v>
      </c>
      <c r="M55" s="570">
        <f t="shared" si="6"/>
        <v>0.43083380755950507</v>
      </c>
      <c r="N55" s="569">
        <f t="shared" si="7"/>
        <v>17.353807089157279</v>
      </c>
      <c r="O55" s="571">
        <v>85.508753050057365</v>
      </c>
      <c r="P55" s="563">
        <f>Q55/Q$112</f>
        <v>3.1204317743233866E-2</v>
      </c>
      <c r="Q55" s="571">
        <v>27380.67</v>
      </c>
      <c r="R55" s="563">
        <f t="shared" si="9"/>
        <v>0.19609390194513054</v>
      </c>
      <c r="S55" s="572">
        <v>1.2909274159640266E-2</v>
      </c>
      <c r="T55" s="563">
        <v>1.3628498113963518E-2</v>
      </c>
      <c r="U55" s="563">
        <v>1.2289191745435456E-2</v>
      </c>
      <c r="V55" s="563">
        <v>1.1965712617440571E-2</v>
      </c>
      <c r="W55" s="570">
        <f t="shared" si="10"/>
        <v>-6.4969089369743549E-2</v>
      </c>
      <c r="X55" s="573">
        <f t="shared" si="11"/>
        <v>-2.5161694226196185</v>
      </c>
      <c r="Y55" s="574">
        <v>72.864063954136356</v>
      </c>
      <c r="Z55" s="563">
        <f t="shared" si="34"/>
        <v>2.4826472101830126E-2</v>
      </c>
      <c r="AA55" s="571">
        <v>24302.84</v>
      </c>
      <c r="AB55" s="563">
        <f t="shared" si="12"/>
        <v>0.14530122530865075</v>
      </c>
      <c r="AC55" s="563">
        <v>1.3124494482618652E-2</v>
      </c>
      <c r="AD55" s="563">
        <v>1.3835958651854441E-2</v>
      </c>
      <c r="AE55" s="571">
        <v>1.2243330317828031E-2</v>
      </c>
      <c r="AF55" s="563">
        <v>1.093599165677182E-2</v>
      </c>
      <c r="AG55" s="575">
        <f>AH55*AT55</f>
        <v>0.40283117510352179</v>
      </c>
      <c r="AH55" s="573">
        <f>((AI55/AS55)-1)*100</f>
        <v>13.611619878267733</v>
      </c>
      <c r="AI55" s="576">
        <v>74.744768976121193</v>
      </c>
      <c r="AJ55" s="563">
        <f t="shared" si="35"/>
        <v>2.5820633851477034E-2</v>
      </c>
      <c r="AK55" s="571">
        <v>25935</v>
      </c>
      <c r="AL55" s="563">
        <f t="shared" si="36"/>
        <v>9.5161450199577821E-2</v>
      </c>
      <c r="AM55" s="563">
        <v>1.1118390357356123E-2</v>
      </c>
      <c r="AN55" s="563">
        <v>1.2794344223853773E-2</v>
      </c>
      <c r="AO55" s="563">
        <v>1.2135293020940774E-2</v>
      </c>
      <c r="AP55" s="571">
        <v>1.1839909596638607E-2</v>
      </c>
      <c r="AQ55" s="563">
        <f t="shared" si="13"/>
        <v>0.11865118465356522</v>
      </c>
      <c r="AR55" s="563">
        <v>4.0318186064350892</v>
      </c>
      <c r="AS55" s="563">
        <v>65.789722086709546</v>
      </c>
      <c r="AT55" s="563">
        <f t="shared" si="37"/>
        <v>2.9594653590545875E-2</v>
      </c>
      <c r="AU55" s="577">
        <v>26167.27</v>
      </c>
      <c r="AV55" s="563">
        <f t="shared" si="38"/>
        <v>4.7273513000788539E-2</v>
      </c>
      <c r="AW55" s="563">
        <v>1.0929290786642341E-2</v>
      </c>
      <c r="AX55" s="563">
        <v>1.283413999633856E-2</v>
      </c>
      <c r="AY55" s="571">
        <v>1.1874747302677143E-2</v>
      </c>
      <c r="AZ55" s="563">
        <v>1.1635334915130498E-2</v>
      </c>
      <c r="BD55" s="580">
        <v>347</v>
      </c>
      <c r="BE55" s="563">
        <v>75.41</v>
      </c>
      <c r="BF55" s="362">
        <f t="shared" si="15"/>
        <v>26167.27</v>
      </c>
      <c r="BG55" s="578">
        <f>+BF55/$BF$112</f>
        <v>2.9428701098851248E-2</v>
      </c>
    </row>
    <row r="56" spans="2:59">
      <c r="B56" s="579" t="s">
        <v>136</v>
      </c>
      <c r="C56" s="570">
        <f>D56*P56</f>
        <v>1.8896701934883227</v>
      </c>
      <c r="D56" s="569">
        <f>((E56/O56)-1)*100</f>
        <v>21.654633936471555</v>
      </c>
      <c r="E56" s="571">
        <v>100.6402333367185</v>
      </c>
      <c r="F56" s="563">
        <f t="shared" si="4"/>
        <v>8.7503415961446201E-2</v>
      </c>
      <c r="G56" s="571">
        <v>90305.04</v>
      </c>
      <c r="H56" s="563">
        <f t="shared" si="5"/>
        <v>0.22254899582991386</v>
      </c>
      <c r="I56" s="563">
        <v>1.0600135801993473E-2</v>
      </c>
      <c r="J56" s="563">
        <v>9.5995949309142202E-3</v>
      </c>
      <c r="K56" s="563">
        <v>1.1057497392640754E-2</v>
      </c>
      <c r="L56" s="572">
        <v>1.1511654298634122E-2</v>
      </c>
      <c r="M56" s="570">
        <f t="shared" si="6"/>
        <v>0.1763929232758637</v>
      </c>
      <c r="N56" s="569">
        <f t="shared" si="7"/>
        <v>2.2347908357766233</v>
      </c>
      <c r="O56" s="571">
        <v>82.726181552009891</v>
      </c>
      <c r="P56" s="563">
        <f>Q56/Q$112</f>
        <v>8.7264010051246746E-2</v>
      </c>
      <c r="Q56" s="571">
        <v>76571.040000000008</v>
      </c>
      <c r="R56" s="563">
        <f t="shared" si="9"/>
        <v>0.1797801134057313</v>
      </c>
      <c r="S56" s="572">
        <v>1.1661198522790338E-2</v>
      </c>
      <c r="T56" s="563">
        <v>1.2498979523357668E-2</v>
      </c>
      <c r="U56" s="563">
        <v>1.1401465183251702E-2</v>
      </c>
      <c r="V56" s="563">
        <v>1.1074132646170019E-2</v>
      </c>
      <c r="W56" s="570">
        <f t="shared" si="10"/>
        <v>0.59093474667974344</v>
      </c>
      <c r="X56" s="573">
        <f t="shared" si="11"/>
        <v>8.1572921273480823</v>
      </c>
      <c r="Y56" s="574">
        <v>80.917837143028834</v>
      </c>
      <c r="Z56" s="563">
        <f t="shared" si="34"/>
        <v>7.8930394939875664E-2</v>
      </c>
      <c r="AA56" s="571">
        <v>77265.62</v>
      </c>
      <c r="AB56" s="563">
        <f t="shared" si="12"/>
        <v>0.13314433753016156</v>
      </c>
      <c r="AC56" s="563">
        <v>1.0688558045783187E-2</v>
      </c>
      <c r="AD56" s="563">
        <v>1.1113423559251271E-2</v>
      </c>
      <c r="AE56" s="571">
        <v>1.0497469121115243E-2</v>
      </c>
      <c r="AF56" s="563">
        <v>9.9297201761739465E-3</v>
      </c>
      <c r="AG56" s="575">
        <f>AH56*AT56</f>
        <v>1.2338636523016646</v>
      </c>
      <c r="AH56" s="573">
        <f>((AI56/AS56)-1)*100</f>
        <v>16.342240990114519</v>
      </c>
      <c r="AI56" s="576">
        <v>74.814962127337111</v>
      </c>
      <c r="AJ56" s="563">
        <f t="shared" si="35"/>
        <v>7.2442513698703956E-2</v>
      </c>
      <c r="AK56" s="571">
        <v>72763.38</v>
      </c>
      <c r="AL56" s="563">
        <f t="shared" si="36"/>
        <v>9.0915166627837912E-2</v>
      </c>
      <c r="AM56" s="563">
        <v>1.0398671432327745E-2</v>
      </c>
      <c r="AN56" s="563">
        <v>1.1386570123407899E-2</v>
      </c>
      <c r="AO56" s="563">
        <v>1.1535487175863782E-2</v>
      </c>
      <c r="AP56" s="571">
        <v>1.0778032488114533E-2</v>
      </c>
      <c r="AQ56" s="563">
        <f t="shared" si="13"/>
        <v>2.5316316997198238</v>
      </c>
      <c r="AR56" s="563">
        <v>33.719966280351542</v>
      </c>
      <c r="AS56" s="563">
        <v>64.305931784221059</v>
      </c>
      <c r="AT56" s="563">
        <f t="shared" si="37"/>
        <v>7.5501496584711558E-2</v>
      </c>
      <c r="AU56" s="577">
        <v>66757.600000000006</v>
      </c>
      <c r="AV56" s="563">
        <f t="shared" si="38"/>
        <v>4.681640540812395E-2</v>
      </c>
      <c r="AW56" s="563">
        <v>1.079366037475752E-2</v>
      </c>
      <c r="AX56" s="563">
        <v>1.2086302530465814E-2</v>
      </c>
      <c r="AY56" s="571">
        <v>1.2484650851626145E-2</v>
      </c>
      <c r="AZ56" s="563">
        <v>1.1451791651274473E-2</v>
      </c>
      <c r="BD56" s="580">
        <v>1048</v>
      </c>
      <c r="BE56" s="563">
        <v>63.7</v>
      </c>
      <c r="BF56" s="362">
        <f t="shared" si="15"/>
        <v>66757.600000000006</v>
      </c>
      <c r="BG56" s="578">
        <f>+BF56/$BF$112</f>
        <v>7.5078120739254503E-2</v>
      </c>
    </row>
    <row r="57" spans="2:59">
      <c r="B57" s="563" t="s">
        <v>247</v>
      </c>
      <c r="C57" s="570"/>
      <c r="D57" s="569"/>
      <c r="E57" s="571" t="e">
        <v>#DIV/0!</v>
      </c>
      <c r="G57" s="571">
        <v>0</v>
      </c>
      <c r="H57" s="563" t="e">
        <f t="shared" si="5"/>
        <v>#DIV/0!</v>
      </c>
      <c r="I57" s="563" t="e">
        <v>#DIV/0!</v>
      </c>
      <c r="J57" s="563" t="e">
        <v>#DIV/0!</v>
      </c>
      <c r="K57" s="563" t="e">
        <v>#DIV/0!</v>
      </c>
      <c r="L57" s="572" t="e">
        <v>#DIV/0!</v>
      </c>
      <c r="M57" s="570"/>
      <c r="N57" s="569"/>
      <c r="O57" s="571">
        <v>0</v>
      </c>
      <c r="Q57" s="571">
        <v>0</v>
      </c>
      <c r="S57" s="572" t="e">
        <v>#DIV/0!</v>
      </c>
      <c r="T57" s="563" t="e">
        <v>#DIV/0!</v>
      </c>
      <c r="U57" s="563" t="e">
        <v>#DIV/0!</v>
      </c>
      <c r="V57" s="563" t="e">
        <v>#DIV/0!</v>
      </c>
      <c r="W57" s="570"/>
      <c r="X57" s="573"/>
      <c r="Y57" s="574">
        <v>0</v>
      </c>
      <c r="AA57" s="571">
        <v>0</v>
      </c>
      <c r="AC57" s="563" t="e">
        <v>#VALUE!</v>
      </c>
      <c r="AD57" s="563" t="e">
        <v>#VALUE!</v>
      </c>
      <c r="AE57" s="571" t="e">
        <v>#VALUE!</v>
      </c>
      <c r="AF57" s="563" t="e">
        <v>#VALUE!</v>
      </c>
      <c r="AG57" s="575" t="s">
        <v>96</v>
      </c>
      <c r="AH57" s="573" t="s">
        <v>96</v>
      </c>
      <c r="AI57" s="576" t="e">
        <v>#VALUE!</v>
      </c>
      <c r="AJ57" s="563">
        <f t="shared" si="35"/>
        <v>0</v>
      </c>
      <c r="AK57" s="571">
        <v>0</v>
      </c>
      <c r="AL57" s="563" t="s">
        <v>96</v>
      </c>
      <c r="AM57" s="563" t="e">
        <v>#DIV/0!</v>
      </c>
      <c r="AN57" s="563" t="e">
        <v>#DIV/0!</v>
      </c>
      <c r="AO57" s="563" t="e">
        <v>#DIV/0!</v>
      </c>
      <c r="AP57" s="571" t="e">
        <v>#DIV/0!</v>
      </c>
      <c r="AQ57" s="563" t="e">
        <f t="shared" si="13"/>
        <v>#DIV/0!</v>
      </c>
      <c r="AR57" s="563" t="e">
        <v>#DIV/0!</v>
      </c>
      <c r="AS57" s="563" t="e">
        <v>#DIV/0!</v>
      </c>
      <c r="AT57" s="563">
        <f t="shared" si="37"/>
        <v>0</v>
      </c>
      <c r="AU57" s="577">
        <v>0</v>
      </c>
      <c r="AV57" s="563" t="e">
        <f t="shared" si="38"/>
        <v>#DIV/0!</v>
      </c>
      <c r="AW57" s="563" t="e">
        <v>#DIV/0!</v>
      </c>
      <c r="AX57" s="563" t="e">
        <v>#DIV/0!</v>
      </c>
      <c r="AY57" s="571" t="e">
        <v>#DIV/0!</v>
      </c>
      <c r="AZ57" s="563" t="e">
        <v>#DIV/0!</v>
      </c>
      <c r="BD57" s="580"/>
      <c r="BF57" s="362">
        <f t="shared" si="15"/>
        <v>0</v>
      </c>
      <c r="BG57" s="578"/>
    </row>
    <row r="58" spans="2:59">
      <c r="B58" s="563" t="s">
        <v>137</v>
      </c>
      <c r="C58" s="570"/>
      <c r="D58" s="569"/>
      <c r="E58" s="571" t="e">
        <v>#DIV/0!</v>
      </c>
      <c r="F58" s="563">
        <f t="shared" si="4"/>
        <v>0</v>
      </c>
      <c r="G58" s="571">
        <v>0</v>
      </c>
      <c r="H58" s="563" t="e">
        <f t="shared" si="5"/>
        <v>#DIV/0!</v>
      </c>
      <c r="I58" s="563" t="e">
        <v>#DIV/0!</v>
      </c>
      <c r="J58" s="563" t="e">
        <v>#DIV/0!</v>
      </c>
      <c r="K58" s="563" t="e">
        <v>#DIV/0!</v>
      </c>
      <c r="L58" s="572" t="e">
        <v>#DIV/0!</v>
      </c>
      <c r="M58" s="570" t="e">
        <f t="shared" si="6"/>
        <v>#DIV/0!</v>
      </c>
      <c r="N58" s="569" t="e">
        <f t="shared" si="7"/>
        <v>#DIV/0!</v>
      </c>
      <c r="O58" s="571" t="e">
        <v>#DIV/0!</v>
      </c>
      <c r="Q58" s="571">
        <v>0</v>
      </c>
      <c r="R58" s="563" t="e">
        <f t="shared" si="9"/>
        <v>#DIV/0!</v>
      </c>
      <c r="S58" s="572" t="e">
        <v>#DIV/0!</v>
      </c>
      <c r="T58" s="563" t="e">
        <v>#DIV/0!</v>
      </c>
      <c r="U58" s="563" t="e">
        <v>#DIV/0!</v>
      </c>
      <c r="V58" s="563" t="e">
        <v>#DIV/0!</v>
      </c>
      <c r="W58" s="570" t="e">
        <f t="shared" si="10"/>
        <v>#DIV/0!</v>
      </c>
      <c r="X58" s="573" t="e">
        <f t="shared" si="11"/>
        <v>#DIV/0!</v>
      </c>
      <c r="Y58" s="574" t="e">
        <v>#DIV/0!</v>
      </c>
      <c r="Z58" s="563">
        <f t="shared" si="34"/>
        <v>0</v>
      </c>
      <c r="AA58" s="571">
        <v>0</v>
      </c>
      <c r="AB58" s="563" t="e">
        <f t="shared" si="12"/>
        <v>#DIV/0!</v>
      </c>
      <c r="AC58" s="563" t="e">
        <v>#DIV/0!</v>
      </c>
      <c r="AD58" s="563" t="e">
        <v>#DIV/0!</v>
      </c>
      <c r="AE58" s="571" t="e">
        <v>#DIV/0!</v>
      </c>
      <c r="AF58" s="563" t="e">
        <v>#DIV/0!</v>
      </c>
      <c r="AG58" s="575" t="e">
        <f t="shared" ref="AG58:AG66" si="39">AH58*AT58</f>
        <v>#DIV/0!</v>
      </c>
      <c r="AH58" s="573" t="e">
        <f t="shared" ref="AH58:AH66" si="40">((AI58/AS58)-1)*100</f>
        <v>#DIV/0!</v>
      </c>
      <c r="AI58" s="576" t="e">
        <v>#DIV/0!</v>
      </c>
      <c r="AJ58" s="563">
        <f t="shared" si="35"/>
        <v>0</v>
      </c>
      <c r="AK58" s="571">
        <v>0</v>
      </c>
      <c r="AL58" s="563" t="e">
        <f t="shared" ref="AL58:AL78" si="41">AM58+AN58+AO58+AP58+AV58</f>
        <v>#DIV/0!</v>
      </c>
      <c r="AM58" s="563" t="e">
        <v>#DIV/0!</v>
      </c>
      <c r="AN58" s="563" t="e">
        <v>#DIV/0!</v>
      </c>
      <c r="AO58" s="563" t="e">
        <v>#DIV/0!</v>
      </c>
      <c r="AP58" s="571" t="e">
        <v>#DIV/0!</v>
      </c>
      <c r="AQ58" s="563" t="e">
        <f t="shared" si="13"/>
        <v>#DIV/0!</v>
      </c>
      <c r="AR58" s="563" t="e">
        <v>#DIV/0!</v>
      </c>
      <c r="AS58" s="563" t="e">
        <v>#DIV/0!</v>
      </c>
      <c r="AT58" s="563">
        <f t="shared" si="37"/>
        <v>0</v>
      </c>
      <c r="AU58" s="577">
        <v>0</v>
      </c>
      <c r="AV58" s="563" t="e">
        <f t="shared" si="38"/>
        <v>#DIV/0!</v>
      </c>
      <c r="AW58" s="563" t="e">
        <v>#DIV/0!</v>
      </c>
      <c r="AX58" s="563" t="e">
        <v>#DIV/0!</v>
      </c>
      <c r="AY58" s="571" t="e">
        <v>#DIV/0!</v>
      </c>
      <c r="AZ58" s="563" t="e">
        <v>#DIV/0!</v>
      </c>
      <c r="BD58" s="580"/>
      <c r="BF58" s="362">
        <f t="shared" si="15"/>
        <v>0</v>
      </c>
      <c r="BG58" s="578">
        <f>+BF58/$BF$112</f>
        <v>0</v>
      </c>
    </row>
    <row r="59" spans="2:59">
      <c r="B59" s="563" t="s">
        <v>248</v>
      </c>
      <c r="C59" s="570"/>
      <c r="D59" s="569"/>
      <c r="E59" s="571" t="e">
        <v>#DIV/0!</v>
      </c>
      <c r="G59" s="571">
        <v>0</v>
      </c>
      <c r="H59" s="563" t="e">
        <f t="shared" si="5"/>
        <v>#DIV/0!</v>
      </c>
      <c r="I59" s="563" t="e">
        <v>#DIV/0!</v>
      </c>
      <c r="J59" s="563" t="e">
        <v>#DIV/0!</v>
      </c>
      <c r="K59" s="563" t="e">
        <v>#DIV/0!</v>
      </c>
      <c r="L59" s="572" t="e">
        <v>#DIV/0!</v>
      </c>
      <c r="M59" s="570"/>
      <c r="N59" s="569"/>
      <c r="O59" s="571" t="e">
        <v>#DIV/0!</v>
      </c>
      <c r="Q59" s="571">
        <v>0</v>
      </c>
      <c r="R59" s="563" t="e">
        <f t="shared" si="9"/>
        <v>#DIV/0!</v>
      </c>
      <c r="S59" s="572" t="e">
        <v>#DIV/0!</v>
      </c>
      <c r="T59" s="563" t="e">
        <v>#DIV/0!</v>
      </c>
      <c r="U59" s="563" t="e">
        <v>#DIV/0!</v>
      </c>
      <c r="V59" s="563" t="e">
        <v>#DIV/0!</v>
      </c>
      <c r="W59" s="570" t="e">
        <f t="shared" si="10"/>
        <v>#DIV/0!</v>
      </c>
      <c r="X59" s="573" t="e">
        <f t="shared" si="11"/>
        <v>#DIV/0!</v>
      </c>
      <c r="Y59" s="574" t="e">
        <v>#DIV/0!</v>
      </c>
      <c r="Z59" s="563">
        <f t="shared" si="34"/>
        <v>0</v>
      </c>
      <c r="AA59" s="571">
        <v>0</v>
      </c>
      <c r="AB59" s="563" t="e">
        <f t="shared" si="12"/>
        <v>#DIV/0!</v>
      </c>
      <c r="AC59" s="563" t="e">
        <v>#DIV/0!</v>
      </c>
      <c r="AD59" s="563" t="e">
        <v>#DIV/0!</v>
      </c>
      <c r="AE59" s="571" t="e">
        <v>#DIV/0!</v>
      </c>
      <c r="AF59" s="563" t="e">
        <v>#DIV/0!</v>
      </c>
      <c r="AG59" s="575" t="e">
        <f t="shared" si="39"/>
        <v>#DIV/0!</v>
      </c>
      <c r="AH59" s="573" t="e">
        <f t="shared" si="40"/>
        <v>#DIV/0!</v>
      </c>
      <c r="AI59" s="576" t="e">
        <v>#DIV/0!</v>
      </c>
      <c r="AJ59" s="563">
        <f t="shared" si="35"/>
        <v>0</v>
      </c>
      <c r="AK59" s="571">
        <v>0</v>
      </c>
      <c r="AL59" s="563" t="e">
        <f t="shared" si="41"/>
        <v>#DIV/0!</v>
      </c>
      <c r="AM59" s="563" t="e">
        <v>#DIV/0!</v>
      </c>
      <c r="AN59" s="563" t="e">
        <v>#DIV/0!</v>
      </c>
      <c r="AO59" s="563" t="e">
        <v>#DIV/0!</v>
      </c>
      <c r="AP59" s="571" t="e">
        <v>#DIV/0!</v>
      </c>
      <c r="AQ59" s="563" t="e">
        <f t="shared" si="13"/>
        <v>#DIV/0!</v>
      </c>
      <c r="AR59" s="563" t="e">
        <v>#DIV/0!</v>
      </c>
      <c r="AS59" s="563" t="e">
        <v>#DIV/0!</v>
      </c>
      <c r="AT59" s="563">
        <f t="shared" si="37"/>
        <v>0</v>
      </c>
      <c r="AU59" s="577">
        <v>0</v>
      </c>
      <c r="AV59" s="563" t="e">
        <f t="shared" si="38"/>
        <v>#DIV/0!</v>
      </c>
      <c r="AW59" s="563" t="e">
        <v>#DIV/0!</v>
      </c>
      <c r="AX59" s="563" t="e">
        <v>#DIV/0!</v>
      </c>
      <c r="AY59" s="571" t="e">
        <v>#DIV/0!</v>
      </c>
      <c r="AZ59" s="563" t="e">
        <v>#DIV/0!</v>
      </c>
      <c r="BD59" s="580"/>
      <c r="BF59" s="362">
        <f t="shared" si="15"/>
        <v>0</v>
      </c>
      <c r="BG59" s="578"/>
    </row>
    <row r="60" spans="2:59">
      <c r="B60" s="563" t="s">
        <v>249</v>
      </c>
      <c r="C60" s="570"/>
      <c r="D60" s="569"/>
      <c r="E60" s="571" t="e">
        <v>#DIV/0!</v>
      </c>
      <c r="F60" s="563">
        <f t="shared" si="4"/>
        <v>0</v>
      </c>
      <c r="G60" s="571">
        <v>0</v>
      </c>
      <c r="H60" s="563" t="e">
        <f t="shared" si="5"/>
        <v>#DIV/0!</v>
      </c>
      <c r="I60" s="563" t="e">
        <v>#DIV/0!</v>
      </c>
      <c r="J60" s="563" t="e">
        <v>#DIV/0!</v>
      </c>
      <c r="K60" s="563" t="e">
        <v>#DIV/0!</v>
      </c>
      <c r="L60" s="572" t="e">
        <v>#DIV/0!</v>
      </c>
      <c r="M60" s="570" t="e">
        <f t="shared" si="6"/>
        <v>#DIV/0!</v>
      </c>
      <c r="N60" s="569" t="e">
        <f t="shared" si="7"/>
        <v>#DIV/0!</v>
      </c>
      <c r="O60" s="571" t="e">
        <v>#DIV/0!</v>
      </c>
      <c r="Q60" s="571">
        <v>0</v>
      </c>
      <c r="R60" s="563" t="e">
        <f t="shared" si="9"/>
        <v>#DIV/0!</v>
      </c>
      <c r="S60" s="572" t="e">
        <v>#DIV/0!</v>
      </c>
      <c r="T60" s="563" t="e">
        <v>#DIV/0!</v>
      </c>
      <c r="U60" s="563" t="e">
        <v>#DIV/0!</v>
      </c>
      <c r="V60" s="563" t="e">
        <v>#DIV/0!</v>
      </c>
      <c r="W60" s="570" t="e">
        <f t="shared" si="10"/>
        <v>#DIV/0!</v>
      </c>
      <c r="X60" s="573" t="e">
        <f t="shared" si="11"/>
        <v>#DIV/0!</v>
      </c>
      <c r="Y60" s="574" t="e">
        <v>#DIV/0!</v>
      </c>
      <c r="Z60" s="563">
        <f t="shared" si="34"/>
        <v>0</v>
      </c>
      <c r="AA60" s="571">
        <v>0</v>
      </c>
      <c r="AB60" s="563" t="e">
        <f t="shared" si="12"/>
        <v>#DIV/0!</v>
      </c>
      <c r="AC60" s="563" t="e">
        <v>#DIV/0!</v>
      </c>
      <c r="AD60" s="563" t="e">
        <v>#DIV/0!</v>
      </c>
      <c r="AE60" s="571" t="e">
        <v>#DIV/0!</v>
      </c>
      <c r="AF60" s="563" t="e">
        <v>#DIV/0!</v>
      </c>
      <c r="AG60" s="575" t="e">
        <f t="shared" si="39"/>
        <v>#DIV/0!</v>
      </c>
      <c r="AH60" s="573" t="e">
        <f t="shared" si="40"/>
        <v>#DIV/0!</v>
      </c>
      <c r="AI60" s="576" t="e">
        <v>#DIV/0!</v>
      </c>
      <c r="AJ60" s="563">
        <f t="shared" si="35"/>
        <v>0</v>
      </c>
      <c r="AK60" s="571">
        <v>0</v>
      </c>
      <c r="AL60" s="563" t="e">
        <f t="shared" si="41"/>
        <v>#DIV/0!</v>
      </c>
      <c r="AM60" s="563" t="e">
        <v>#DIV/0!</v>
      </c>
      <c r="AN60" s="563" t="e">
        <v>#DIV/0!</v>
      </c>
      <c r="AO60" s="563" t="e">
        <v>#DIV/0!</v>
      </c>
      <c r="AP60" s="571" t="e">
        <v>#DIV/0!</v>
      </c>
      <c r="AQ60" s="563" t="e">
        <f t="shared" si="13"/>
        <v>#DIV/0!</v>
      </c>
      <c r="AR60" s="563" t="e">
        <v>#DIV/0!</v>
      </c>
      <c r="AS60" s="563" t="e">
        <v>#DIV/0!</v>
      </c>
      <c r="AT60" s="563">
        <f t="shared" si="37"/>
        <v>0</v>
      </c>
      <c r="AU60" s="577">
        <v>0</v>
      </c>
      <c r="AV60" s="563" t="e">
        <f t="shared" si="38"/>
        <v>#DIV/0!</v>
      </c>
      <c r="AW60" s="563" t="e">
        <v>#DIV/0!</v>
      </c>
      <c r="AX60" s="563" t="e">
        <v>#DIV/0!</v>
      </c>
      <c r="AY60" s="571" t="e">
        <v>#DIV/0!</v>
      </c>
      <c r="AZ60" s="563" t="e">
        <v>#DIV/0!</v>
      </c>
      <c r="BD60" s="580"/>
      <c r="BF60" s="362">
        <f t="shared" si="15"/>
        <v>0</v>
      </c>
      <c r="BG60" s="578"/>
    </row>
    <row r="61" spans="2:59">
      <c r="B61" s="563" t="s">
        <v>451</v>
      </c>
      <c r="C61" s="570"/>
      <c r="D61" s="569"/>
      <c r="E61" s="571" t="e">
        <v>#DIV/0!</v>
      </c>
      <c r="F61" s="563">
        <f t="shared" si="4"/>
        <v>0</v>
      </c>
      <c r="G61" s="571">
        <v>0</v>
      </c>
      <c r="H61" s="563" t="e">
        <f t="shared" si="5"/>
        <v>#DIV/0!</v>
      </c>
      <c r="I61" s="563" t="e">
        <v>#DIV/0!</v>
      </c>
      <c r="J61" s="563" t="e">
        <v>#DIV/0!</v>
      </c>
      <c r="K61" s="563" t="e">
        <v>#DIV/0!</v>
      </c>
      <c r="L61" s="572" t="e">
        <v>#DIV/0!</v>
      </c>
      <c r="M61" s="570" t="e">
        <f t="shared" si="6"/>
        <v>#DIV/0!</v>
      </c>
      <c r="N61" s="569" t="e">
        <f t="shared" si="7"/>
        <v>#DIV/0!</v>
      </c>
      <c r="O61" s="571" t="e">
        <v>#DIV/0!</v>
      </c>
      <c r="Q61" s="571">
        <v>0</v>
      </c>
      <c r="R61" s="563" t="e">
        <f t="shared" si="9"/>
        <v>#DIV/0!</v>
      </c>
      <c r="S61" s="572" t="e">
        <v>#DIV/0!</v>
      </c>
      <c r="T61" s="563" t="e">
        <v>#DIV/0!</v>
      </c>
      <c r="U61" s="563" t="e">
        <v>#DIV/0!</v>
      </c>
      <c r="V61" s="563" t="e">
        <v>#DIV/0!</v>
      </c>
      <c r="W61" s="570" t="e">
        <f t="shared" si="10"/>
        <v>#DIV/0!</v>
      </c>
      <c r="X61" s="573" t="e">
        <f t="shared" si="11"/>
        <v>#DIV/0!</v>
      </c>
      <c r="Y61" s="574" t="e">
        <v>#DIV/0!</v>
      </c>
      <c r="Z61" s="563">
        <f t="shared" si="34"/>
        <v>0</v>
      </c>
      <c r="AA61" s="571">
        <v>0</v>
      </c>
      <c r="AB61" s="563" t="e">
        <f t="shared" si="12"/>
        <v>#DIV/0!</v>
      </c>
      <c r="AC61" s="563" t="e">
        <v>#DIV/0!</v>
      </c>
      <c r="AD61" s="563" t="e">
        <v>#DIV/0!</v>
      </c>
      <c r="AE61" s="571" t="e">
        <v>#DIV/0!</v>
      </c>
      <c r="AF61" s="563" t="e">
        <v>#DIV/0!</v>
      </c>
      <c r="AG61" s="575" t="e">
        <f t="shared" si="39"/>
        <v>#DIV/0!</v>
      </c>
      <c r="AH61" s="573" t="e">
        <f t="shared" si="40"/>
        <v>#DIV/0!</v>
      </c>
      <c r="AI61" s="576" t="e">
        <v>#DIV/0!</v>
      </c>
      <c r="AJ61" s="563">
        <f t="shared" si="35"/>
        <v>0</v>
      </c>
      <c r="AK61" s="571">
        <v>0</v>
      </c>
      <c r="AL61" s="563" t="e">
        <f t="shared" si="41"/>
        <v>#DIV/0!</v>
      </c>
      <c r="AM61" s="563" t="e">
        <v>#DIV/0!</v>
      </c>
      <c r="AN61" s="563" t="e">
        <v>#DIV/0!</v>
      </c>
      <c r="AO61" s="563" t="e">
        <v>#DIV/0!</v>
      </c>
      <c r="AP61" s="571" t="e">
        <v>#DIV/0!</v>
      </c>
      <c r="AQ61" s="563" t="e">
        <f t="shared" si="13"/>
        <v>#DIV/0!</v>
      </c>
      <c r="AR61" s="563" t="e">
        <v>#DIV/0!</v>
      </c>
      <c r="AS61" s="563" t="e">
        <v>#DIV/0!</v>
      </c>
      <c r="AT61" s="563">
        <f t="shared" si="37"/>
        <v>0</v>
      </c>
      <c r="AU61" s="577">
        <v>0</v>
      </c>
      <c r="AV61" s="563" t="e">
        <f t="shared" si="38"/>
        <v>#DIV/0!</v>
      </c>
      <c r="AW61" s="563" t="e">
        <v>#DIV/0!</v>
      </c>
      <c r="AX61" s="563" t="e">
        <v>#DIV/0!</v>
      </c>
      <c r="AY61" s="571" t="e">
        <v>#DIV/0!</v>
      </c>
      <c r="AZ61" s="563" t="e">
        <v>#DIV/0!</v>
      </c>
      <c r="BD61" s="580"/>
      <c r="BF61" s="362">
        <f t="shared" si="15"/>
        <v>0</v>
      </c>
      <c r="BG61" s="578"/>
    </row>
    <row r="62" spans="2:59">
      <c r="B62" s="579" t="s">
        <v>138</v>
      </c>
      <c r="C62" s="570">
        <f>D62*P62</f>
        <v>0.59415347230322935</v>
      </c>
      <c r="D62" s="569">
        <f>((E62/O62)-1)*100</f>
        <v>27.423580301773519</v>
      </c>
      <c r="E62" s="571">
        <v>103.08298679645205</v>
      </c>
      <c r="F62" s="563">
        <f t="shared" si="4"/>
        <v>2.3044721980973869E-2</v>
      </c>
      <c r="G62" s="571">
        <v>23782.552</v>
      </c>
      <c r="H62" s="563">
        <f t="shared" si="5"/>
        <v>0.15641672421418049</v>
      </c>
      <c r="I62" s="563">
        <v>8.6270928095256751E-3</v>
      </c>
      <c r="J62" s="563">
        <v>8.7259622494169839E-3</v>
      </c>
      <c r="K62" s="563">
        <v>1.0632107249010998E-2</v>
      </c>
      <c r="L62" s="572">
        <v>1.0130633076204905E-2</v>
      </c>
      <c r="M62" s="570">
        <f t="shared" si="6"/>
        <v>-0.37555392868931153</v>
      </c>
      <c r="N62" s="569">
        <f t="shared" si="7"/>
        <v>-16.000087737551905</v>
      </c>
      <c r="O62" s="571">
        <v>80.897889191563792</v>
      </c>
      <c r="P62" s="563">
        <f t="shared" ref="P62:P64" si="42">Q62/Q$112</f>
        <v>2.1665787828032235E-2</v>
      </c>
      <c r="Q62" s="571">
        <v>19010.952000000001</v>
      </c>
      <c r="R62" s="563">
        <f t="shared" si="9"/>
        <v>0.11830092883002193</v>
      </c>
      <c r="S62" s="572">
        <v>9.6550580397822897E-3</v>
      </c>
      <c r="T62" s="563">
        <v>9.2558560641114625E-3</v>
      </c>
      <c r="U62" s="563">
        <v>8.4157437336264979E-3</v>
      </c>
      <c r="V62" s="563">
        <v>7.8983428030944165E-3</v>
      </c>
      <c r="W62" s="570">
        <f t="shared" si="10"/>
        <v>5.9313714909158252E-2</v>
      </c>
      <c r="X62" s="573">
        <f t="shared" si="11"/>
        <v>2.6013326460871511</v>
      </c>
      <c r="Y62" s="574">
        <v>96.3071115346021</v>
      </c>
      <c r="Z62" s="563">
        <f t="shared" si="34"/>
        <v>2.3471991832138116E-2</v>
      </c>
      <c r="AA62" s="571">
        <v>22976.928</v>
      </c>
      <c r="AB62" s="563">
        <f t="shared" si="12"/>
        <v>8.3075928189407261E-2</v>
      </c>
      <c r="AC62" s="563">
        <v>7.139032483876105E-3</v>
      </c>
      <c r="AD62" s="563">
        <v>7.8235490321205726E-3</v>
      </c>
      <c r="AE62" s="571">
        <v>6.9289375979913383E-3</v>
      </c>
      <c r="AF62" s="563">
        <v>6.6359173434498925E-3</v>
      </c>
      <c r="AG62" s="575">
        <f t="shared" si="39"/>
        <v>0.36504729376909939</v>
      </c>
      <c r="AH62" s="573">
        <f t="shared" si="40"/>
        <v>17.091278033578373</v>
      </c>
      <c r="AI62" s="576">
        <v>93.865361249062602</v>
      </c>
      <c r="AJ62" s="563">
        <f t="shared" si="35"/>
        <v>2.2801280335437383E-2</v>
      </c>
      <c r="AK62" s="571">
        <v>22902.273000000001</v>
      </c>
      <c r="AL62" s="563">
        <f t="shared" si="41"/>
        <v>5.4548491731969344E-2</v>
      </c>
      <c r="AM62" s="563">
        <v>6.4761240559689931E-3</v>
      </c>
      <c r="AN62" s="563">
        <v>7.0685444785015348E-3</v>
      </c>
      <c r="AO62" s="563">
        <v>7.1045055560072512E-3</v>
      </c>
      <c r="AP62" s="571">
        <v>6.9423101538618037E-3</v>
      </c>
      <c r="AQ62" s="563">
        <f t="shared" si="13"/>
        <v>0.76236395535788803</v>
      </c>
      <c r="AR62" s="563">
        <v>35.894666900295611</v>
      </c>
      <c r="AS62" s="563">
        <v>80.16426400448438</v>
      </c>
      <c r="AT62" s="563">
        <f t="shared" si="37"/>
        <v>2.1358689095801343E-2</v>
      </c>
      <c r="AU62" s="577">
        <v>18885.12</v>
      </c>
      <c r="AV62" s="563">
        <f t="shared" si="38"/>
        <v>2.6957007487629761E-2</v>
      </c>
      <c r="AW62" s="563">
        <v>6.7309304340582802E-3</v>
      </c>
      <c r="AX62" s="563">
        <v>6.3463639100410666E-3</v>
      </c>
      <c r="AY62" s="571">
        <v>7.0830634112772212E-3</v>
      </c>
      <c r="AZ62" s="563">
        <v>6.7966497322531922E-3</v>
      </c>
      <c r="BD62" s="580">
        <v>245.9</v>
      </c>
      <c r="BE62" s="563">
        <v>76.8</v>
      </c>
      <c r="BF62" s="362">
        <f t="shared" si="15"/>
        <v>18885.12</v>
      </c>
      <c r="BG62" s="578">
        <f>+BF62/$BF$112</f>
        <v>2.1238919906277486E-2</v>
      </c>
    </row>
    <row r="63" spans="2:59">
      <c r="B63" s="563" t="s">
        <v>139</v>
      </c>
      <c r="C63" s="570"/>
      <c r="D63" s="569"/>
      <c r="E63" s="571" t="e">
        <v>#DIV/0!</v>
      </c>
      <c r="F63" s="563">
        <f t="shared" si="4"/>
        <v>0</v>
      </c>
      <c r="G63" s="571">
        <v>0</v>
      </c>
      <c r="H63" s="563" t="e">
        <f t="shared" si="5"/>
        <v>#DIV/0!</v>
      </c>
      <c r="I63" s="563" t="e">
        <v>#DIV/0!</v>
      </c>
      <c r="J63" s="563" t="e">
        <v>#DIV/0!</v>
      </c>
      <c r="K63" s="563" t="e">
        <v>#DIV/0!</v>
      </c>
      <c r="L63" s="572" t="e">
        <v>#DIV/0!</v>
      </c>
      <c r="M63" s="570" t="e">
        <f t="shared" si="6"/>
        <v>#DIV/0!</v>
      </c>
      <c r="N63" s="569" t="e">
        <f t="shared" si="7"/>
        <v>#DIV/0!</v>
      </c>
      <c r="O63" s="571" t="e">
        <v>#DIV/0!</v>
      </c>
      <c r="Q63" s="571">
        <v>0</v>
      </c>
      <c r="R63" s="563" t="e">
        <f t="shared" si="9"/>
        <v>#DIV/0!</v>
      </c>
      <c r="S63" s="572" t="e">
        <v>#DIV/0!</v>
      </c>
      <c r="T63" s="563" t="e">
        <v>#DIV/0!</v>
      </c>
      <c r="U63" s="563" t="e">
        <v>#DIV/0!</v>
      </c>
      <c r="V63" s="563" t="e">
        <v>#DIV/0!</v>
      </c>
      <c r="W63" s="570" t="e">
        <f t="shared" si="10"/>
        <v>#DIV/0!</v>
      </c>
      <c r="X63" s="573" t="e">
        <f t="shared" si="11"/>
        <v>#DIV/0!</v>
      </c>
      <c r="Y63" s="574" t="e">
        <v>#DIV/0!</v>
      </c>
      <c r="Z63" s="563">
        <f t="shared" si="34"/>
        <v>0</v>
      </c>
      <c r="AA63" s="571">
        <v>0</v>
      </c>
      <c r="AB63" s="563" t="e">
        <f t="shared" si="12"/>
        <v>#DIV/0!</v>
      </c>
      <c r="AC63" s="563" t="e">
        <v>#DIV/0!</v>
      </c>
      <c r="AD63" s="563" t="e">
        <v>#DIV/0!</v>
      </c>
      <c r="AE63" s="571" t="e">
        <v>#DIV/0!</v>
      </c>
      <c r="AF63" s="563" t="e">
        <v>#DIV/0!</v>
      </c>
      <c r="AG63" s="575" t="e">
        <f t="shared" si="39"/>
        <v>#DIV/0!</v>
      </c>
      <c r="AH63" s="573" t="e">
        <f t="shared" si="40"/>
        <v>#DIV/0!</v>
      </c>
      <c r="AI63" s="576" t="e">
        <v>#DIV/0!</v>
      </c>
      <c r="AJ63" s="563">
        <f t="shared" si="35"/>
        <v>0</v>
      </c>
      <c r="AK63" s="571">
        <v>0</v>
      </c>
      <c r="AL63" s="563" t="e">
        <f t="shared" si="41"/>
        <v>#DIV/0!</v>
      </c>
      <c r="AM63" s="563" t="e">
        <v>#DIV/0!</v>
      </c>
      <c r="AN63" s="563" t="e">
        <v>#DIV/0!</v>
      </c>
      <c r="AO63" s="563" t="e">
        <v>#DIV/0!</v>
      </c>
      <c r="AP63" s="571" t="e">
        <v>#DIV/0!</v>
      </c>
      <c r="AQ63" s="563" t="e">
        <f t="shared" si="13"/>
        <v>#DIV/0!</v>
      </c>
      <c r="AR63" s="563" t="e">
        <v>#DIV/0!</v>
      </c>
      <c r="AS63" s="563" t="e">
        <v>#DIV/0!</v>
      </c>
      <c r="AT63" s="563">
        <f t="shared" si="37"/>
        <v>0</v>
      </c>
      <c r="AU63" s="577">
        <v>0</v>
      </c>
      <c r="AV63" s="563" t="e">
        <f t="shared" si="38"/>
        <v>#DIV/0!</v>
      </c>
      <c r="AW63" s="563" t="e">
        <v>#DIV/0!</v>
      </c>
      <c r="AX63" s="563" t="e">
        <v>#DIV/0!</v>
      </c>
      <c r="AY63" s="571" t="e">
        <v>#DIV/0!</v>
      </c>
      <c r="AZ63" s="563" t="e">
        <v>#DIV/0!</v>
      </c>
      <c r="BD63" s="580"/>
      <c r="BF63" s="362">
        <f t="shared" si="15"/>
        <v>0</v>
      </c>
      <c r="BG63" s="578">
        <f>+BF63/$BF$112</f>
        <v>0</v>
      </c>
    </row>
    <row r="64" spans="2:59">
      <c r="B64" s="579" t="s">
        <v>140</v>
      </c>
      <c r="C64" s="570">
        <f>D64*P64</f>
        <v>6.1093366600481801E-3</v>
      </c>
      <c r="D64" s="569">
        <f>((E64/O64)-1)*100</f>
        <v>6.3337305610909</v>
      </c>
      <c r="E64" s="571">
        <v>63.567630697160851</v>
      </c>
      <c r="F64" s="563">
        <f t="shared" si="4"/>
        <v>8.4539182736985006E-4</v>
      </c>
      <c r="G64" s="571">
        <v>872.45900000000006</v>
      </c>
      <c r="H64" s="563">
        <f t="shared" si="5"/>
        <v>0.17305094477137578</v>
      </c>
      <c r="I64" s="563">
        <v>9.1283832560255396E-3</v>
      </c>
      <c r="J64" s="563">
        <v>8.1086318931894753E-3</v>
      </c>
      <c r="K64" s="563">
        <v>9.407659103503177E-3</v>
      </c>
      <c r="L64" s="572">
        <v>9.23207323487313E-3</v>
      </c>
      <c r="M64" s="570">
        <f t="shared" si="6"/>
        <v>4.7843936199587697E-3</v>
      </c>
      <c r="N64" s="569">
        <f t="shared" si="7"/>
        <v>5.699331559204035</v>
      </c>
      <c r="O64" s="571">
        <v>59.781247551208551</v>
      </c>
      <c r="P64" s="563">
        <f t="shared" si="42"/>
        <v>9.6457160612085284E-4</v>
      </c>
      <c r="Q64" s="571">
        <v>846.37700000000007</v>
      </c>
      <c r="R64" s="563">
        <f t="shared" si="9"/>
        <v>0.13717419728378447</v>
      </c>
      <c r="S64" s="572">
        <v>8.6938282189699418E-3</v>
      </c>
      <c r="T64" s="563">
        <v>1.0600360651078508E-2</v>
      </c>
      <c r="U64" s="563">
        <v>8.8573100539482159E-3</v>
      </c>
      <c r="V64" s="563">
        <v>7.8188561726123089E-3</v>
      </c>
      <c r="W64" s="570">
        <f t="shared" si="10"/>
        <v>1.0756183098522059E-2</v>
      </c>
      <c r="X64" s="573">
        <f t="shared" si="11"/>
        <v>15.115940352690194</v>
      </c>
      <c r="Y64" s="574">
        <v>56.557829334733334</v>
      </c>
      <c r="Z64" s="563">
        <f t="shared" si="34"/>
        <v>8.3946574615970495E-4</v>
      </c>
      <c r="AA64" s="571">
        <v>821.76</v>
      </c>
      <c r="AB64" s="563">
        <f t="shared" si="12"/>
        <v>0.10120384218717549</v>
      </c>
      <c r="AC64" s="563">
        <v>8.2989275063381357E-3</v>
      </c>
      <c r="AD64" s="563">
        <v>9.0997633801350678E-3</v>
      </c>
      <c r="AE64" s="571">
        <v>7.1508037389151399E-3</v>
      </c>
      <c r="AF64" s="563">
        <v>8.3527987974755698E-3</v>
      </c>
      <c r="AG64" s="575">
        <f t="shared" si="39"/>
        <v>7.6218892329755475E-3</v>
      </c>
      <c r="AH64" s="573">
        <f t="shared" si="40"/>
        <v>7.3172992606786114</v>
      </c>
      <c r="AI64" s="576">
        <v>49.131188227670691</v>
      </c>
      <c r="AJ64" s="563">
        <f t="shared" si="35"/>
        <v>7.1157882656025268E-4</v>
      </c>
      <c r="AK64" s="571">
        <v>714.73059000000001</v>
      </c>
      <c r="AL64" s="563">
        <f t="shared" si="41"/>
        <v>6.8301548764311576E-2</v>
      </c>
      <c r="AM64" s="563">
        <v>8.7546816590562508E-3</v>
      </c>
      <c r="AN64" s="563">
        <v>9.3287258920295869E-3</v>
      </c>
      <c r="AO64" s="563">
        <v>7.4804666103285046E-3</v>
      </c>
      <c r="AP64" s="571">
        <v>8.6008316984827644E-3</v>
      </c>
      <c r="AQ64" s="563">
        <f t="shared" si="13"/>
        <v>3.660849422571495E-4</v>
      </c>
      <c r="AR64" s="563">
        <v>0.35343716654632207</v>
      </c>
      <c r="AS64" s="563">
        <v>45.781238035378429</v>
      </c>
      <c r="AT64" s="563">
        <f t="shared" si="37"/>
        <v>1.0416260100135208E-3</v>
      </c>
      <c r="AU64" s="577">
        <v>920.99436000000003</v>
      </c>
      <c r="AV64" s="563">
        <f t="shared" si="38"/>
        <v>3.4136842904414461E-2</v>
      </c>
      <c r="AW64" s="563">
        <v>8.6863325364353317E-3</v>
      </c>
      <c r="AX64" s="563">
        <v>9.8563101727026075E-3</v>
      </c>
      <c r="AY64" s="571">
        <v>8.4267690026159688E-3</v>
      </c>
      <c r="AZ64" s="563">
        <v>7.16743119266055E-3</v>
      </c>
      <c r="BD64" s="580">
        <v>14.898</v>
      </c>
      <c r="BE64" s="563">
        <v>61.82</v>
      </c>
      <c r="BF64" s="362">
        <f t="shared" si="15"/>
        <v>920.99436000000003</v>
      </c>
      <c r="BG64" s="578">
        <f>+BF64/$BF$112</f>
        <v>1.0357850755607215E-3</v>
      </c>
    </row>
    <row r="65" spans="2:59">
      <c r="B65" s="563" t="s">
        <v>250</v>
      </c>
      <c r="C65" s="570"/>
      <c r="D65" s="569"/>
      <c r="E65" s="571" t="e">
        <v>#DIV/0!</v>
      </c>
      <c r="G65" s="571">
        <v>0</v>
      </c>
      <c r="H65" s="563" t="e">
        <f t="shared" si="5"/>
        <v>#DIV/0!</v>
      </c>
      <c r="I65" s="563" t="e">
        <v>#DIV/0!</v>
      </c>
      <c r="J65" s="563" t="e">
        <v>#DIV/0!</v>
      </c>
      <c r="K65" s="563" t="e">
        <v>#DIV/0!</v>
      </c>
      <c r="L65" s="572" t="e">
        <v>#DIV/0!</v>
      </c>
      <c r="M65" s="570"/>
      <c r="N65" s="569"/>
      <c r="O65" s="571">
        <v>0</v>
      </c>
      <c r="Q65" s="571">
        <v>0</v>
      </c>
      <c r="S65" s="572" t="e">
        <v>#VALUE!</v>
      </c>
      <c r="T65" s="563" t="e">
        <v>#VALUE!</v>
      </c>
      <c r="U65" s="563" t="e">
        <v>#VALUE!</v>
      </c>
      <c r="V65" s="563" t="e">
        <v>#VALUE!</v>
      </c>
      <c r="W65" s="570" t="s">
        <v>96</v>
      </c>
      <c r="X65" s="573" t="s">
        <v>96</v>
      </c>
      <c r="Y65" s="574" t="e">
        <v>#VALUE!</v>
      </c>
      <c r="Z65" s="563">
        <f t="shared" si="34"/>
        <v>0</v>
      </c>
      <c r="AA65" s="571">
        <v>0</v>
      </c>
      <c r="AB65" s="563" t="s">
        <v>96</v>
      </c>
      <c r="AC65" s="563" t="e">
        <v>#DIV/0!</v>
      </c>
      <c r="AD65" s="563" t="e">
        <v>#DIV/0!</v>
      </c>
      <c r="AE65" s="571" t="e">
        <v>#DIV/0!</v>
      </c>
      <c r="AF65" s="563" t="e">
        <v>#DIV/0!</v>
      </c>
      <c r="AG65" s="575" t="e">
        <f t="shared" si="39"/>
        <v>#DIV/0!</v>
      </c>
      <c r="AH65" s="573" t="e">
        <f t="shared" si="40"/>
        <v>#DIV/0!</v>
      </c>
      <c r="AI65" s="576" t="e">
        <v>#DIV/0!</v>
      </c>
      <c r="AJ65" s="563">
        <f t="shared" si="35"/>
        <v>0</v>
      </c>
      <c r="AK65" s="571">
        <v>0</v>
      </c>
      <c r="AL65" s="563" t="e">
        <f t="shared" si="41"/>
        <v>#DIV/0!</v>
      </c>
      <c r="AM65" s="563" t="e">
        <v>#DIV/0!</v>
      </c>
      <c r="AN65" s="563" t="e">
        <v>#DIV/0!</v>
      </c>
      <c r="AO65" s="563" t="e">
        <v>#DIV/0!</v>
      </c>
      <c r="AP65" s="571" t="e">
        <v>#DIV/0!</v>
      </c>
      <c r="AQ65" s="563" t="e">
        <f t="shared" si="13"/>
        <v>#DIV/0!</v>
      </c>
      <c r="AR65" s="563" t="e">
        <v>#DIV/0!</v>
      </c>
      <c r="AS65" s="563" t="e">
        <v>#DIV/0!</v>
      </c>
      <c r="AT65" s="563">
        <f t="shared" si="37"/>
        <v>0</v>
      </c>
      <c r="AU65" s="577">
        <v>0</v>
      </c>
      <c r="AV65" s="563" t="e">
        <f t="shared" si="38"/>
        <v>#DIV/0!</v>
      </c>
      <c r="AW65" s="563" t="e">
        <v>#DIV/0!</v>
      </c>
      <c r="AX65" s="563" t="e">
        <v>#DIV/0!</v>
      </c>
      <c r="AY65" s="571" t="e">
        <v>#DIV/0!</v>
      </c>
      <c r="AZ65" s="563" t="e">
        <v>#DIV/0!</v>
      </c>
      <c r="BD65" s="580"/>
      <c r="BF65" s="362">
        <f t="shared" si="15"/>
        <v>0</v>
      </c>
      <c r="BG65" s="578"/>
    </row>
    <row r="66" spans="2:59">
      <c r="B66" s="563" t="s">
        <v>141</v>
      </c>
      <c r="C66" s="570"/>
      <c r="D66" s="569"/>
      <c r="E66" s="571" t="e">
        <v>#DIV/0!</v>
      </c>
      <c r="F66" s="563">
        <f t="shared" si="4"/>
        <v>0</v>
      </c>
      <c r="G66" s="571">
        <v>0</v>
      </c>
      <c r="H66" s="563" t="e">
        <f t="shared" si="5"/>
        <v>#DIV/0!</v>
      </c>
      <c r="I66" s="563" t="e">
        <v>#DIV/0!</v>
      </c>
      <c r="J66" s="563" t="e">
        <v>#DIV/0!</v>
      </c>
      <c r="K66" s="563" t="e">
        <v>#DIV/0!</v>
      </c>
      <c r="L66" s="572" t="e">
        <v>#DIV/0!</v>
      </c>
      <c r="M66" s="570" t="e">
        <f t="shared" si="6"/>
        <v>#DIV/0!</v>
      </c>
      <c r="N66" s="569" t="e">
        <f t="shared" si="7"/>
        <v>#DIV/0!</v>
      </c>
      <c r="O66" s="571" t="e">
        <v>#DIV/0!</v>
      </c>
      <c r="Q66" s="571">
        <v>0</v>
      </c>
      <c r="R66" s="563" t="e">
        <f t="shared" si="9"/>
        <v>#DIV/0!</v>
      </c>
      <c r="S66" s="572" t="e">
        <v>#DIV/0!</v>
      </c>
      <c r="T66" s="563" t="e">
        <v>#DIV/0!</v>
      </c>
      <c r="U66" s="563" t="e">
        <v>#DIV/0!</v>
      </c>
      <c r="V66" s="563" t="e">
        <v>#DIV/0!</v>
      </c>
      <c r="W66" s="570" t="e">
        <f t="shared" si="10"/>
        <v>#DIV/0!</v>
      </c>
      <c r="X66" s="573" t="e">
        <f t="shared" si="11"/>
        <v>#DIV/0!</v>
      </c>
      <c r="Y66" s="574" t="e">
        <v>#DIV/0!</v>
      </c>
      <c r="Z66" s="563">
        <f t="shared" si="34"/>
        <v>0</v>
      </c>
      <c r="AA66" s="571">
        <v>0</v>
      </c>
      <c r="AB66" s="563" t="e">
        <f t="shared" si="12"/>
        <v>#DIV/0!</v>
      </c>
      <c r="AC66" s="563" t="e">
        <v>#DIV/0!</v>
      </c>
      <c r="AD66" s="563" t="e">
        <v>#DIV/0!</v>
      </c>
      <c r="AE66" s="571" t="e">
        <v>#DIV/0!</v>
      </c>
      <c r="AF66" s="563" t="e">
        <v>#DIV/0!</v>
      </c>
      <c r="AG66" s="575" t="e">
        <f t="shared" si="39"/>
        <v>#DIV/0!</v>
      </c>
      <c r="AH66" s="573" t="e">
        <f t="shared" si="40"/>
        <v>#DIV/0!</v>
      </c>
      <c r="AI66" s="576" t="e">
        <v>#DIV/0!</v>
      </c>
      <c r="AJ66" s="563">
        <f t="shared" si="35"/>
        <v>0</v>
      </c>
      <c r="AK66" s="571">
        <v>0</v>
      </c>
      <c r="AL66" s="563" t="e">
        <f t="shared" si="41"/>
        <v>#DIV/0!</v>
      </c>
      <c r="AM66" s="563" t="e">
        <v>#DIV/0!</v>
      </c>
      <c r="AN66" s="563" t="e">
        <v>#DIV/0!</v>
      </c>
      <c r="AO66" s="563" t="e">
        <v>#DIV/0!</v>
      </c>
      <c r="AP66" s="571" t="e">
        <v>#DIV/0!</v>
      </c>
      <c r="AQ66" s="563" t="e">
        <f t="shared" si="13"/>
        <v>#DIV/0!</v>
      </c>
      <c r="AR66" s="563" t="e">
        <v>#DIV/0!</v>
      </c>
      <c r="AS66" s="563" t="e">
        <v>#DIV/0!</v>
      </c>
      <c r="AT66" s="563">
        <f t="shared" si="37"/>
        <v>0</v>
      </c>
      <c r="AU66" s="577">
        <v>0</v>
      </c>
      <c r="AV66" s="563" t="e">
        <f t="shared" si="38"/>
        <v>#DIV/0!</v>
      </c>
      <c r="AW66" s="563" t="e">
        <v>#DIV/0!</v>
      </c>
      <c r="AX66" s="563" t="e">
        <v>#DIV/0!</v>
      </c>
      <c r="AY66" s="571" t="e">
        <v>#DIV/0!</v>
      </c>
      <c r="AZ66" s="563" t="e">
        <v>#DIV/0!</v>
      </c>
      <c r="BD66" s="580"/>
      <c r="BF66" s="362">
        <f t="shared" si="15"/>
        <v>0</v>
      </c>
      <c r="BG66" s="578"/>
    </row>
    <row r="67" spans="2:59">
      <c r="B67" s="563" t="s">
        <v>251</v>
      </c>
      <c r="C67" s="570"/>
      <c r="D67" s="569"/>
      <c r="E67" s="571" t="e">
        <v>#DIV/0!</v>
      </c>
      <c r="G67" s="571">
        <v>0</v>
      </c>
      <c r="H67" s="563" t="e">
        <f t="shared" si="5"/>
        <v>#DIV/0!</v>
      </c>
      <c r="I67" s="563" t="e">
        <v>#DIV/0!</v>
      </c>
      <c r="J67" s="563" t="e">
        <v>#DIV/0!</v>
      </c>
      <c r="K67" s="563" t="e">
        <v>#DIV/0!</v>
      </c>
      <c r="L67" s="572" t="e">
        <v>#DIV/0!</v>
      </c>
      <c r="M67" s="570"/>
      <c r="N67" s="569"/>
      <c r="O67" s="571">
        <v>0</v>
      </c>
      <c r="Q67" s="571">
        <v>0</v>
      </c>
      <c r="S67" s="572" t="e">
        <v>#VALUE!</v>
      </c>
      <c r="T67" s="563" t="e">
        <v>#VALUE!</v>
      </c>
      <c r="U67" s="563" t="e">
        <v>#VALUE!</v>
      </c>
      <c r="V67" s="563" t="e">
        <v>#VALUE!</v>
      </c>
      <c r="W67" s="570" t="s">
        <v>96</v>
      </c>
      <c r="X67" s="573" t="s">
        <v>96</v>
      </c>
      <c r="Y67" s="574" t="e">
        <v>#VALUE!</v>
      </c>
      <c r="Z67" s="563">
        <f t="shared" si="34"/>
        <v>0</v>
      </c>
      <c r="AA67" s="571">
        <v>0</v>
      </c>
      <c r="AB67" s="563" t="s">
        <v>96</v>
      </c>
      <c r="AC67" s="563" t="e">
        <v>#DIV/0!</v>
      </c>
      <c r="AD67" s="563" t="e">
        <v>#DIV/0!</v>
      </c>
      <c r="AE67" s="571" t="e">
        <v>#DIV/0!</v>
      </c>
      <c r="AF67" s="563" t="e">
        <v>#DIV/0!</v>
      </c>
      <c r="AG67" s="575"/>
      <c r="AH67" s="573"/>
      <c r="AI67" s="576" t="e">
        <v>#DIV/0!</v>
      </c>
      <c r="AJ67" s="563">
        <f t="shared" si="35"/>
        <v>0</v>
      </c>
      <c r="AK67" s="571">
        <v>0</v>
      </c>
      <c r="AL67" s="563" t="e">
        <f t="shared" si="41"/>
        <v>#DIV/0!</v>
      </c>
      <c r="AM67" s="563" t="e">
        <v>#DIV/0!</v>
      </c>
      <c r="AN67" s="563" t="e">
        <v>#DIV/0!</v>
      </c>
      <c r="AO67" s="563" t="e">
        <v>#DIV/0!</v>
      </c>
      <c r="AP67" s="571" t="e">
        <v>#DIV/0!</v>
      </c>
      <c r="AQ67" s="563" t="e">
        <f t="shared" si="13"/>
        <v>#DIV/0!</v>
      </c>
      <c r="AR67" s="563" t="e">
        <v>#DIV/0!</v>
      </c>
      <c r="AS67" s="563" t="e">
        <v>#DIV/0!</v>
      </c>
      <c r="AT67" s="563">
        <f t="shared" si="37"/>
        <v>0</v>
      </c>
      <c r="AU67" s="577">
        <v>0</v>
      </c>
      <c r="AV67" s="563" t="e">
        <f t="shared" si="38"/>
        <v>#DIV/0!</v>
      </c>
      <c r="AW67" s="563" t="e">
        <v>#DIV/0!</v>
      </c>
      <c r="AX67" s="563" t="e">
        <v>#DIV/0!</v>
      </c>
      <c r="AY67" s="571" t="e">
        <v>#DIV/0!</v>
      </c>
      <c r="AZ67" s="563" t="e">
        <v>#DIV/0!</v>
      </c>
      <c r="BD67" s="580"/>
      <c r="BF67" s="362">
        <f t="shared" si="15"/>
        <v>0</v>
      </c>
      <c r="BG67" s="578"/>
    </row>
    <row r="68" spans="2:59">
      <c r="B68" s="579" t="s">
        <v>142</v>
      </c>
      <c r="C68" s="570">
        <f>D68*P68</f>
        <v>0.35659151908468556</v>
      </c>
      <c r="D68" s="569">
        <f>((E68/O68)-1)*100</f>
        <v>18.516358236624409</v>
      </c>
      <c r="E68" s="571">
        <v>77.376321287129159</v>
      </c>
      <c r="F68" s="563">
        <f t="shared" si="4"/>
        <v>1.9245510514157974E-2</v>
      </c>
      <c r="G68" s="571">
        <v>19861.7</v>
      </c>
      <c r="H68" s="563">
        <f t="shared" si="5"/>
        <v>0.16093505307020481</v>
      </c>
      <c r="I68" s="563">
        <v>8.9016832030247208E-3</v>
      </c>
      <c r="J68" s="563">
        <v>8.3392674886723986E-3</v>
      </c>
      <c r="K68" s="563">
        <v>9.8093506990578963E-3</v>
      </c>
      <c r="L68" s="572">
        <v>9.5957710478172132E-3</v>
      </c>
      <c r="M68" s="570">
        <f t="shared" si="6"/>
        <v>-9.7570431290353726E-2</v>
      </c>
      <c r="N68" s="569">
        <f t="shared" si="7"/>
        <v>-5.2077748165118454</v>
      </c>
      <c r="O68" s="571">
        <v>65.287461105278894</v>
      </c>
      <c r="P68" s="563">
        <f>Q68/Q$112</f>
        <v>1.9258188598844764E-2</v>
      </c>
      <c r="Q68" s="571">
        <v>16898.37</v>
      </c>
      <c r="R68" s="563">
        <f t="shared" si="9"/>
        <v>0.12428898063163257</v>
      </c>
      <c r="S68" s="572">
        <v>9.3598749614980277E-3</v>
      </c>
      <c r="T68" s="563">
        <v>1.0140919614052717E-2</v>
      </c>
      <c r="U68" s="563">
        <v>9.0919475113288017E-3</v>
      </c>
      <c r="V68" s="563">
        <v>8.1503924600676986E-3</v>
      </c>
      <c r="W68" s="570">
        <f t="shared" si="10"/>
        <v>3.1008263203885114E-3</v>
      </c>
      <c r="X68" s="573">
        <f t="shared" si="11"/>
        <v>0.16561566100217195</v>
      </c>
      <c r="Y68" s="574">
        <v>68.874278432543122</v>
      </c>
      <c r="Z68" s="563">
        <f t="shared" si="34"/>
        <v>1.8735531916817049E-2</v>
      </c>
      <c r="AA68" s="571">
        <v>18340.368000000002</v>
      </c>
      <c r="AB68" s="563">
        <f t="shared" si="12"/>
        <v>8.7545846084685325E-2</v>
      </c>
      <c r="AC68" s="563">
        <v>7.8424688697124201E-3</v>
      </c>
      <c r="AD68" s="563">
        <v>8.4610486119060906E-3</v>
      </c>
      <c r="AE68" s="571">
        <v>7.250904519679381E-3</v>
      </c>
      <c r="AF68" s="563">
        <v>6.9522166914539529E-3</v>
      </c>
      <c r="AG68" s="575">
        <f t="shared" ref="AG68:AG75" si="43">AH68*AT68</f>
        <v>0.19482465488212547</v>
      </c>
      <c r="AH68" s="573">
        <f t="shared" ref="AH68:AH75" si="44">((AI68/AS68)-1)*100</f>
        <v>9.6864905344930641</v>
      </c>
      <c r="AI68" s="576">
        <v>68.760400440845274</v>
      </c>
      <c r="AJ68" s="563">
        <f t="shared" si="35"/>
        <v>1.8723025960376088E-2</v>
      </c>
      <c r="AK68" s="571">
        <v>18805.955000000002</v>
      </c>
      <c r="AL68" s="563">
        <f t="shared" si="41"/>
        <v>5.7039207391933473E-2</v>
      </c>
      <c r="AM68" s="563">
        <v>7.0216393863555167E-3</v>
      </c>
      <c r="AN68" s="563">
        <v>7.5917500553881224E-3</v>
      </c>
      <c r="AO68" s="563">
        <v>7.6191755155562884E-3</v>
      </c>
      <c r="AP68" s="571">
        <v>7.3009632545465181E-3</v>
      </c>
      <c r="AQ68" s="563">
        <f t="shared" si="13"/>
        <v>0.65066846043562132</v>
      </c>
      <c r="AR68" s="563">
        <v>32.533026399105935</v>
      </c>
      <c r="AS68" s="563">
        <v>62.688121486777099</v>
      </c>
      <c r="AT68" s="563">
        <f t="shared" si="37"/>
        <v>2.0113027952524756E-2</v>
      </c>
      <c r="AU68" s="577">
        <v>17783.72</v>
      </c>
      <c r="AV68" s="563">
        <f t="shared" si="38"/>
        <v>2.7505679180087027E-2</v>
      </c>
      <c r="AW68" s="563">
        <v>6.8174146499920289E-3</v>
      </c>
      <c r="AX68" s="563">
        <v>6.7283611889192166E-3</v>
      </c>
      <c r="AY68" s="571">
        <v>7.0237331284098261E-3</v>
      </c>
      <c r="AZ68" s="563">
        <v>6.9361702127659569E-3</v>
      </c>
      <c r="BD68" s="580">
        <v>283</v>
      </c>
      <c r="BE68" s="563">
        <v>62.84</v>
      </c>
      <c r="BF68" s="362">
        <f t="shared" si="15"/>
        <v>17783.72</v>
      </c>
      <c r="BG68" s="578">
        <f>+BF68/$BF$112</f>
        <v>2.0000243827715421E-2</v>
      </c>
    </row>
    <row r="69" spans="2:59">
      <c r="B69" s="563" t="s">
        <v>143</v>
      </c>
      <c r="C69" s="570"/>
      <c r="D69" s="569"/>
      <c r="E69" s="571" t="e">
        <v>#DIV/0!</v>
      </c>
      <c r="F69" s="563">
        <f t="shared" si="4"/>
        <v>0</v>
      </c>
      <c r="G69" s="571">
        <v>0</v>
      </c>
      <c r="H69" s="563" t="e">
        <f t="shared" si="5"/>
        <v>#DIV/0!</v>
      </c>
      <c r="I69" s="563" t="e">
        <v>#DIV/0!</v>
      </c>
      <c r="J69" s="563" t="e">
        <v>#DIV/0!</v>
      </c>
      <c r="K69" s="563" t="e">
        <v>#DIV/0!</v>
      </c>
      <c r="L69" s="572" t="e">
        <v>#DIV/0!</v>
      </c>
      <c r="M69" s="570" t="e">
        <f t="shared" si="6"/>
        <v>#DIV/0!</v>
      </c>
      <c r="N69" s="569" t="e">
        <f t="shared" si="7"/>
        <v>#DIV/0!</v>
      </c>
      <c r="O69" s="571" t="e">
        <v>#DIV/0!</v>
      </c>
      <c r="Q69" s="571">
        <v>0</v>
      </c>
      <c r="R69" s="563" t="e">
        <f t="shared" si="9"/>
        <v>#DIV/0!</v>
      </c>
      <c r="S69" s="572" t="e">
        <v>#DIV/0!</v>
      </c>
      <c r="T69" s="563" t="e">
        <v>#DIV/0!</v>
      </c>
      <c r="U69" s="563" t="e">
        <v>#DIV/0!</v>
      </c>
      <c r="V69" s="563" t="e">
        <v>#DIV/0!</v>
      </c>
      <c r="W69" s="570" t="e">
        <f t="shared" si="10"/>
        <v>#DIV/0!</v>
      </c>
      <c r="X69" s="573" t="e">
        <f t="shared" si="11"/>
        <v>#DIV/0!</v>
      </c>
      <c r="Y69" s="574" t="e">
        <v>#DIV/0!</v>
      </c>
      <c r="Z69" s="563">
        <f t="shared" si="34"/>
        <v>0</v>
      </c>
      <c r="AA69" s="571">
        <v>0</v>
      </c>
      <c r="AB69" s="563" t="e">
        <f t="shared" si="12"/>
        <v>#DIV/0!</v>
      </c>
      <c r="AC69" s="563" t="e">
        <v>#DIV/0!</v>
      </c>
      <c r="AD69" s="563" t="e">
        <v>#DIV/0!</v>
      </c>
      <c r="AE69" s="571" t="e">
        <v>#DIV/0!</v>
      </c>
      <c r="AF69" s="563" t="e">
        <v>#DIV/0!</v>
      </c>
      <c r="AG69" s="575" t="e">
        <f t="shared" si="43"/>
        <v>#DIV/0!</v>
      </c>
      <c r="AH69" s="573" t="e">
        <f t="shared" si="44"/>
        <v>#DIV/0!</v>
      </c>
      <c r="AI69" s="576" t="e">
        <v>#DIV/0!</v>
      </c>
      <c r="AJ69" s="563">
        <f t="shared" si="35"/>
        <v>0</v>
      </c>
      <c r="AK69" s="571">
        <v>0</v>
      </c>
      <c r="AL69" s="563" t="e">
        <f t="shared" si="41"/>
        <v>#DIV/0!</v>
      </c>
      <c r="AM69" s="563" t="e">
        <v>#DIV/0!</v>
      </c>
      <c r="AN69" s="563" t="e">
        <v>#DIV/0!</v>
      </c>
      <c r="AO69" s="563" t="e">
        <v>#DIV/0!</v>
      </c>
      <c r="AP69" s="571" t="e">
        <v>#DIV/0!</v>
      </c>
      <c r="AQ69" s="563" t="e">
        <f t="shared" si="13"/>
        <v>#DIV/0!</v>
      </c>
      <c r="AR69" s="563" t="e">
        <v>#DIV/0!</v>
      </c>
      <c r="AS69" s="563" t="e">
        <v>#DIV/0!</v>
      </c>
      <c r="AT69" s="563">
        <f t="shared" si="37"/>
        <v>0</v>
      </c>
      <c r="AU69" s="577">
        <v>0</v>
      </c>
      <c r="AV69" s="563" t="e">
        <f t="shared" si="38"/>
        <v>#DIV/0!</v>
      </c>
      <c r="AW69" s="563" t="e">
        <v>#DIV/0!</v>
      </c>
      <c r="AX69" s="563" t="e">
        <v>#DIV/0!</v>
      </c>
      <c r="AY69" s="571" t="e">
        <v>#DIV/0!</v>
      </c>
      <c r="AZ69" s="563" t="e">
        <v>#DIV/0!</v>
      </c>
      <c r="BD69" s="580"/>
      <c r="BF69" s="362">
        <f t="shared" si="15"/>
        <v>0</v>
      </c>
      <c r="BG69" s="578"/>
    </row>
    <row r="70" spans="2:59">
      <c r="B70" s="563" t="s">
        <v>252</v>
      </c>
      <c r="C70" s="570"/>
      <c r="D70" s="569"/>
      <c r="E70" s="571" t="e">
        <v>#VALUE!</v>
      </c>
      <c r="G70" s="571">
        <v>0</v>
      </c>
      <c r="H70" s="563" t="e">
        <f t="shared" si="5"/>
        <v>#VALUE!</v>
      </c>
      <c r="I70" s="563" t="e">
        <v>#VALUE!</v>
      </c>
      <c r="J70" s="563" t="e">
        <v>#VALUE!</v>
      </c>
      <c r="K70" s="563" t="e">
        <v>#VALUE!</v>
      </c>
      <c r="L70" s="572" t="e">
        <v>#VALUE!</v>
      </c>
      <c r="M70" s="570" t="s">
        <v>96</v>
      </c>
      <c r="N70" s="569" t="s">
        <v>96</v>
      </c>
      <c r="O70" s="571" t="e">
        <v>#VALUE!</v>
      </c>
      <c r="Q70" s="571">
        <v>0</v>
      </c>
      <c r="R70" s="563" t="s">
        <v>96</v>
      </c>
      <c r="S70" s="572" t="e">
        <v>#DIV/0!</v>
      </c>
      <c r="T70" s="563" t="e">
        <v>#DIV/0!</v>
      </c>
      <c r="U70" s="563" t="e">
        <v>#DIV/0!</v>
      </c>
      <c r="V70" s="563" t="e">
        <v>#DIV/0!</v>
      </c>
      <c r="W70" s="570" t="e">
        <f t="shared" si="10"/>
        <v>#DIV/0!</v>
      </c>
      <c r="X70" s="573" t="e">
        <f t="shared" si="11"/>
        <v>#DIV/0!</v>
      </c>
      <c r="Y70" s="574" t="e">
        <v>#DIV/0!</v>
      </c>
      <c r="Z70" s="563">
        <f t="shared" si="34"/>
        <v>0</v>
      </c>
      <c r="AA70" s="571">
        <v>0</v>
      </c>
      <c r="AB70" s="563" t="e">
        <f t="shared" si="12"/>
        <v>#DIV/0!</v>
      </c>
      <c r="AC70" s="563" t="e">
        <v>#DIV/0!</v>
      </c>
      <c r="AD70" s="563" t="e">
        <v>#DIV/0!</v>
      </c>
      <c r="AE70" s="571" t="e">
        <v>#DIV/0!</v>
      </c>
      <c r="AF70" s="563" t="e">
        <v>#DIV/0!</v>
      </c>
      <c r="AG70" s="575" t="e">
        <f t="shared" si="43"/>
        <v>#DIV/0!</v>
      </c>
      <c r="AH70" s="573" t="e">
        <f t="shared" si="44"/>
        <v>#DIV/0!</v>
      </c>
      <c r="AI70" s="576" t="e">
        <v>#DIV/0!</v>
      </c>
      <c r="AJ70" s="563">
        <f t="shared" si="35"/>
        <v>0</v>
      </c>
      <c r="AK70" s="571">
        <v>0</v>
      </c>
      <c r="AL70" s="563" t="e">
        <f t="shared" si="41"/>
        <v>#DIV/0!</v>
      </c>
      <c r="AM70" s="563" t="e">
        <v>#DIV/0!</v>
      </c>
      <c r="AN70" s="563" t="e">
        <v>#DIV/0!</v>
      </c>
      <c r="AO70" s="563" t="e">
        <v>#DIV/0!</v>
      </c>
      <c r="AP70" s="571" t="e">
        <v>#DIV/0!</v>
      </c>
      <c r="AQ70" s="563" t="e">
        <f t="shared" si="13"/>
        <v>#DIV/0!</v>
      </c>
      <c r="AR70" s="563" t="e">
        <v>#DIV/0!</v>
      </c>
      <c r="AS70" s="563" t="e">
        <v>#DIV/0!</v>
      </c>
      <c r="AT70" s="563">
        <f t="shared" si="37"/>
        <v>0</v>
      </c>
      <c r="AU70" s="577">
        <v>0</v>
      </c>
      <c r="AV70" s="563" t="e">
        <f t="shared" si="38"/>
        <v>#DIV/0!</v>
      </c>
      <c r="AW70" s="563" t="e">
        <v>#DIV/0!</v>
      </c>
      <c r="AX70" s="563" t="e">
        <v>#DIV/0!</v>
      </c>
      <c r="AY70" s="571" t="e">
        <v>#DIV/0!</v>
      </c>
      <c r="AZ70" s="563" t="e">
        <v>#DIV/0!</v>
      </c>
      <c r="BD70" s="580"/>
      <c r="BF70" s="362">
        <f t="shared" si="15"/>
        <v>0</v>
      </c>
      <c r="BG70" s="578"/>
    </row>
    <row r="71" spans="2:59">
      <c r="B71" s="563" t="s">
        <v>253</v>
      </c>
      <c r="C71" s="570"/>
      <c r="D71" s="569"/>
      <c r="E71" s="571" t="e">
        <v>#DIV/0!</v>
      </c>
      <c r="F71" s="563">
        <f t="shared" si="4"/>
        <v>0</v>
      </c>
      <c r="G71" s="571">
        <v>0</v>
      </c>
      <c r="H71" s="563" t="e">
        <f t="shared" si="5"/>
        <v>#DIV/0!</v>
      </c>
      <c r="I71" s="563" t="e">
        <v>#DIV/0!</v>
      </c>
      <c r="J71" s="563" t="e">
        <v>#DIV/0!</v>
      </c>
      <c r="K71" s="563" t="e">
        <v>#DIV/0!</v>
      </c>
      <c r="L71" s="572" t="e">
        <v>#DIV/0!</v>
      </c>
      <c r="M71" s="570" t="e">
        <f t="shared" si="6"/>
        <v>#DIV/0!</v>
      </c>
      <c r="N71" s="569" t="e">
        <f t="shared" si="7"/>
        <v>#DIV/0!</v>
      </c>
      <c r="O71" s="571" t="e">
        <v>#DIV/0!</v>
      </c>
      <c r="Q71" s="571">
        <v>0</v>
      </c>
      <c r="R71" s="563" t="e">
        <f t="shared" si="9"/>
        <v>#DIV/0!</v>
      </c>
      <c r="S71" s="572" t="e">
        <v>#DIV/0!</v>
      </c>
      <c r="T71" s="563" t="e">
        <v>#DIV/0!</v>
      </c>
      <c r="U71" s="563" t="e">
        <v>#DIV/0!</v>
      </c>
      <c r="V71" s="563" t="e">
        <v>#DIV/0!</v>
      </c>
      <c r="W71" s="570" t="e">
        <f t="shared" si="10"/>
        <v>#DIV/0!</v>
      </c>
      <c r="X71" s="573" t="e">
        <f t="shared" si="11"/>
        <v>#DIV/0!</v>
      </c>
      <c r="Y71" s="574" t="e">
        <v>#DIV/0!</v>
      </c>
      <c r="Z71" s="563">
        <f t="shared" si="34"/>
        <v>0</v>
      </c>
      <c r="AA71" s="571">
        <v>0</v>
      </c>
      <c r="AB71" s="563" t="e">
        <f t="shared" si="12"/>
        <v>#DIV/0!</v>
      </c>
      <c r="AC71" s="563" t="e">
        <v>#DIV/0!</v>
      </c>
      <c r="AD71" s="563" t="e">
        <v>#DIV/0!</v>
      </c>
      <c r="AE71" s="571" t="e">
        <v>#DIV/0!</v>
      </c>
      <c r="AF71" s="563" t="e">
        <v>#DIV/0!</v>
      </c>
      <c r="AG71" s="575" t="e">
        <f t="shared" si="43"/>
        <v>#DIV/0!</v>
      </c>
      <c r="AH71" s="573" t="e">
        <f t="shared" si="44"/>
        <v>#DIV/0!</v>
      </c>
      <c r="AI71" s="576" t="e">
        <v>#DIV/0!</v>
      </c>
      <c r="AJ71" s="563">
        <f t="shared" si="35"/>
        <v>0</v>
      </c>
      <c r="AK71" s="571">
        <v>0</v>
      </c>
      <c r="AL71" s="563" t="e">
        <f t="shared" si="41"/>
        <v>#DIV/0!</v>
      </c>
      <c r="AM71" s="563" t="e">
        <v>#DIV/0!</v>
      </c>
      <c r="AN71" s="563" t="e">
        <v>#DIV/0!</v>
      </c>
      <c r="AO71" s="563" t="e">
        <v>#DIV/0!</v>
      </c>
      <c r="AP71" s="571" t="e">
        <v>#DIV/0!</v>
      </c>
      <c r="AQ71" s="563" t="e">
        <f t="shared" si="13"/>
        <v>#DIV/0!</v>
      </c>
      <c r="AR71" s="563" t="e">
        <v>#DIV/0!</v>
      </c>
      <c r="AS71" s="563" t="e">
        <v>#DIV/0!</v>
      </c>
      <c r="AT71" s="563">
        <f t="shared" si="37"/>
        <v>0</v>
      </c>
      <c r="AU71" s="577">
        <v>0</v>
      </c>
      <c r="AV71" s="563" t="e">
        <f t="shared" si="38"/>
        <v>#DIV/0!</v>
      </c>
      <c r="AW71" s="563" t="e">
        <v>#DIV/0!</v>
      </c>
      <c r="AX71" s="563" t="e">
        <v>#DIV/0!</v>
      </c>
      <c r="AY71" s="571" t="e">
        <v>#DIV/0!</v>
      </c>
      <c r="AZ71" s="563" t="e">
        <v>#DIV/0!</v>
      </c>
      <c r="BD71" s="580"/>
      <c r="BF71" s="362">
        <f t="shared" si="15"/>
        <v>0</v>
      </c>
      <c r="BG71" s="578"/>
    </row>
    <row r="72" spans="2:59">
      <c r="B72" s="563" t="s">
        <v>254</v>
      </c>
      <c r="C72" s="570"/>
      <c r="D72" s="569"/>
      <c r="E72" s="571" t="e">
        <v>#DIV/0!</v>
      </c>
      <c r="F72" s="563" t="s">
        <v>96</v>
      </c>
      <c r="G72" s="571">
        <v>0</v>
      </c>
      <c r="H72" s="563" t="e">
        <f t="shared" ref="H72:H111" si="45">I72+J72+K72+L72+R72</f>
        <v>#DIV/0!</v>
      </c>
      <c r="I72" s="563" t="e">
        <v>#DIV/0!</v>
      </c>
      <c r="J72" s="563" t="e">
        <v>#DIV/0!</v>
      </c>
      <c r="K72" s="563" t="e">
        <v>#DIV/0!</v>
      </c>
      <c r="L72" s="572" t="e">
        <v>#DIV/0!</v>
      </c>
      <c r="M72" s="570" t="s">
        <v>96</v>
      </c>
      <c r="N72" s="569" t="s">
        <v>96</v>
      </c>
      <c r="O72" s="571">
        <v>0</v>
      </c>
      <c r="Q72" s="571">
        <v>0</v>
      </c>
      <c r="S72" s="572" t="e">
        <v>#DIV/0!</v>
      </c>
      <c r="T72" s="563" t="e">
        <v>#DIV/0!</v>
      </c>
      <c r="U72" s="563" t="e">
        <v>#DIV/0!</v>
      </c>
      <c r="V72" s="563" t="e">
        <v>#DIV/0!</v>
      </c>
      <c r="W72" s="570"/>
      <c r="X72" s="573" t="e">
        <f t="shared" ref="X72:X109" si="46">((Y72/AI72)-1)*100</f>
        <v>#DIV/0!</v>
      </c>
      <c r="Y72" s="574" t="e">
        <v>#DIV/0!</v>
      </c>
      <c r="Z72" s="563">
        <f t="shared" si="34"/>
        <v>0</v>
      </c>
      <c r="AA72" s="571">
        <v>0</v>
      </c>
      <c r="AB72" s="563" t="e">
        <f t="shared" ref="AB72:AB109" si="47">(AC72+AD72+AE72+AF72+AL72)</f>
        <v>#DIV/0!</v>
      </c>
      <c r="AC72" s="563" t="e">
        <v>#DIV/0!</v>
      </c>
      <c r="AD72" s="563" t="e">
        <v>#DIV/0!</v>
      </c>
      <c r="AE72" s="571" t="e">
        <v>#DIV/0!</v>
      </c>
      <c r="AF72" s="563" t="e">
        <v>#DIV/0!</v>
      </c>
      <c r="AG72" s="575" t="e">
        <f t="shared" si="43"/>
        <v>#DIV/0!</v>
      </c>
      <c r="AH72" s="573" t="e">
        <f t="shared" si="44"/>
        <v>#DIV/0!</v>
      </c>
      <c r="AI72" s="576" t="e">
        <v>#DIV/0!</v>
      </c>
      <c r="AJ72" s="563">
        <f t="shared" si="35"/>
        <v>0</v>
      </c>
      <c r="AK72" s="571">
        <v>0</v>
      </c>
      <c r="AL72" s="563" t="e">
        <f t="shared" si="41"/>
        <v>#DIV/0!</v>
      </c>
      <c r="AM72" s="563" t="e">
        <v>#DIV/0!</v>
      </c>
      <c r="AN72" s="563" t="e">
        <v>#DIV/0!</v>
      </c>
      <c r="AO72" s="563" t="e">
        <v>#DIV/0!</v>
      </c>
      <c r="AP72" s="571" t="e">
        <v>#DIV/0!</v>
      </c>
      <c r="AQ72" s="563" t="e">
        <f t="shared" ref="AQ72:AQ109" si="48">AR72*BG72</f>
        <v>#DIV/0!</v>
      </c>
      <c r="AR72" s="563" t="e">
        <v>#DIV/0!</v>
      </c>
      <c r="AS72" s="563" t="e">
        <v>#DIV/0!</v>
      </c>
      <c r="AT72" s="563">
        <f t="shared" si="37"/>
        <v>0</v>
      </c>
      <c r="AU72" s="577">
        <v>0</v>
      </c>
      <c r="AV72" s="563" t="e">
        <f t="shared" si="38"/>
        <v>#DIV/0!</v>
      </c>
      <c r="AW72" s="563" t="e">
        <v>#DIV/0!</v>
      </c>
      <c r="AX72" s="563" t="e">
        <v>#DIV/0!</v>
      </c>
      <c r="AY72" s="571" t="e">
        <v>#DIV/0!</v>
      </c>
      <c r="AZ72" s="563" t="e">
        <v>#DIV/0!</v>
      </c>
      <c r="BD72" s="580"/>
      <c r="BF72" s="362">
        <f t="shared" si="15"/>
        <v>0</v>
      </c>
      <c r="BG72" s="578"/>
    </row>
    <row r="73" spans="2:59">
      <c r="B73" s="579" t="s">
        <v>144</v>
      </c>
      <c r="C73" s="570">
        <f>D73*P73</f>
        <v>5.8499525255678517E-2</v>
      </c>
      <c r="D73" s="569">
        <f>((E73/O73)-1)*100</f>
        <v>1.6355522821581925</v>
      </c>
      <c r="E73" s="571">
        <v>107.53026311759815</v>
      </c>
      <c r="F73" s="563">
        <f t="shared" ref="F73:F109" si="49">G73/G$112</f>
        <v>2.9933050236401363E-2</v>
      </c>
      <c r="G73" s="571">
        <v>30891.425999999999</v>
      </c>
      <c r="H73" s="563">
        <f t="shared" si="45"/>
        <v>0.20509092365345899</v>
      </c>
      <c r="I73" s="563">
        <v>1.1106212154478913E-2</v>
      </c>
      <c r="J73" s="563">
        <v>9.4417617239343898E-3</v>
      </c>
      <c r="K73" s="563">
        <v>1.0893857599039202E-2</v>
      </c>
      <c r="L73" s="572">
        <v>1.0629951402292509E-2</v>
      </c>
      <c r="M73" s="570">
        <f>N73*Z73</f>
        <v>-3.7644171594218852E-2</v>
      </c>
      <c r="N73" s="569">
        <f t="shared" ref="N73:N109" si="50">((O73/Y73)-1)*100</f>
        <v>-1.0903415484123768</v>
      </c>
      <c r="O73" s="571">
        <v>105.79985123618476</v>
      </c>
      <c r="P73" s="563">
        <f>Q73/Q$112</f>
        <v>3.5767444363493835E-2</v>
      </c>
      <c r="Q73" s="571">
        <v>31384.649999999998</v>
      </c>
      <c r="R73" s="563">
        <f t="shared" ref="R73:R109" si="51">(S73+T73+U73+V73+AB73)</f>
        <v>0.16301914077371399</v>
      </c>
      <c r="S73" s="572">
        <v>1.0264169797632474E-2</v>
      </c>
      <c r="T73" s="563">
        <v>1.0814587983444824E-2</v>
      </c>
      <c r="U73" s="563">
        <v>1.014112169963859E-2</v>
      </c>
      <c r="V73" s="563">
        <v>9.5020460369747983E-3</v>
      </c>
      <c r="W73" s="570">
        <f t="shared" ref="W73:W109" si="52">X73*AJ73</f>
        <v>0.46748727740160301</v>
      </c>
      <c r="X73" s="573">
        <f t="shared" si="46"/>
        <v>15.572981126376417</v>
      </c>
      <c r="Y73" s="574">
        <v>106.96614758605159</v>
      </c>
      <c r="Z73" s="563">
        <f t="shared" si="34"/>
        <v>3.4525118894195794E-2</v>
      </c>
      <c r="AA73" s="571">
        <v>33796.925999999999</v>
      </c>
      <c r="AB73" s="563">
        <f t="shared" si="47"/>
        <v>0.1222972152560233</v>
      </c>
      <c r="AC73" s="563">
        <v>9.2259604584001911E-3</v>
      </c>
      <c r="AD73" s="563">
        <v>1.0159749177240003E-2</v>
      </c>
      <c r="AE73" s="571">
        <v>9.0864541603931873E-3</v>
      </c>
      <c r="AF73" s="563">
        <v>9.051239034810853E-3</v>
      </c>
      <c r="AG73" s="575">
        <f t="shared" si="43"/>
        <v>0.78054467910600711</v>
      </c>
      <c r="AH73" s="573">
        <f t="shared" si="44"/>
        <v>22.963532873164816</v>
      </c>
      <c r="AI73" s="576">
        <v>92.552901676116278</v>
      </c>
      <c r="AJ73" s="563">
        <f t="shared" si="35"/>
        <v>3.0019125664373023E-2</v>
      </c>
      <c r="AK73" s="571">
        <v>30152.087999999996</v>
      </c>
      <c r="AL73" s="563">
        <f t="shared" si="41"/>
        <v>8.4773812425179063E-2</v>
      </c>
      <c r="AM73" s="563">
        <v>9.7647912727744247E-3</v>
      </c>
      <c r="AN73" s="563">
        <v>1.1355987070034943E-2</v>
      </c>
      <c r="AO73" s="563">
        <v>1.1370868355249832E-2</v>
      </c>
      <c r="AP73" s="571">
        <v>1.0790852509937388E-2</v>
      </c>
      <c r="AQ73" s="563">
        <f t="shared" si="48"/>
        <v>-0.38520569573078772</v>
      </c>
      <c r="AR73" s="563">
        <v>-11.396613059204508</v>
      </c>
      <c r="AS73" s="563">
        <v>75.268577206205777</v>
      </c>
      <c r="AT73" s="563">
        <f t="shared" si="37"/>
        <v>3.3990618230096102E-2</v>
      </c>
      <c r="AU73" s="577">
        <v>30054.133999999998</v>
      </c>
      <c r="AV73" s="563">
        <f t="shared" si="38"/>
        <v>4.1491313217182475E-2</v>
      </c>
      <c r="AW73" s="563">
        <v>1.0909027926489285E-2</v>
      </c>
      <c r="AX73" s="563">
        <v>1.0034944927733476E-2</v>
      </c>
      <c r="AY73" s="571">
        <v>1.0739648055267408E-2</v>
      </c>
      <c r="AZ73" s="563">
        <v>9.8076923076923072E-3</v>
      </c>
      <c r="BD73" s="580">
        <v>332.2</v>
      </c>
      <c r="BE73" s="563">
        <v>90.47</v>
      </c>
      <c r="BF73" s="362">
        <f t="shared" ref="BF73:BF111" si="53">BD73*BE73</f>
        <v>30054.133999999998</v>
      </c>
      <c r="BG73" s="578">
        <f>+BF73/$BF$112</f>
        <v>3.3800015296621411E-2</v>
      </c>
    </row>
    <row r="74" spans="2:59">
      <c r="B74" s="563" t="s">
        <v>255</v>
      </c>
      <c r="C74" s="570"/>
      <c r="D74" s="569"/>
      <c r="E74" s="571" t="e">
        <v>#DIV/0!</v>
      </c>
      <c r="F74" s="563">
        <f t="shared" si="49"/>
        <v>0</v>
      </c>
      <c r="G74" s="571">
        <v>0</v>
      </c>
      <c r="H74" s="563" t="e">
        <f t="shared" si="45"/>
        <v>#DIV/0!</v>
      </c>
      <c r="I74" s="563" t="e">
        <v>#DIV/0!</v>
      </c>
      <c r="J74" s="563" t="e">
        <v>#DIV/0!</v>
      </c>
      <c r="K74" s="563" t="e">
        <v>#DIV/0!</v>
      </c>
      <c r="L74" s="572" t="e">
        <v>#DIV/0!</v>
      </c>
      <c r="M74" s="570" t="e">
        <f>N74*Z74</f>
        <v>#DIV/0!</v>
      </c>
      <c r="N74" s="569" t="e">
        <f t="shared" si="50"/>
        <v>#DIV/0!</v>
      </c>
      <c r="O74" s="571" t="e">
        <v>#DIV/0!</v>
      </c>
      <c r="Q74" s="571">
        <v>0</v>
      </c>
      <c r="R74" s="563" t="e">
        <f t="shared" si="51"/>
        <v>#DIV/0!</v>
      </c>
      <c r="S74" s="572" t="e">
        <v>#DIV/0!</v>
      </c>
      <c r="T74" s="563" t="e">
        <v>#DIV/0!</v>
      </c>
      <c r="U74" s="563" t="e">
        <v>#DIV/0!</v>
      </c>
      <c r="V74" s="563" t="e">
        <v>#DIV/0!</v>
      </c>
      <c r="W74" s="570" t="e">
        <f t="shared" si="52"/>
        <v>#DIV/0!</v>
      </c>
      <c r="X74" s="573" t="e">
        <f t="shared" si="46"/>
        <v>#DIV/0!</v>
      </c>
      <c r="Y74" s="574" t="e">
        <v>#DIV/0!</v>
      </c>
      <c r="Z74" s="563">
        <f t="shared" si="34"/>
        <v>0</v>
      </c>
      <c r="AA74" s="571">
        <v>0</v>
      </c>
      <c r="AB74" s="563" t="e">
        <f t="shared" si="47"/>
        <v>#DIV/0!</v>
      </c>
      <c r="AC74" s="563" t="e">
        <v>#DIV/0!</v>
      </c>
      <c r="AD74" s="563" t="e">
        <v>#DIV/0!</v>
      </c>
      <c r="AE74" s="571" t="e">
        <v>#DIV/0!</v>
      </c>
      <c r="AF74" s="563" t="e">
        <v>#DIV/0!</v>
      </c>
      <c r="AG74" s="575" t="e">
        <f t="shared" si="43"/>
        <v>#DIV/0!</v>
      </c>
      <c r="AH74" s="573" t="e">
        <f t="shared" si="44"/>
        <v>#DIV/0!</v>
      </c>
      <c r="AI74" s="576" t="e">
        <v>#DIV/0!</v>
      </c>
      <c r="AJ74" s="563">
        <f t="shared" si="35"/>
        <v>0</v>
      </c>
      <c r="AK74" s="571">
        <v>0</v>
      </c>
      <c r="AL74" s="563" t="e">
        <f t="shared" si="41"/>
        <v>#DIV/0!</v>
      </c>
      <c r="AM74" s="563" t="e">
        <v>#DIV/0!</v>
      </c>
      <c r="AN74" s="563" t="e">
        <v>#DIV/0!</v>
      </c>
      <c r="AO74" s="563" t="e">
        <v>#DIV/0!</v>
      </c>
      <c r="AP74" s="571" t="e">
        <v>#DIV/0!</v>
      </c>
      <c r="AQ74" s="563" t="e">
        <f t="shared" si="48"/>
        <v>#DIV/0!</v>
      </c>
      <c r="AR74" s="563" t="e">
        <v>#DIV/0!</v>
      </c>
      <c r="AS74" s="563" t="e">
        <v>#DIV/0!</v>
      </c>
      <c r="AT74" s="563">
        <f t="shared" si="37"/>
        <v>0</v>
      </c>
      <c r="AU74" s="577">
        <v>0</v>
      </c>
      <c r="AV74" s="563" t="e">
        <f t="shared" si="38"/>
        <v>#DIV/0!</v>
      </c>
      <c r="AW74" s="563" t="e">
        <v>#DIV/0!</v>
      </c>
      <c r="AX74" s="563" t="e">
        <v>#DIV/0!</v>
      </c>
      <c r="AY74" s="571" t="e">
        <v>#DIV/0!</v>
      </c>
      <c r="AZ74" s="563" t="e">
        <v>#DIV/0!</v>
      </c>
      <c r="BD74" s="580"/>
      <c r="BF74" s="362">
        <f t="shared" si="53"/>
        <v>0</v>
      </c>
      <c r="BG74" s="578"/>
    </row>
    <row r="75" spans="2:59">
      <c r="B75" s="563" t="s">
        <v>256</v>
      </c>
      <c r="C75" s="570"/>
      <c r="D75" s="569"/>
      <c r="E75" s="571" t="e">
        <v>#DIV/0!</v>
      </c>
      <c r="F75" s="563">
        <f t="shared" si="49"/>
        <v>0</v>
      </c>
      <c r="G75" s="571">
        <v>0</v>
      </c>
      <c r="H75" s="563" t="e">
        <f t="shared" si="45"/>
        <v>#DIV/0!</v>
      </c>
      <c r="I75" s="563" t="e">
        <v>#DIV/0!</v>
      </c>
      <c r="J75" s="563" t="e">
        <v>#DIV/0!</v>
      </c>
      <c r="K75" s="563" t="e">
        <v>#DIV/0!</v>
      </c>
      <c r="L75" s="572" t="e">
        <v>#DIV/0!</v>
      </c>
      <c r="M75" s="570" t="e">
        <f>N75*Z75</f>
        <v>#DIV/0!</v>
      </c>
      <c r="N75" s="569" t="e">
        <f t="shared" si="50"/>
        <v>#DIV/0!</v>
      </c>
      <c r="O75" s="571" t="e">
        <v>#DIV/0!</v>
      </c>
      <c r="Q75" s="571">
        <v>0</v>
      </c>
      <c r="R75" s="563" t="e">
        <f t="shared" si="51"/>
        <v>#DIV/0!</v>
      </c>
      <c r="S75" s="572" t="e">
        <v>#DIV/0!</v>
      </c>
      <c r="T75" s="563" t="e">
        <v>#DIV/0!</v>
      </c>
      <c r="U75" s="563" t="e">
        <v>#DIV/0!</v>
      </c>
      <c r="V75" s="563" t="e">
        <v>#DIV/0!</v>
      </c>
      <c r="W75" s="570" t="e">
        <f t="shared" si="52"/>
        <v>#DIV/0!</v>
      </c>
      <c r="X75" s="573" t="e">
        <f t="shared" si="46"/>
        <v>#DIV/0!</v>
      </c>
      <c r="Y75" s="574" t="e">
        <v>#DIV/0!</v>
      </c>
      <c r="Z75" s="563">
        <f t="shared" si="34"/>
        <v>0</v>
      </c>
      <c r="AA75" s="571">
        <v>0</v>
      </c>
      <c r="AB75" s="563" t="e">
        <f t="shared" si="47"/>
        <v>#DIV/0!</v>
      </c>
      <c r="AC75" s="563" t="e">
        <v>#DIV/0!</v>
      </c>
      <c r="AD75" s="563" t="e">
        <v>#DIV/0!</v>
      </c>
      <c r="AE75" s="571" t="e">
        <v>#DIV/0!</v>
      </c>
      <c r="AF75" s="563" t="e">
        <v>#DIV/0!</v>
      </c>
      <c r="AG75" s="575" t="e">
        <f t="shared" si="43"/>
        <v>#DIV/0!</v>
      </c>
      <c r="AH75" s="573" t="e">
        <f t="shared" si="44"/>
        <v>#DIV/0!</v>
      </c>
      <c r="AI75" s="576" t="e">
        <v>#DIV/0!</v>
      </c>
      <c r="AJ75" s="563">
        <f t="shared" si="35"/>
        <v>0</v>
      </c>
      <c r="AK75" s="571">
        <v>0</v>
      </c>
      <c r="AL75" s="563" t="e">
        <f t="shared" si="41"/>
        <v>#DIV/0!</v>
      </c>
      <c r="AM75" s="563" t="e">
        <v>#DIV/0!</v>
      </c>
      <c r="AN75" s="563" t="e">
        <v>#DIV/0!</v>
      </c>
      <c r="AO75" s="563" t="e">
        <v>#DIV/0!</v>
      </c>
      <c r="AP75" s="571" t="e">
        <v>#DIV/0!</v>
      </c>
      <c r="AQ75" s="563" t="e">
        <f t="shared" si="48"/>
        <v>#DIV/0!</v>
      </c>
      <c r="AR75" s="563" t="e">
        <v>#DIV/0!</v>
      </c>
      <c r="AS75" s="563" t="e">
        <v>#DIV/0!</v>
      </c>
      <c r="AT75" s="563">
        <f t="shared" si="37"/>
        <v>0</v>
      </c>
      <c r="AU75" s="577">
        <v>0</v>
      </c>
      <c r="AV75" s="563" t="e">
        <f t="shared" si="38"/>
        <v>#DIV/0!</v>
      </c>
      <c r="AW75" s="563" t="e">
        <v>#DIV/0!</v>
      </c>
      <c r="AX75" s="563" t="e">
        <v>#DIV/0!</v>
      </c>
      <c r="AY75" s="571" t="e">
        <v>#DIV/0!</v>
      </c>
      <c r="AZ75" s="563" t="e">
        <v>#DIV/0!</v>
      </c>
      <c r="BD75" s="580"/>
      <c r="BF75" s="362">
        <f t="shared" si="53"/>
        <v>0</v>
      </c>
      <c r="BG75" s="578"/>
    </row>
    <row r="76" spans="2:59">
      <c r="B76" s="563" t="s">
        <v>257</v>
      </c>
      <c r="C76" s="570"/>
      <c r="D76" s="569"/>
      <c r="E76" s="571" t="e">
        <v>#DIV/0!</v>
      </c>
      <c r="G76" s="571">
        <v>0</v>
      </c>
      <c r="H76" s="563" t="e">
        <f t="shared" si="45"/>
        <v>#DIV/0!</v>
      </c>
      <c r="I76" s="563" t="e">
        <v>#DIV/0!</v>
      </c>
      <c r="J76" s="563" t="e">
        <v>#DIV/0!</v>
      </c>
      <c r="K76" s="563" t="e">
        <v>#DIV/0!</v>
      </c>
      <c r="L76" s="572" t="e">
        <v>#DIV/0!</v>
      </c>
      <c r="M76" s="570"/>
      <c r="N76" s="569"/>
      <c r="O76" s="571">
        <v>0</v>
      </c>
      <c r="Q76" s="571">
        <v>0</v>
      </c>
      <c r="S76" s="572" t="e">
        <v>#VALUE!</v>
      </c>
      <c r="T76" s="563" t="e">
        <v>#VALUE!</v>
      </c>
      <c r="U76" s="563" t="e">
        <v>#VALUE!</v>
      </c>
      <c r="V76" s="563" t="e">
        <v>#VALUE!</v>
      </c>
      <c r="W76" s="570" t="s">
        <v>96</v>
      </c>
      <c r="X76" s="573" t="s">
        <v>96</v>
      </c>
      <c r="Y76" s="574" t="e">
        <v>#VALUE!</v>
      </c>
      <c r="Z76" s="563">
        <f t="shared" si="34"/>
        <v>0</v>
      </c>
      <c r="AA76" s="571">
        <v>0</v>
      </c>
      <c r="AB76" s="563" t="s">
        <v>96</v>
      </c>
      <c r="AC76" s="563" t="e">
        <v>#DIV/0!</v>
      </c>
      <c r="AD76" s="563" t="e">
        <v>#DIV/0!</v>
      </c>
      <c r="AE76" s="571" t="e">
        <v>#DIV/0!</v>
      </c>
      <c r="AF76" s="563" t="e">
        <v>#DIV/0!</v>
      </c>
      <c r="AG76" s="575"/>
      <c r="AH76" s="573"/>
      <c r="AI76" s="576" t="e">
        <v>#DIV/0!</v>
      </c>
      <c r="AJ76" s="563">
        <f t="shared" si="35"/>
        <v>0</v>
      </c>
      <c r="AK76" s="571">
        <v>0</v>
      </c>
      <c r="AL76" s="563" t="e">
        <f t="shared" si="41"/>
        <v>#DIV/0!</v>
      </c>
      <c r="AM76" s="563" t="e">
        <v>#DIV/0!</v>
      </c>
      <c r="AN76" s="563" t="e">
        <v>#DIV/0!</v>
      </c>
      <c r="AO76" s="563" t="e">
        <v>#DIV/0!</v>
      </c>
      <c r="AP76" s="571" t="e">
        <v>#DIV/0!</v>
      </c>
      <c r="AQ76" s="563" t="e">
        <f t="shared" si="48"/>
        <v>#DIV/0!</v>
      </c>
      <c r="AR76" s="563" t="e">
        <v>#DIV/0!</v>
      </c>
      <c r="AS76" s="563" t="e">
        <v>#DIV/0!</v>
      </c>
      <c r="AT76" s="563">
        <f t="shared" si="37"/>
        <v>0</v>
      </c>
      <c r="AU76" s="577">
        <v>0</v>
      </c>
      <c r="AV76" s="563" t="e">
        <f t="shared" si="38"/>
        <v>#DIV/0!</v>
      </c>
      <c r="AW76" s="563" t="e">
        <v>#DIV/0!</v>
      </c>
      <c r="AX76" s="563" t="e">
        <v>#DIV/0!</v>
      </c>
      <c r="AY76" s="571" t="e">
        <v>#DIV/0!</v>
      </c>
      <c r="AZ76" s="563" t="e">
        <v>#DIV/0!</v>
      </c>
      <c r="BD76" s="580"/>
      <c r="BF76" s="362">
        <f t="shared" si="53"/>
        <v>0</v>
      </c>
      <c r="BG76" s="578"/>
    </row>
    <row r="77" spans="2:59">
      <c r="B77" s="563" t="s">
        <v>258</v>
      </c>
      <c r="C77" s="570"/>
      <c r="D77" s="569"/>
      <c r="E77" s="571" t="e">
        <v>#DIV/0!</v>
      </c>
      <c r="G77" s="571">
        <v>0</v>
      </c>
      <c r="H77" s="563" t="e">
        <f t="shared" si="45"/>
        <v>#DIV/0!</v>
      </c>
      <c r="I77" s="563" t="e">
        <v>#DIV/0!</v>
      </c>
      <c r="J77" s="563" t="e">
        <v>#DIV/0!</v>
      </c>
      <c r="K77" s="563" t="e">
        <v>#DIV/0!</v>
      </c>
      <c r="L77" s="572" t="e">
        <v>#DIV/0!</v>
      </c>
      <c r="M77" s="570"/>
      <c r="N77" s="569"/>
      <c r="O77" s="571" t="e">
        <v>#DIV/0!</v>
      </c>
      <c r="Q77" s="571">
        <v>0</v>
      </c>
      <c r="R77" s="563" t="e">
        <f t="shared" si="51"/>
        <v>#DIV/0!</v>
      </c>
      <c r="S77" s="572" t="e">
        <v>#DIV/0!</v>
      </c>
      <c r="T77" s="563" t="e">
        <v>#DIV/0!</v>
      </c>
      <c r="U77" s="563" t="e">
        <v>#DIV/0!</v>
      </c>
      <c r="V77" s="563" t="e">
        <v>#DIV/0!</v>
      </c>
      <c r="W77" s="570" t="e">
        <f t="shared" si="52"/>
        <v>#DIV/0!</v>
      </c>
      <c r="X77" s="573" t="e">
        <f t="shared" si="46"/>
        <v>#DIV/0!</v>
      </c>
      <c r="Y77" s="574" t="e">
        <v>#DIV/0!</v>
      </c>
      <c r="Z77" s="563">
        <f t="shared" si="34"/>
        <v>0</v>
      </c>
      <c r="AA77" s="571">
        <v>0</v>
      </c>
      <c r="AB77" s="563" t="e">
        <f t="shared" si="47"/>
        <v>#DIV/0!</v>
      </c>
      <c r="AC77" s="563" t="e">
        <v>#DIV/0!</v>
      </c>
      <c r="AD77" s="563" t="e">
        <v>#DIV/0!</v>
      </c>
      <c r="AE77" s="571" t="e">
        <v>#DIV/0!</v>
      </c>
      <c r="AF77" s="563" t="e">
        <v>#DIV/0!</v>
      </c>
      <c r="AG77" s="575" t="e">
        <f>AH77*AT77</f>
        <v>#DIV/0!</v>
      </c>
      <c r="AH77" s="573" t="e">
        <f>((AI77/AS77)-1)*100</f>
        <v>#DIV/0!</v>
      </c>
      <c r="AI77" s="576" t="e">
        <v>#DIV/0!</v>
      </c>
      <c r="AJ77" s="563">
        <f t="shared" si="35"/>
        <v>0</v>
      </c>
      <c r="AK77" s="571">
        <v>0</v>
      </c>
      <c r="AL77" s="563" t="e">
        <f t="shared" si="41"/>
        <v>#DIV/0!</v>
      </c>
      <c r="AM77" s="563" t="e">
        <v>#DIV/0!</v>
      </c>
      <c r="AN77" s="563" t="e">
        <v>#DIV/0!</v>
      </c>
      <c r="AO77" s="563" t="e">
        <v>#DIV/0!</v>
      </c>
      <c r="AP77" s="571" t="e">
        <v>#DIV/0!</v>
      </c>
      <c r="AQ77" s="563" t="e">
        <f t="shared" si="48"/>
        <v>#DIV/0!</v>
      </c>
      <c r="AR77" s="563" t="e">
        <v>#DIV/0!</v>
      </c>
      <c r="AS77" s="563" t="e">
        <v>#DIV/0!</v>
      </c>
      <c r="AT77" s="563">
        <f t="shared" si="37"/>
        <v>0</v>
      </c>
      <c r="AU77" s="577">
        <v>0</v>
      </c>
      <c r="AV77" s="563" t="e">
        <f t="shared" si="38"/>
        <v>#DIV/0!</v>
      </c>
      <c r="AW77" s="563" t="e">
        <v>#DIV/0!</v>
      </c>
      <c r="AX77" s="563" t="e">
        <v>#DIV/0!</v>
      </c>
      <c r="AY77" s="571" t="e">
        <v>#DIV/0!</v>
      </c>
      <c r="AZ77" s="563" t="e">
        <v>#DIV/0!</v>
      </c>
      <c r="BD77" s="580"/>
      <c r="BF77" s="362">
        <f t="shared" si="53"/>
        <v>0</v>
      </c>
      <c r="BG77" s="578"/>
    </row>
    <row r="78" spans="2:59">
      <c r="B78" s="563" t="s">
        <v>259</v>
      </c>
      <c r="C78" s="570"/>
      <c r="D78" s="569"/>
      <c r="E78" s="571" t="e">
        <v>#DIV/0!</v>
      </c>
      <c r="G78" s="571">
        <v>0</v>
      </c>
      <c r="H78" s="563" t="e">
        <f t="shared" si="45"/>
        <v>#DIV/0!</v>
      </c>
      <c r="I78" s="563" t="e">
        <v>#DIV/0!</v>
      </c>
      <c r="J78" s="563" t="e">
        <v>#DIV/0!</v>
      </c>
      <c r="K78" s="563" t="e">
        <v>#DIV/0!</v>
      </c>
      <c r="L78" s="572" t="e">
        <v>#DIV/0!</v>
      </c>
      <c r="M78" s="570"/>
      <c r="N78" s="569"/>
      <c r="O78" s="571">
        <v>0</v>
      </c>
      <c r="Q78" s="571">
        <v>0</v>
      </c>
      <c r="S78" s="572" t="e">
        <v>#VALUE!</v>
      </c>
      <c r="T78" s="563" t="e">
        <v>#VALUE!</v>
      </c>
      <c r="U78" s="563" t="e">
        <v>#VALUE!</v>
      </c>
      <c r="V78" s="563" t="e">
        <v>#VALUE!</v>
      </c>
      <c r="W78" s="570" t="s">
        <v>96</v>
      </c>
      <c r="X78" s="573" t="s">
        <v>96</v>
      </c>
      <c r="Y78" s="574" t="e">
        <v>#VALUE!</v>
      </c>
      <c r="Z78" s="563">
        <f t="shared" si="34"/>
        <v>0</v>
      </c>
      <c r="AA78" s="571">
        <v>0</v>
      </c>
      <c r="AB78" s="563" t="s">
        <v>96</v>
      </c>
      <c r="AC78" s="563" t="e">
        <v>#DIV/0!</v>
      </c>
      <c r="AD78" s="563" t="e">
        <v>#DIV/0!</v>
      </c>
      <c r="AE78" s="571" t="e">
        <v>#DIV/0!</v>
      </c>
      <c r="AF78" s="563" t="e">
        <v>#DIV/0!</v>
      </c>
      <c r="AG78" s="575"/>
      <c r="AH78" s="573"/>
      <c r="AI78" s="576" t="e">
        <v>#DIV/0!</v>
      </c>
      <c r="AJ78" s="563">
        <f t="shared" si="35"/>
        <v>0</v>
      </c>
      <c r="AK78" s="571">
        <v>0</v>
      </c>
      <c r="AL78" s="563" t="e">
        <f t="shared" si="41"/>
        <v>#DIV/0!</v>
      </c>
      <c r="AM78" s="563" t="e">
        <v>#DIV/0!</v>
      </c>
      <c r="AN78" s="563" t="e">
        <v>#DIV/0!</v>
      </c>
      <c r="AO78" s="563" t="e">
        <v>#DIV/0!</v>
      </c>
      <c r="AP78" s="571" t="e">
        <v>#DIV/0!</v>
      </c>
      <c r="AQ78" s="563" t="e">
        <f t="shared" si="48"/>
        <v>#DIV/0!</v>
      </c>
      <c r="AR78" s="563" t="e">
        <v>#DIV/0!</v>
      </c>
      <c r="AS78" s="563" t="e">
        <v>#DIV/0!</v>
      </c>
      <c r="AT78" s="563">
        <f t="shared" si="37"/>
        <v>0</v>
      </c>
      <c r="AU78" s="577">
        <v>0</v>
      </c>
      <c r="AV78" s="563" t="e">
        <f t="shared" si="38"/>
        <v>#DIV/0!</v>
      </c>
      <c r="AW78" s="563" t="e">
        <v>#DIV/0!</v>
      </c>
      <c r="AX78" s="563" t="e">
        <v>#DIV/0!</v>
      </c>
      <c r="AY78" s="571" t="e">
        <v>#DIV/0!</v>
      </c>
      <c r="AZ78" s="563" t="e">
        <v>#DIV/0!</v>
      </c>
      <c r="BD78" s="580"/>
      <c r="BF78" s="362">
        <f t="shared" si="53"/>
        <v>0</v>
      </c>
      <c r="BG78" s="578"/>
    </row>
    <row r="79" spans="2:59">
      <c r="B79" s="563" t="s">
        <v>260</v>
      </c>
      <c r="C79" s="570"/>
      <c r="D79" s="569"/>
      <c r="E79" s="571" t="e">
        <v>#DIV/0!</v>
      </c>
      <c r="G79" s="571">
        <v>0</v>
      </c>
      <c r="H79" s="563" t="e">
        <f t="shared" si="45"/>
        <v>#DIV/0!</v>
      </c>
      <c r="I79" s="563" t="e">
        <v>#DIV/0!</v>
      </c>
      <c r="J79" s="563" t="e">
        <v>#DIV/0!</v>
      </c>
      <c r="K79" s="563" t="e">
        <v>#DIV/0!</v>
      </c>
      <c r="L79" s="572" t="e">
        <v>#DIV/0!</v>
      </c>
      <c r="M79" s="570"/>
      <c r="N79" s="569"/>
      <c r="O79" s="571">
        <v>0</v>
      </c>
      <c r="Q79" s="571">
        <v>0</v>
      </c>
      <c r="S79" s="572" t="e">
        <v>#DIV/0!</v>
      </c>
      <c r="T79" s="563" t="e">
        <v>#DIV/0!</v>
      </c>
      <c r="U79" s="563" t="e">
        <v>#DIV/0!</v>
      </c>
      <c r="V79" s="563" t="e">
        <v>#DIV/0!</v>
      </c>
      <c r="W79" s="570"/>
      <c r="X79" s="573"/>
      <c r="Y79" s="574">
        <v>0</v>
      </c>
      <c r="AA79" s="571">
        <v>0</v>
      </c>
      <c r="AC79" s="563" t="e">
        <v>#DIV/0!</v>
      </c>
      <c r="AD79" s="563" t="e">
        <v>#DIV/0!</v>
      </c>
      <c r="AE79" s="571" t="e">
        <v>#DIV/0!</v>
      </c>
      <c r="AF79" s="563" t="e">
        <v>#DIV/0!</v>
      </c>
      <c r="AG79" s="575">
        <f t="shared" ref="AG79:AG109" si="54">AH79*AT79</f>
        <v>0</v>
      </c>
      <c r="AH79" s="573"/>
      <c r="AI79" s="576">
        <v>0</v>
      </c>
      <c r="AK79" s="571">
        <v>0</v>
      </c>
      <c r="AM79" s="563" t="e">
        <v>#DIV/0!</v>
      </c>
      <c r="AN79" s="563" t="e">
        <v>#DIV/0!</v>
      </c>
      <c r="AO79" s="563" t="e">
        <v>#DIV/0!</v>
      </c>
      <c r="AP79" s="571" t="e">
        <v>#DIV/0!</v>
      </c>
      <c r="AQ79" s="563" t="e">
        <f t="shared" si="48"/>
        <v>#DIV/0!</v>
      </c>
      <c r="AR79" s="563" t="e">
        <v>#DIV/0!</v>
      </c>
      <c r="AS79" s="563">
        <v>0</v>
      </c>
      <c r="AU79" s="577">
        <v>0</v>
      </c>
      <c r="AW79" s="563" t="e">
        <v>#DIV/0!</v>
      </c>
      <c r="AX79" s="563" t="e">
        <v>#DIV/0!</v>
      </c>
      <c r="AY79" s="571" t="e">
        <v>#DIV/0!</v>
      </c>
      <c r="AZ79" s="563" t="e">
        <v>#DIV/0!</v>
      </c>
      <c r="BD79" s="580"/>
      <c r="BF79" s="362">
        <f t="shared" si="53"/>
        <v>0</v>
      </c>
      <c r="BG79" s="578"/>
    </row>
    <row r="80" spans="2:59">
      <c r="B80" s="563" t="s">
        <v>261</v>
      </c>
      <c r="C80" s="570"/>
      <c r="D80" s="569"/>
      <c r="E80" s="571" t="e">
        <v>#DIV/0!</v>
      </c>
      <c r="G80" s="571">
        <v>0</v>
      </c>
      <c r="H80" s="563" t="e">
        <f t="shared" si="45"/>
        <v>#DIV/0!</v>
      </c>
      <c r="I80" s="563" t="e">
        <v>#DIV/0!</v>
      </c>
      <c r="J80" s="563" t="e">
        <v>#DIV/0!</v>
      </c>
      <c r="K80" s="563" t="e">
        <v>#DIV/0!</v>
      </c>
      <c r="L80" s="572" t="e">
        <v>#DIV/0!</v>
      </c>
      <c r="M80" s="570" t="e">
        <f>N80*Z80</f>
        <v>#DIV/0!</v>
      </c>
      <c r="N80" s="569" t="e">
        <f t="shared" si="50"/>
        <v>#DIV/0!</v>
      </c>
      <c r="O80" s="571" t="e">
        <v>#DIV/0!</v>
      </c>
      <c r="Q80" s="571">
        <v>0</v>
      </c>
      <c r="R80" s="563" t="e">
        <f t="shared" si="51"/>
        <v>#DIV/0!</v>
      </c>
      <c r="S80" s="572" t="e">
        <v>#DIV/0!</v>
      </c>
      <c r="T80" s="563" t="e">
        <v>#DIV/0!</v>
      </c>
      <c r="U80" s="563" t="e">
        <v>#DIV/0!</v>
      </c>
      <c r="V80" s="563" t="e">
        <v>#DIV/0!</v>
      </c>
      <c r="W80" s="570" t="e">
        <f t="shared" si="52"/>
        <v>#DIV/0!</v>
      </c>
      <c r="X80" s="573" t="e">
        <f t="shared" si="46"/>
        <v>#DIV/0!</v>
      </c>
      <c r="Y80" s="574" t="e">
        <v>#DIV/0!</v>
      </c>
      <c r="Z80" s="563">
        <f t="shared" si="34"/>
        <v>0</v>
      </c>
      <c r="AA80" s="571">
        <v>0</v>
      </c>
      <c r="AB80" s="563" t="e">
        <f t="shared" si="47"/>
        <v>#DIV/0!</v>
      </c>
      <c r="AC80" s="563" t="e">
        <v>#DIV/0!</v>
      </c>
      <c r="AD80" s="563" t="e">
        <v>#DIV/0!</v>
      </c>
      <c r="AE80" s="571" t="e">
        <v>#DIV/0!</v>
      </c>
      <c r="AF80" s="563" t="e">
        <v>#DIV/0!</v>
      </c>
      <c r="AG80" s="575" t="e">
        <f t="shared" si="54"/>
        <v>#DIV/0!</v>
      </c>
      <c r="AH80" s="573" t="e">
        <f t="shared" ref="AH80:AH109" si="55">((AI80/AS80)-1)*100</f>
        <v>#DIV/0!</v>
      </c>
      <c r="AI80" s="576" t="e">
        <v>#DIV/0!</v>
      </c>
      <c r="AJ80" s="563">
        <f t="shared" ref="AJ80:AJ109" si="56">AK80/$AK$112</f>
        <v>0</v>
      </c>
      <c r="AK80" s="571">
        <v>0</v>
      </c>
      <c r="AL80" s="563" t="e">
        <f t="shared" ref="AL80:AL109" si="57">AM80+AN80+AO80+AP80+AV80</f>
        <v>#DIV/0!</v>
      </c>
      <c r="AM80" s="563" t="e">
        <v>#DIV/0!</v>
      </c>
      <c r="AN80" s="563" t="e">
        <v>#DIV/0!</v>
      </c>
      <c r="AO80" s="563" t="e">
        <v>#DIV/0!</v>
      </c>
      <c r="AP80" s="571" t="e">
        <v>#DIV/0!</v>
      </c>
      <c r="AQ80" s="563" t="e">
        <f t="shared" si="48"/>
        <v>#DIV/0!</v>
      </c>
      <c r="AR80" s="563" t="e">
        <v>#DIV/0!</v>
      </c>
      <c r="AS80" s="563" t="e">
        <v>#DIV/0!</v>
      </c>
      <c r="AT80" s="563">
        <f t="shared" ref="AT80:AT109" si="58">AU80/$AU$112</f>
        <v>0</v>
      </c>
      <c r="AU80" s="577">
        <v>0</v>
      </c>
      <c r="AV80" s="563" t="e">
        <f t="shared" ref="AV80:AV109" si="59">AW80+AX80+AY80+AZ80</f>
        <v>#DIV/0!</v>
      </c>
      <c r="AW80" s="563" t="e">
        <v>#DIV/0!</v>
      </c>
      <c r="AX80" s="563" t="e">
        <v>#DIV/0!</v>
      </c>
      <c r="AY80" s="571" t="e">
        <v>#DIV/0!</v>
      </c>
      <c r="AZ80" s="563" t="e">
        <v>#DIV/0!</v>
      </c>
      <c r="BD80" s="580"/>
      <c r="BF80" s="362">
        <f t="shared" si="53"/>
        <v>0</v>
      </c>
      <c r="BG80" s="578"/>
    </row>
    <row r="81" spans="2:59">
      <c r="B81" s="563" t="s">
        <v>262</v>
      </c>
      <c r="C81" s="570"/>
      <c r="D81" s="569"/>
      <c r="E81" s="571" t="e">
        <v>#DIV/0!</v>
      </c>
      <c r="F81" s="563">
        <f t="shared" si="49"/>
        <v>0</v>
      </c>
      <c r="G81" s="571">
        <v>0</v>
      </c>
      <c r="H81" s="563" t="e">
        <f t="shared" si="45"/>
        <v>#DIV/0!</v>
      </c>
      <c r="I81" s="563" t="e">
        <v>#DIV/0!</v>
      </c>
      <c r="J81" s="563" t="e">
        <v>#DIV/0!</v>
      </c>
      <c r="K81" s="563" t="e">
        <v>#DIV/0!</v>
      </c>
      <c r="L81" s="572" t="e">
        <v>#DIV/0!</v>
      </c>
      <c r="M81" s="570" t="e">
        <f>N81*Z81</f>
        <v>#DIV/0!</v>
      </c>
      <c r="N81" s="569" t="e">
        <f t="shared" si="50"/>
        <v>#DIV/0!</v>
      </c>
      <c r="O81" s="571" t="e">
        <v>#DIV/0!</v>
      </c>
      <c r="Q81" s="571">
        <v>0</v>
      </c>
      <c r="R81" s="563" t="e">
        <f t="shared" si="51"/>
        <v>#DIV/0!</v>
      </c>
      <c r="S81" s="572" t="e">
        <v>#DIV/0!</v>
      </c>
      <c r="T81" s="563" t="e">
        <v>#DIV/0!</v>
      </c>
      <c r="U81" s="563" t="e">
        <v>#DIV/0!</v>
      </c>
      <c r="V81" s="563" t="e">
        <v>#DIV/0!</v>
      </c>
      <c r="W81" s="570" t="e">
        <f t="shared" si="52"/>
        <v>#DIV/0!</v>
      </c>
      <c r="X81" s="573" t="e">
        <f t="shared" si="46"/>
        <v>#DIV/0!</v>
      </c>
      <c r="Y81" s="574" t="e">
        <v>#DIV/0!</v>
      </c>
      <c r="Z81" s="563">
        <f t="shared" si="34"/>
        <v>0</v>
      </c>
      <c r="AA81" s="571">
        <v>0</v>
      </c>
      <c r="AB81" s="563" t="e">
        <f t="shared" si="47"/>
        <v>#DIV/0!</v>
      </c>
      <c r="AC81" s="563" t="e">
        <v>#DIV/0!</v>
      </c>
      <c r="AD81" s="563" t="e">
        <v>#DIV/0!</v>
      </c>
      <c r="AE81" s="571" t="e">
        <v>#DIV/0!</v>
      </c>
      <c r="AF81" s="563" t="e">
        <v>#DIV/0!</v>
      </c>
      <c r="AG81" s="575" t="e">
        <f t="shared" si="54"/>
        <v>#DIV/0!</v>
      </c>
      <c r="AH81" s="573" t="e">
        <f t="shared" si="55"/>
        <v>#DIV/0!</v>
      </c>
      <c r="AI81" s="576" t="e">
        <v>#DIV/0!</v>
      </c>
      <c r="AJ81" s="563">
        <f t="shared" si="56"/>
        <v>0</v>
      </c>
      <c r="AK81" s="571">
        <v>0</v>
      </c>
      <c r="AL81" s="563" t="e">
        <f t="shared" si="57"/>
        <v>#DIV/0!</v>
      </c>
      <c r="AM81" s="563" t="e">
        <v>#DIV/0!</v>
      </c>
      <c r="AN81" s="563" t="e">
        <v>#DIV/0!</v>
      </c>
      <c r="AO81" s="563" t="e">
        <v>#DIV/0!</v>
      </c>
      <c r="AP81" s="571" t="e">
        <v>#DIV/0!</v>
      </c>
      <c r="AQ81" s="563" t="e">
        <f t="shared" si="48"/>
        <v>#DIV/0!</v>
      </c>
      <c r="AR81" s="563" t="e">
        <v>#DIV/0!</v>
      </c>
      <c r="AS81" s="563" t="e">
        <v>#DIV/0!</v>
      </c>
      <c r="AT81" s="563">
        <f t="shared" si="58"/>
        <v>0</v>
      </c>
      <c r="AU81" s="577">
        <v>0</v>
      </c>
      <c r="AV81" s="563" t="e">
        <f t="shared" si="59"/>
        <v>#DIV/0!</v>
      </c>
      <c r="AW81" s="563" t="e">
        <v>#DIV/0!</v>
      </c>
      <c r="AX81" s="563" t="e">
        <v>#DIV/0!</v>
      </c>
      <c r="AY81" s="571" t="e">
        <v>#DIV/0!</v>
      </c>
      <c r="AZ81" s="563" t="e">
        <v>#DIV/0!</v>
      </c>
      <c r="BD81" s="580"/>
      <c r="BF81" s="362">
        <f t="shared" si="53"/>
        <v>0</v>
      </c>
      <c r="BG81" s="578"/>
    </row>
    <row r="82" spans="2:59">
      <c r="B82" s="579" t="s">
        <v>145</v>
      </c>
      <c r="C82" s="570">
        <f>D82*P82</f>
        <v>9.7368185895040316E-2</v>
      </c>
      <c r="D82" s="569">
        <f>((E82/O82)-1)*100</f>
        <v>32.672596185477772</v>
      </c>
      <c r="E82" s="571">
        <v>104.58471391237298</v>
      </c>
      <c r="F82" s="563">
        <f t="shared" si="49"/>
        <v>3.294098582858564E-3</v>
      </c>
      <c r="G82" s="571">
        <v>3399.5667599999997</v>
      </c>
      <c r="H82" s="563">
        <f t="shared" si="45"/>
        <v>0.11307698927600027</v>
      </c>
      <c r="I82" s="563">
        <v>5.3054193959771231E-3</v>
      </c>
      <c r="J82" s="563">
        <v>5.4243439221546294E-3</v>
      </c>
      <c r="K82" s="563">
        <v>6.271046130569731E-3</v>
      </c>
      <c r="L82" s="572">
        <v>5.9202446934668845E-3</v>
      </c>
      <c r="M82" s="570">
        <f>N82*Z82</f>
        <v>1.3130626075721071E-2</v>
      </c>
      <c r="N82" s="569">
        <f t="shared" si="50"/>
        <v>5.0488252767348918</v>
      </c>
      <c r="O82" s="571">
        <v>78.829175669527388</v>
      </c>
      <c r="P82" s="563">
        <f>Q82/Q$112</f>
        <v>2.9801178131757485E-3</v>
      </c>
      <c r="Q82" s="571">
        <v>2614.9465299999997</v>
      </c>
      <c r="R82" s="563">
        <f t="shared" si="51"/>
        <v>9.0155935133831896E-2</v>
      </c>
      <c r="S82" s="572">
        <v>6.4071718476674767E-3</v>
      </c>
      <c r="T82" s="563">
        <v>6.7206178974409453E-3</v>
      </c>
      <c r="U82" s="563">
        <v>5.5194010028723839E-3</v>
      </c>
      <c r="V82" s="563">
        <v>5.592389783705091E-3</v>
      </c>
      <c r="W82" s="570">
        <f t="shared" si="52"/>
        <v>-3.7085051988671604E-2</v>
      </c>
      <c r="X82" s="573">
        <f t="shared" si="46"/>
        <v>-12.523274131047401</v>
      </c>
      <c r="Y82" s="574">
        <v>75.040511363991087</v>
      </c>
      <c r="Z82" s="563">
        <f t="shared" si="34"/>
        <v>2.6007289529759153E-3</v>
      </c>
      <c r="AA82" s="571">
        <v>2545.8751999999999</v>
      </c>
      <c r="AB82" s="563">
        <f t="shared" si="47"/>
        <v>6.5916354602145996E-2</v>
      </c>
      <c r="AC82" s="563">
        <v>6.1343913356688828E-3</v>
      </c>
      <c r="AD82" s="563">
        <v>6.5396350563102692E-3</v>
      </c>
      <c r="AE82" s="571">
        <v>5.217903949646047E-3</v>
      </c>
      <c r="AF82" s="563">
        <v>5.065130047718522E-3</v>
      </c>
      <c r="AG82" s="575">
        <f t="shared" si="54"/>
        <v>6.1291452986006668E-2</v>
      </c>
      <c r="AH82" s="573">
        <f t="shared" si="55"/>
        <v>19.832609154587487</v>
      </c>
      <c r="AI82" s="576">
        <v>85.783401949002993</v>
      </c>
      <c r="AJ82" s="563">
        <f t="shared" si="56"/>
        <v>2.9612904421481307E-3</v>
      </c>
      <c r="AK82" s="571">
        <v>2974.4067499999996</v>
      </c>
      <c r="AL82" s="563">
        <f t="shared" si="57"/>
        <v>4.2959294212802278E-2</v>
      </c>
      <c r="AM82" s="563">
        <v>4.8905972047491864E-3</v>
      </c>
      <c r="AN82" s="563">
        <v>5.4441092213245888E-3</v>
      </c>
      <c r="AO82" s="563">
        <v>5.1072195893742756E-3</v>
      </c>
      <c r="AP82" s="571">
        <v>5.2979574447187998E-3</v>
      </c>
      <c r="AQ82" s="563">
        <f t="shared" si="48"/>
        <v>4.1328806285869282E-2</v>
      </c>
      <c r="AR82" s="563">
        <v>13.448534603814677</v>
      </c>
      <c r="AS82" s="563">
        <v>71.586025335007065</v>
      </c>
      <c r="AT82" s="563">
        <f t="shared" si="58"/>
        <v>3.0904382024706679E-3</v>
      </c>
      <c r="AU82" s="577">
        <v>2732.5317599999998</v>
      </c>
      <c r="AV82" s="563">
        <f t="shared" si="59"/>
        <v>2.2219410752635428E-2</v>
      </c>
      <c r="AW82" s="563">
        <v>5.3724599712851578E-3</v>
      </c>
      <c r="AX82" s="563">
        <v>5.9691158462493992E-3</v>
      </c>
      <c r="AY82" s="571">
        <v>5.4936895249893709E-3</v>
      </c>
      <c r="AZ82" s="563">
        <v>5.3841454101115011E-3</v>
      </c>
      <c r="BD82" s="580">
        <v>34.667999999999999</v>
      </c>
      <c r="BE82" s="563">
        <v>78.819999999999993</v>
      </c>
      <c r="BF82" s="362">
        <f t="shared" si="53"/>
        <v>2732.5317599999998</v>
      </c>
      <c r="BG82" s="578">
        <f>+BF82/$BF$112</f>
        <v>3.0731085209942774E-3</v>
      </c>
    </row>
    <row r="83" spans="2:59">
      <c r="B83" s="563" t="s">
        <v>263</v>
      </c>
      <c r="C83" s="570"/>
      <c r="D83" s="569"/>
      <c r="E83" s="571" t="e">
        <v>#VALUE!</v>
      </c>
      <c r="G83" s="571">
        <v>0</v>
      </c>
      <c r="H83" s="563" t="e">
        <f t="shared" si="45"/>
        <v>#VALUE!</v>
      </c>
      <c r="I83" s="563" t="e">
        <v>#VALUE!</v>
      </c>
      <c r="J83" s="563" t="e">
        <v>#VALUE!</v>
      </c>
      <c r="K83" s="563" t="e">
        <v>#VALUE!</v>
      </c>
      <c r="L83" s="572" t="e">
        <v>#VALUE!</v>
      </c>
      <c r="M83" s="570" t="s">
        <v>96</v>
      </c>
      <c r="N83" s="569" t="s">
        <v>96</v>
      </c>
      <c r="O83" s="571" t="e">
        <v>#VALUE!</v>
      </c>
      <c r="Q83" s="571">
        <v>0</v>
      </c>
      <c r="R83" s="563" t="s">
        <v>96</v>
      </c>
      <c r="S83" s="572" t="e">
        <v>#DIV/0!</v>
      </c>
      <c r="T83" s="563" t="e">
        <v>#DIV/0!</v>
      </c>
      <c r="U83" s="563" t="e">
        <v>#DIV/0!</v>
      </c>
      <c r="V83" s="563" t="e">
        <v>#DIV/0!</v>
      </c>
      <c r="W83" s="570"/>
      <c r="X83" s="573" t="e">
        <f t="shared" si="46"/>
        <v>#DIV/0!</v>
      </c>
      <c r="Y83" s="574" t="e">
        <v>#DIV/0!</v>
      </c>
      <c r="Z83" s="563">
        <f t="shared" si="34"/>
        <v>0</v>
      </c>
      <c r="AA83" s="571">
        <v>0</v>
      </c>
      <c r="AB83" s="563" t="e">
        <f t="shared" si="47"/>
        <v>#DIV/0!</v>
      </c>
      <c r="AC83" s="563" t="e">
        <v>#DIV/0!</v>
      </c>
      <c r="AD83" s="563" t="e">
        <v>#DIV/0!</v>
      </c>
      <c r="AE83" s="571" t="e">
        <v>#DIV/0!</v>
      </c>
      <c r="AF83" s="563" t="e">
        <v>#DIV/0!</v>
      </c>
      <c r="AG83" s="575" t="e">
        <f t="shared" si="54"/>
        <v>#DIV/0!</v>
      </c>
      <c r="AH83" s="573" t="e">
        <f t="shared" si="55"/>
        <v>#DIV/0!</v>
      </c>
      <c r="AI83" s="576" t="e">
        <v>#DIV/0!</v>
      </c>
      <c r="AJ83" s="563">
        <f t="shared" si="56"/>
        <v>0</v>
      </c>
      <c r="AK83" s="571">
        <v>0</v>
      </c>
      <c r="AL83" s="563" t="e">
        <f t="shared" si="57"/>
        <v>#DIV/0!</v>
      </c>
      <c r="AM83" s="563" t="e">
        <v>#DIV/0!</v>
      </c>
      <c r="AN83" s="563" t="e">
        <v>#DIV/0!</v>
      </c>
      <c r="AO83" s="563" t="e">
        <v>#DIV/0!</v>
      </c>
      <c r="AP83" s="571" t="e">
        <v>#DIV/0!</v>
      </c>
      <c r="AQ83" s="563" t="e">
        <f t="shared" si="48"/>
        <v>#DIV/0!</v>
      </c>
      <c r="AR83" s="563" t="e">
        <v>#DIV/0!</v>
      </c>
      <c r="AS83" s="563" t="e">
        <v>#DIV/0!</v>
      </c>
      <c r="AT83" s="563">
        <f t="shared" si="58"/>
        <v>0</v>
      </c>
      <c r="AU83" s="577">
        <v>0</v>
      </c>
      <c r="AV83" s="563" t="e">
        <f t="shared" si="59"/>
        <v>#DIV/0!</v>
      </c>
      <c r="AW83" s="563" t="e">
        <v>#DIV/0!</v>
      </c>
      <c r="AX83" s="563" t="e">
        <v>#DIV/0!</v>
      </c>
      <c r="AY83" s="571" t="e">
        <v>#DIV/0!</v>
      </c>
      <c r="AZ83" s="563" t="e">
        <v>#DIV/0!</v>
      </c>
      <c r="BD83" s="580"/>
      <c r="BF83" s="362">
        <f t="shared" si="53"/>
        <v>0</v>
      </c>
      <c r="BG83" s="578"/>
    </row>
    <row r="84" spans="2:59">
      <c r="B84" s="579" t="s">
        <v>146</v>
      </c>
      <c r="C84" s="570">
        <f>D84*P84</f>
        <v>4.3206711706161437E-2</v>
      </c>
      <c r="D84" s="569">
        <f>((E84/O84)-1)*100</f>
        <v>10.799439740200633</v>
      </c>
      <c r="E84" s="571">
        <v>80.391784907116431</v>
      </c>
      <c r="F84" s="563">
        <f t="shared" si="49"/>
        <v>3.6292414496315937E-3</v>
      </c>
      <c r="G84" s="571">
        <v>3745.4399999999996</v>
      </c>
      <c r="H84" s="563">
        <f t="shared" si="45"/>
        <v>0.24061396461599444</v>
      </c>
      <c r="I84" s="563">
        <v>1.3352153958541727E-2</v>
      </c>
      <c r="J84" s="563">
        <v>1.3332607697257168E-2</v>
      </c>
      <c r="K84" s="563">
        <v>1.3572596750248793E-2</v>
      </c>
      <c r="L84" s="572">
        <v>1.4023554683536537E-2</v>
      </c>
      <c r="M84" s="570">
        <f t="shared" ref="M84:M90" si="60">N84*Z84</f>
        <v>-2.8007999432166754E-3</v>
      </c>
      <c r="N84" s="569">
        <f t="shared" si="50"/>
        <v>-0.74432217331129591</v>
      </c>
      <c r="O84" s="571">
        <v>72.556129431355245</v>
      </c>
      <c r="P84" s="563">
        <f>Q84/Q$112</f>
        <v>4.0008290009087765E-3</v>
      </c>
      <c r="Q84" s="571">
        <v>3510.5839999999998</v>
      </c>
      <c r="R84" s="563">
        <f t="shared" si="51"/>
        <v>0.18633305152641022</v>
      </c>
      <c r="S84" s="572">
        <v>1.2997625104655637E-2</v>
      </c>
      <c r="T84" s="563">
        <v>1.4864845054475972E-2</v>
      </c>
      <c r="U84" s="563">
        <v>1.3382732748647959E-2</v>
      </c>
      <c r="V84" s="563">
        <v>1.1926623120629112E-2</v>
      </c>
      <c r="W84" s="570">
        <f t="shared" si="52"/>
        <v>5.3931003823169165E-3</v>
      </c>
      <c r="X84" s="573">
        <f t="shared" si="46"/>
        <v>1.5580652549034069</v>
      </c>
      <c r="Y84" s="574">
        <v>73.100230656876079</v>
      </c>
      <c r="Z84" s="563">
        <f t="shared" si="34"/>
        <v>3.7628866150213481E-3</v>
      </c>
      <c r="AA84" s="571">
        <v>3683.5210000000002</v>
      </c>
      <c r="AB84" s="563">
        <f t="shared" si="47"/>
        <v>0.13316122549800152</v>
      </c>
      <c r="AC84" s="563">
        <v>1.1303787547171592E-2</v>
      </c>
      <c r="AD84" s="563">
        <v>1.4382787666036281E-2</v>
      </c>
      <c r="AE84" s="571">
        <v>1.2112712816508765E-2</v>
      </c>
      <c r="AF84" s="563">
        <v>1.0527654285884742E-2</v>
      </c>
      <c r="AG84" s="575">
        <f t="shared" si="54"/>
        <v>5.3627665200309489E-2</v>
      </c>
      <c r="AH84" s="573">
        <f t="shared" si="55"/>
        <v>11.299206742972956</v>
      </c>
      <c r="AI84" s="576">
        <v>71.97875468915224</v>
      </c>
      <c r="AJ84" s="563">
        <f t="shared" si="56"/>
        <v>3.4614085420005495E-3</v>
      </c>
      <c r="AK84" s="571">
        <v>3476.74</v>
      </c>
      <c r="AL84" s="563">
        <f t="shared" si="57"/>
        <v>8.4834283182400133E-2</v>
      </c>
      <c r="AM84" s="563">
        <v>1.0203726461703675E-2</v>
      </c>
      <c r="AN84" s="563">
        <v>1.1255482140216769E-2</v>
      </c>
      <c r="AO84" s="563">
        <v>9.4876971673375169E-3</v>
      </c>
      <c r="AP84" s="571">
        <v>9.7898709491341714E-3</v>
      </c>
      <c r="AQ84" s="563">
        <f t="shared" si="48"/>
        <v>-6.1492256867024093E-2</v>
      </c>
      <c r="AR84" s="563">
        <v>-13.029317441661325</v>
      </c>
      <c r="AS84" s="563">
        <v>64.671399550380642</v>
      </c>
      <c r="AT84" s="563">
        <f t="shared" si="58"/>
        <v>4.7461442577516211E-3</v>
      </c>
      <c r="AU84" s="577">
        <v>4196.4890000000005</v>
      </c>
      <c r="AV84" s="563">
        <f t="shared" si="59"/>
        <v>4.4097506464008E-2</v>
      </c>
      <c r="AW84" s="563">
        <v>1.0306201658338726E-2</v>
      </c>
      <c r="AX84" s="563">
        <v>1.2192448660029618E-2</v>
      </c>
      <c r="AY84" s="571">
        <v>1.1422521274182834E-2</v>
      </c>
      <c r="AZ84" s="563">
        <v>1.0176334871456824E-2</v>
      </c>
      <c r="BD84" s="580">
        <v>51.7</v>
      </c>
      <c r="BE84" s="563">
        <v>81.17</v>
      </c>
      <c r="BF84" s="362">
        <f t="shared" si="53"/>
        <v>4196.4890000000005</v>
      </c>
      <c r="BG84" s="578">
        <f>+BF84/$BF$112</f>
        <v>4.7195301781812618E-3</v>
      </c>
    </row>
    <row r="85" spans="2:59">
      <c r="B85" s="563" t="s">
        <v>264</v>
      </c>
      <c r="C85" s="570"/>
      <c r="D85" s="569"/>
      <c r="E85" s="571" t="e">
        <v>#DIV/0!</v>
      </c>
      <c r="F85" s="563">
        <f t="shared" si="49"/>
        <v>0</v>
      </c>
      <c r="G85" s="571">
        <v>0</v>
      </c>
      <c r="H85" s="563" t="e">
        <f t="shared" si="45"/>
        <v>#DIV/0!</v>
      </c>
      <c r="I85" s="563" t="e">
        <v>#DIV/0!</v>
      </c>
      <c r="J85" s="563" t="e">
        <v>#DIV/0!</v>
      </c>
      <c r="K85" s="563" t="e">
        <v>#DIV/0!</v>
      </c>
      <c r="L85" s="572" t="e">
        <v>#DIV/0!</v>
      </c>
      <c r="M85" s="570" t="e">
        <f t="shared" si="60"/>
        <v>#DIV/0!</v>
      </c>
      <c r="N85" s="569" t="e">
        <f t="shared" si="50"/>
        <v>#DIV/0!</v>
      </c>
      <c r="O85" s="571" t="e">
        <v>#DIV/0!</v>
      </c>
      <c r="Q85" s="571">
        <v>0</v>
      </c>
      <c r="R85" s="563" t="e">
        <f t="shared" si="51"/>
        <v>#DIV/0!</v>
      </c>
      <c r="S85" s="572" t="e">
        <v>#DIV/0!</v>
      </c>
      <c r="T85" s="563" t="e">
        <v>#DIV/0!</v>
      </c>
      <c r="U85" s="563" t="e">
        <v>#DIV/0!</v>
      </c>
      <c r="V85" s="563" t="e">
        <v>#DIV/0!</v>
      </c>
      <c r="W85" s="570" t="e">
        <f t="shared" si="52"/>
        <v>#DIV/0!</v>
      </c>
      <c r="X85" s="573" t="e">
        <f t="shared" si="46"/>
        <v>#DIV/0!</v>
      </c>
      <c r="Y85" s="574" t="e">
        <v>#DIV/0!</v>
      </c>
      <c r="Z85" s="563">
        <f t="shared" si="34"/>
        <v>0</v>
      </c>
      <c r="AA85" s="571">
        <v>0</v>
      </c>
      <c r="AB85" s="563" t="e">
        <f t="shared" si="47"/>
        <v>#DIV/0!</v>
      </c>
      <c r="AC85" s="563" t="e">
        <v>#DIV/0!</v>
      </c>
      <c r="AD85" s="563" t="e">
        <v>#DIV/0!</v>
      </c>
      <c r="AE85" s="571" t="e">
        <v>#DIV/0!</v>
      </c>
      <c r="AF85" s="563" t="e">
        <v>#DIV/0!</v>
      </c>
      <c r="AG85" s="575" t="e">
        <f t="shared" si="54"/>
        <v>#DIV/0!</v>
      </c>
      <c r="AH85" s="573" t="e">
        <f t="shared" si="55"/>
        <v>#DIV/0!</v>
      </c>
      <c r="AI85" s="576" t="e">
        <v>#DIV/0!</v>
      </c>
      <c r="AJ85" s="563">
        <f t="shared" si="56"/>
        <v>0</v>
      </c>
      <c r="AK85" s="571">
        <v>0</v>
      </c>
      <c r="AL85" s="563" t="e">
        <f t="shared" si="57"/>
        <v>#DIV/0!</v>
      </c>
      <c r="AM85" s="563" t="e">
        <v>#DIV/0!</v>
      </c>
      <c r="AN85" s="563" t="e">
        <v>#DIV/0!</v>
      </c>
      <c r="AO85" s="563" t="e">
        <v>#DIV/0!</v>
      </c>
      <c r="AP85" s="571" t="e">
        <v>#DIV/0!</v>
      </c>
      <c r="AQ85" s="563" t="e">
        <f t="shared" si="48"/>
        <v>#DIV/0!</v>
      </c>
      <c r="AR85" s="563" t="e">
        <v>#DIV/0!</v>
      </c>
      <c r="AS85" s="563" t="e">
        <v>#DIV/0!</v>
      </c>
      <c r="AT85" s="563">
        <f t="shared" si="58"/>
        <v>0</v>
      </c>
      <c r="AU85" s="577">
        <v>0</v>
      </c>
      <c r="AV85" s="563" t="e">
        <f t="shared" si="59"/>
        <v>#DIV/0!</v>
      </c>
      <c r="AW85" s="563" t="e">
        <v>#DIV/0!</v>
      </c>
      <c r="AX85" s="563" t="e">
        <v>#DIV/0!</v>
      </c>
      <c r="AY85" s="571" t="e">
        <v>#DIV/0!</v>
      </c>
      <c r="AZ85" s="563" t="e">
        <v>#DIV/0!</v>
      </c>
      <c r="BD85" s="580"/>
      <c r="BF85" s="362">
        <f t="shared" si="53"/>
        <v>0</v>
      </c>
      <c r="BG85" s="578"/>
    </row>
    <row r="86" spans="2:59">
      <c r="B86" s="579" t="s">
        <v>147</v>
      </c>
      <c r="C86" s="570">
        <f>D86*P86</f>
        <v>0.54014282532305424</v>
      </c>
      <c r="D86" s="569">
        <f>((E86/O86)-1)*100</f>
        <v>43.17158085905308</v>
      </c>
      <c r="E86" s="571">
        <v>43.800847689102646</v>
      </c>
      <c r="F86" s="563">
        <f t="shared" si="49"/>
        <v>1.6096478063889395E-2</v>
      </c>
      <c r="G86" s="571">
        <v>16611.843999999997</v>
      </c>
      <c r="H86" s="563">
        <f t="shared" si="45"/>
        <v>0.19153557369702526</v>
      </c>
      <c r="I86" s="563">
        <v>8.5282086976289466E-3</v>
      </c>
      <c r="J86" s="563">
        <v>8.9788615702374348E-3</v>
      </c>
      <c r="K86" s="563">
        <v>1.070051774406628E-2</v>
      </c>
      <c r="L86" s="572">
        <v>1.1039638897280201E-2</v>
      </c>
      <c r="M86" s="570">
        <f t="shared" si="60"/>
        <v>5.9463733221817089E-3</v>
      </c>
      <c r="N86" s="569">
        <f t="shared" si="50"/>
        <v>0.52223525763790413</v>
      </c>
      <c r="O86" s="571">
        <v>30.59325560721642</v>
      </c>
      <c r="P86" s="563">
        <f>Q86/Q$112</f>
        <v>1.2511536862328873E-2</v>
      </c>
      <c r="Q86" s="571">
        <v>10978.425000000001</v>
      </c>
      <c r="R86" s="563">
        <f t="shared" si="51"/>
        <v>0.15228834678781239</v>
      </c>
      <c r="S86" s="572">
        <v>1.074895845884153E-2</v>
      </c>
      <c r="T86" s="563">
        <v>1.1447446734145314E-2</v>
      </c>
      <c r="U86" s="563">
        <v>1.0236340050677766E-2</v>
      </c>
      <c r="V86" s="563">
        <v>9.9242786382856048E-3</v>
      </c>
      <c r="W86" s="570">
        <f t="shared" si="52"/>
        <v>2.8708105560263743E-2</v>
      </c>
      <c r="X86" s="573">
        <f t="shared" si="46"/>
        <v>2.6560972474396038</v>
      </c>
      <c r="Y86" s="574">
        <v>30.434316874078739</v>
      </c>
      <c r="Z86" s="563">
        <f t="shared" si="34"/>
        <v>1.13863880984931E-2</v>
      </c>
      <c r="AA86" s="571">
        <v>11146.230000000001</v>
      </c>
      <c r="AB86" s="563">
        <f t="shared" si="47"/>
        <v>0.10993132290586216</v>
      </c>
      <c r="AC86" s="563">
        <v>9.4317071373305923E-3</v>
      </c>
      <c r="AD86" s="563">
        <v>1.0171776192944142E-2</v>
      </c>
      <c r="AE86" s="571">
        <v>8.6199173187641032E-3</v>
      </c>
      <c r="AF86" s="563">
        <v>7.9351135236570437E-3</v>
      </c>
      <c r="AG86" s="575">
        <f t="shared" si="54"/>
        <v>0.29028779452140063</v>
      </c>
      <c r="AH86" s="573">
        <f t="shared" si="55"/>
        <v>24.644328627405244</v>
      </c>
      <c r="AI86" s="576">
        <v>29.646867249122717</v>
      </c>
      <c r="AJ86" s="563">
        <f t="shared" si="56"/>
        <v>1.0808378943179688E-2</v>
      </c>
      <c r="AK86" s="571">
        <v>10856.251999999999</v>
      </c>
      <c r="AL86" s="563">
        <f t="shared" si="57"/>
        <v>7.3772808733166273E-2</v>
      </c>
      <c r="AM86" s="563">
        <v>8.488322598681158E-3</v>
      </c>
      <c r="AN86" s="563">
        <v>9.5853818793287006E-3</v>
      </c>
      <c r="AO86" s="563">
        <v>9.395380377675339E-3</v>
      </c>
      <c r="AP86" s="571">
        <v>9.4610283293483696E-3</v>
      </c>
      <c r="AQ86" s="563">
        <f t="shared" si="48"/>
        <v>-8.6003396624802081E-2</v>
      </c>
      <c r="AR86" s="563">
        <v>-7.3425343362907514</v>
      </c>
      <c r="AS86" s="563">
        <v>23.785171435874165</v>
      </c>
      <c r="AT86" s="563">
        <f t="shared" si="58"/>
        <v>1.177909120228951E-2</v>
      </c>
      <c r="AU86" s="577">
        <v>10414.944000000001</v>
      </c>
      <c r="AV86" s="563">
        <f t="shared" si="59"/>
        <v>3.6842695548132708E-2</v>
      </c>
      <c r="AW86" s="563">
        <v>9.4054844952530369E-3</v>
      </c>
      <c r="AX86" s="563">
        <v>9.7146246880281256E-3</v>
      </c>
      <c r="AY86" s="571">
        <v>9.312494254318902E-3</v>
      </c>
      <c r="AZ86" s="563">
        <v>8.4100921105326396E-3</v>
      </c>
      <c r="BD86" s="580">
        <v>374.1</v>
      </c>
      <c r="BE86" s="563">
        <v>27.84</v>
      </c>
      <c r="BF86" s="362">
        <f t="shared" si="53"/>
        <v>10414.944000000001</v>
      </c>
      <c r="BG86" s="578">
        <f>+BF86/$BF$112</f>
        <v>1.1713039760635108E-2</v>
      </c>
    </row>
    <row r="87" spans="2:59">
      <c r="B87" s="563" t="s">
        <v>265</v>
      </c>
      <c r="C87" s="570"/>
      <c r="D87" s="569"/>
      <c r="E87" s="571" t="e">
        <v>#DIV/0!</v>
      </c>
      <c r="G87" s="571">
        <v>0</v>
      </c>
      <c r="H87" s="563" t="e">
        <f t="shared" si="45"/>
        <v>#DIV/0!</v>
      </c>
      <c r="I87" s="563" t="e">
        <v>#DIV/0!</v>
      </c>
      <c r="J87" s="563" t="e">
        <v>#DIV/0!</v>
      </c>
      <c r="K87" s="563" t="e">
        <v>#DIV/0!</v>
      </c>
      <c r="L87" s="572" t="e">
        <v>#DIV/0!</v>
      </c>
      <c r="M87" s="570"/>
      <c r="N87" s="569"/>
      <c r="O87" s="571" t="e">
        <v>#DIV/0!</v>
      </c>
      <c r="Q87" s="571">
        <v>0</v>
      </c>
      <c r="R87" s="563" t="e">
        <f t="shared" si="51"/>
        <v>#DIV/0!</v>
      </c>
      <c r="S87" s="572" t="e">
        <v>#DIV/0!</v>
      </c>
      <c r="T87" s="563" t="e">
        <v>#DIV/0!</v>
      </c>
      <c r="U87" s="563" t="e">
        <v>#DIV/0!</v>
      </c>
      <c r="V87" s="563" t="e">
        <v>#DIV/0!</v>
      </c>
      <c r="W87" s="570" t="e">
        <f t="shared" si="52"/>
        <v>#DIV/0!</v>
      </c>
      <c r="X87" s="573" t="e">
        <f t="shared" si="46"/>
        <v>#DIV/0!</v>
      </c>
      <c r="Y87" s="574" t="e">
        <v>#DIV/0!</v>
      </c>
      <c r="Z87" s="563">
        <f t="shared" si="34"/>
        <v>0</v>
      </c>
      <c r="AA87" s="571">
        <v>0</v>
      </c>
      <c r="AB87" s="563" t="e">
        <f t="shared" si="47"/>
        <v>#DIV/0!</v>
      </c>
      <c r="AC87" s="563" t="e">
        <v>#DIV/0!</v>
      </c>
      <c r="AD87" s="563" t="e">
        <v>#DIV/0!</v>
      </c>
      <c r="AE87" s="571" t="e">
        <v>#DIV/0!</v>
      </c>
      <c r="AF87" s="563" t="e">
        <v>#DIV/0!</v>
      </c>
      <c r="AG87" s="575" t="e">
        <f t="shared" si="54"/>
        <v>#DIV/0!</v>
      </c>
      <c r="AH87" s="573" t="e">
        <f t="shared" si="55"/>
        <v>#DIV/0!</v>
      </c>
      <c r="AI87" s="576" t="e">
        <v>#DIV/0!</v>
      </c>
      <c r="AJ87" s="563">
        <f t="shared" si="56"/>
        <v>0</v>
      </c>
      <c r="AK87" s="571">
        <v>0</v>
      </c>
      <c r="AL87" s="563" t="e">
        <f t="shared" si="57"/>
        <v>#DIV/0!</v>
      </c>
      <c r="AM87" s="563" t="e">
        <v>#DIV/0!</v>
      </c>
      <c r="AN87" s="563" t="e">
        <v>#DIV/0!</v>
      </c>
      <c r="AO87" s="563" t="e">
        <v>#DIV/0!</v>
      </c>
      <c r="AP87" s="571" t="e">
        <v>#DIV/0!</v>
      </c>
      <c r="AQ87" s="563" t="e">
        <f t="shared" si="48"/>
        <v>#DIV/0!</v>
      </c>
      <c r="AR87" s="563" t="e">
        <v>#DIV/0!</v>
      </c>
      <c r="AS87" s="563" t="e">
        <v>#DIV/0!</v>
      </c>
      <c r="AT87" s="563">
        <f t="shared" si="58"/>
        <v>0</v>
      </c>
      <c r="AU87" s="577">
        <v>0</v>
      </c>
      <c r="AV87" s="563" t="e">
        <f t="shared" si="59"/>
        <v>#DIV/0!</v>
      </c>
      <c r="AW87" s="563" t="e">
        <v>#DIV/0!</v>
      </c>
      <c r="AX87" s="563" t="e">
        <v>#DIV/0!</v>
      </c>
      <c r="AY87" s="571" t="e">
        <v>#DIV/0!</v>
      </c>
      <c r="AZ87" s="563" t="e">
        <v>#DIV/0!</v>
      </c>
      <c r="BD87" s="580"/>
      <c r="BF87" s="362">
        <f t="shared" si="53"/>
        <v>0</v>
      </c>
      <c r="BG87" s="578"/>
    </row>
    <row r="88" spans="2:59">
      <c r="B88" s="563" t="s">
        <v>266</v>
      </c>
      <c r="C88" s="570"/>
      <c r="D88" s="569"/>
      <c r="E88" s="571" t="e">
        <v>#DIV/0!</v>
      </c>
      <c r="F88" s="563">
        <f t="shared" si="49"/>
        <v>0</v>
      </c>
      <c r="G88" s="571">
        <v>0</v>
      </c>
      <c r="H88" s="563" t="e">
        <f t="shared" si="45"/>
        <v>#DIV/0!</v>
      </c>
      <c r="I88" s="563" t="e">
        <v>#DIV/0!</v>
      </c>
      <c r="J88" s="563" t="e">
        <v>#DIV/0!</v>
      </c>
      <c r="K88" s="563" t="e">
        <v>#DIV/0!</v>
      </c>
      <c r="L88" s="572" t="e">
        <v>#DIV/0!</v>
      </c>
      <c r="M88" s="570" t="e">
        <f t="shared" si="60"/>
        <v>#DIV/0!</v>
      </c>
      <c r="N88" s="569" t="e">
        <f t="shared" si="50"/>
        <v>#DIV/0!</v>
      </c>
      <c r="O88" s="571" t="e">
        <v>#DIV/0!</v>
      </c>
      <c r="Q88" s="571">
        <v>0</v>
      </c>
      <c r="R88" s="563" t="e">
        <f t="shared" si="51"/>
        <v>#DIV/0!</v>
      </c>
      <c r="S88" s="572" t="e">
        <v>#DIV/0!</v>
      </c>
      <c r="T88" s="563" t="e">
        <v>#DIV/0!</v>
      </c>
      <c r="U88" s="563" t="e">
        <v>#DIV/0!</v>
      </c>
      <c r="V88" s="563" t="e">
        <v>#DIV/0!</v>
      </c>
      <c r="W88" s="570" t="e">
        <f t="shared" si="52"/>
        <v>#DIV/0!</v>
      </c>
      <c r="X88" s="573" t="e">
        <f t="shared" si="46"/>
        <v>#DIV/0!</v>
      </c>
      <c r="Y88" s="574" t="e">
        <v>#DIV/0!</v>
      </c>
      <c r="Z88" s="563">
        <f t="shared" si="34"/>
        <v>0</v>
      </c>
      <c r="AA88" s="571">
        <v>0</v>
      </c>
      <c r="AB88" s="563" t="e">
        <f t="shared" si="47"/>
        <v>#DIV/0!</v>
      </c>
      <c r="AC88" s="563" t="e">
        <v>#DIV/0!</v>
      </c>
      <c r="AD88" s="563" t="e">
        <v>#DIV/0!</v>
      </c>
      <c r="AE88" s="571" t="e">
        <v>#DIV/0!</v>
      </c>
      <c r="AF88" s="563" t="e">
        <v>#DIV/0!</v>
      </c>
      <c r="AG88" s="575" t="e">
        <f t="shared" si="54"/>
        <v>#DIV/0!</v>
      </c>
      <c r="AH88" s="573" t="e">
        <f t="shared" si="55"/>
        <v>#DIV/0!</v>
      </c>
      <c r="AI88" s="576" t="e">
        <v>#DIV/0!</v>
      </c>
      <c r="AJ88" s="563">
        <f t="shared" si="56"/>
        <v>0</v>
      </c>
      <c r="AK88" s="571">
        <v>0</v>
      </c>
      <c r="AL88" s="563" t="e">
        <f t="shared" si="57"/>
        <v>#DIV/0!</v>
      </c>
      <c r="AM88" s="563" t="e">
        <v>#DIV/0!</v>
      </c>
      <c r="AN88" s="563" t="e">
        <v>#DIV/0!</v>
      </c>
      <c r="AO88" s="563" t="e">
        <v>#DIV/0!</v>
      </c>
      <c r="AP88" s="571" t="e">
        <v>#DIV/0!</v>
      </c>
      <c r="AQ88" s="563" t="e">
        <f t="shared" si="48"/>
        <v>#DIV/0!</v>
      </c>
      <c r="AR88" s="563" t="e">
        <v>#DIV/0!</v>
      </c>
      <c r="AS88" s="563" t="e">
        <v>#DIV/0!</v>
      </c>
      <c r="AT88" s="563">
        <f t="shared" si="58"/>
        <v>0</v>
      </c>
      <c r="AU88" s="577">
        <v>0</v>
      </c>
      <c r="AV88" s="563" t="e">
        <f t="shared" si="59"/>
        <v>#DIV/0!</v>
      </c>
      <c r="AW88" s="563" t="e">
        <v>#DIV/0!</v>
      </c>
      <c r="AX88" s="563" t="e">
        <v>#DIV/0!</v>
      </c>
      <c r="AY88" s="571" t="e">
        <v>#DIV/0!</v>
      </c>
      <c r="AZ88" s="563" t="e">
        <v>#DIV/0!</v>
      </c>
      <c r="BD88" s="580"/>
      <c r="BF88" s="362">
        <f t="shared" si="53"/>
        <v>0</v>
      </c>
      <c r="BG88" s="578"/>
    </row>
    <row r="89" spans="2:59">
      <c r="B89" s="579" t="s">
        <v>148</v>
      </c>
      <c r="C89" s="570">
        <f>D89*P89</f>
        <v>0.51195768758793203</v>
      </c>
      <c r="D89" s="569">
        <f>((E89/O89)-1)*100</f>
        <v>13.145090079277221</v>
      </c>
      <c r="E89" s="571">
        <v>78.65931855997006</v>
      </c>
      <c r="F89" s="563">
        <f t="shared" si="49"/>
        <v>3.6899846167880578E-2</v>
      </c>
      <c r="G89" s="571">
        <v>38081.279999999999</v>
      </c>
      <c r="H89" s="563">
        <f t="shared" si="45"/>
        <v>0.1649780592412628</v>
      </c>
      <c r="I89" s="563">
        <v>9.3704849955498805E-3</v>
      </c>
      <c r="J89" s="563">
        <v>9.6084915433316039E-3</v>
      </c>
      <c r="K89" s="563">
        <v>1.1628309276366655E-2</v>
      </c>
      <c r="L89" s="572">
        <v>1.1438242984497317E-2</v>
      </c>
      <c r="M89" s="570">
        <f t="shared" si="60"/>
        <v>-0.34125433703643432</v>
      </c>
      <c r="N89" s="569">
        <f t="shared" si="50"/>
        <v>-8.6948015066898972</v>
      </c>
      <c r="O89" s="571">
        <v>69.520752959634336</v>
      </c>
      <c r="P89" s="563">
        <f>Q89/Q$112</f>
        <v>3.8946685378369192E-2</v>
      </c>
      <c r="Q89" s="571">
        <v>34174.32</v>
      </c>
      <c r="R89" s="563">
        <f t="shared" si="51"/>
        <v>0.12293253044151733</v>
      </c>
      <c r="S89" s="572">
        <v>9.3532743205124013E-3</v>
      </c>
      <c r="T89" s="563">
        <v>1.0028770578159383E-2</v>
      </c>
      <c r="U89" s="563">
        <v>9.1537127529475164E-3</v>
      </c>
      <c r="V89" s="563">
        <v>8.3738422873859183E-3</v>
      </c>
      <c r="W89" s="570">
        <f t="shared" si="52"/>
        <v>0.23660576856679544</v>
      </c>
      <c r="X89" s="573">
        <f t="shared" si="46"/>
        <v>6.5127925952616739</v>
      </c>
      <c r="Y89" s="574">
        <v>76.141067657531124</v>
      </c>
      <c r="Z89" s="563">
        <f t="shared" si="34"/>
        <v>3.9248088271350262E-2</v>
      </c>
      <c r="AA89" s="571">
        <v>38420.28</v>
      </c>
      <c r="AB89" s="563">
        <f t="shared" si="47"/>
        <v>8.6022930502512113E-2</v>
      </c>
      <c r="AC89" s="563">
        <v>7.4993615725765734E-3</v>
      </c>
      <c r="AD89" s="563">
        <v>8.1532117054211057E-3</v>
      </c>
      <c r="AE89" s="571">
        <v>7.3238436316635774E-3</v>
      </c>
      <c r="AF89" s="563">
        <v>7.1325764769846851E-3</v>
      </c>
      <c r="AG89" s="575">
        <f t="shared" si="54"/>
        <v>0.16426985993536383</v>
      </c>
      <c r="AH89" s="573">
        <f t="shared" si="55"/>
        <v>4.4078860273063958</v>
      </c>
      <c r="AI89" s="576">
        <v>71.485373542744142</v>
      </c>
      <c r="AJ89" s="563">
        <f t="shared" si="56"/>
        <v>3.6329387909410156E-2</v>
      </c>
      <c r="AK89" s="571">
        <v>36490.300000000003</v>
      </c>
      <c r="AL89" s="563">
        <f t="shared" si="57"/>
        <v>5.5913937115866175E-2</v>
      </c>
      <c r="AM89" s="563">
        <v>7.0877104681144228E-3</v>
      </c>
      <c r="AN89" s="563">
        <v>7.621617737225056E-3</v>
      </c>
      <c r="AO89" s="563">
        <v>7.1807214407622541E-3</v>
      </c>
      <c r="AP89" s="571">
        <v>7.0641121218115834E-3</v>
      </c>
      <c r="AQ89" s="563">
        <f t="shared" si="48"/>
        <v>1.5680954401755036</v>
      </c>
      <c r="AR89" s="563">
        <v>42.314296866447791</v>
      </c>
      <c r="AS89" s="563">
        <v>68.467408222448029</v>
      </c>
      <c r="AT89" s="563">
        <f t="shared" si="58"/>
        <v>3.7267265740930942E-2</v>
      </c>
      <c r="AU89" s="577">
        <v>32951.31</v>
      </c>
      <c r="AV89" s="563">
        <f t="shared" si="59"/>
        <v>2.6959775347952859E-2</v>
      </c>
      <c r="AW89" s="563">
        <v>6.5811133144503698E-3</v>
      </c>
      <c r="AX89" s="563">
        <v>6.3185890650116084E-3</v>
      </c>
      <c r="AY89" s="571">
        <v>6.9290613598673306E-3</v>
      </c>
      <c r="AZ89" s="563">
        <v>7.1310116086235487E-3</v>
      </c>
      <c r="BD89" s="580">
        <v>519</v>
      </c>
      <c r="BE89" s="563">
        <v>63.49</v>
      </c>
      <c r="BF89" s="362">
        <f t="shared" si="53"/>
        <v>32951.31</v>
      </c>
      <c r="BG89" s="578">
        <f>+BF89/$BF$112</f>
        <v>3.7058288954315372E-2</v>
      </c>
    </row>
    <row r="90" spans="2:59">
      <c r="B90" s="579" t="s">
        <v>149</v>
      </c>
      <c r="C90" s="570">
        <f>D90*P90</f>
        <v>3.6180337438969631E-2</v>
      </c>
      <c r="D90" s="569">
        <f>((E90/O90)-1)*100</f>
        <v>10.321184386893133</v>
      </c>
      <c r="E90" s="571">
        <v>67.005118469766785</v>
      </c>
      <c r="F90" s="563">
        <f t="shared" si="49"/>
        <v>3.175517149587026E-3</v>
      </c>
      <c r="G90" s="571">
        <v>3277.1886681599999</v>
      </c>
      <c r="H90" s="563">
        <f t="shared" si="45"/>
        <v>0.25336921941202362</v>
      </c>
      <c r="I90" s="563">
        <v>1.5056181715354194E-2</v>
      </c>
      <c r="J90" s="563">
        <v>1.3908821055863749E-2</v>
      </c>
      <c r="K90" s="563">
        <v>1.5688206994214936E-2</v>
      </c>
      <c r="L90" s="572">
        <v>1.5231977632227296E-2</v>
      </c>
      <c r="M90" s="570">
        <f t="shared" si="60"/>
        <v>-3.4232064501505746E-2</v>
      </c>
      <c r="N90" s="569">
        <f t="shared" si="50"/>
        <v>-10.028546294360218</v>
      </c>
      <c r="O90" s="571">
        <v>60.736402389210951</v>
      </c>
      <c r="P90" s="563">
        <f>Q90/Q$112</f>
        <v>3.5054443446350036E-3</v>
      </c>
      <c r="Q90" s="571">
        <v>3075.90172596</v>
      </c>
      <c r="R90" s="563">
        <f t="shared" si="51"/>
        <v>0.19348403201436343</v>
      </c>
      <c r="S90" s="572">
        <v>1.482301145913434E-2</v>
      </c>
      <c r="T90" s="563">
        <v>1.5489590413867488E-2</v>
      </c>
      <c r="U90" s="563">
        <v>1.296915880296989E-2</v>
      </c>
      <c r="V90" s="563">
        <v>1.2583409464214882E-2</v>
      </c>
      <c r="W90" s="570">
        <f t="shared" si="52"/>
        <v>2.5135508490054245E-2</v>
      </c>
      <c r="X90" s="573">
        <f t="shared" si="46"/>
        <v>8.5117352446392189</v>
      </c>
      <c r="Y90" s="574">
        <v>67.506303263613646</v>
      </c>
      <c r="Z90" s="563">
        <f t="shared" si="34"/>
        <v>3.4134622802466327E-3</v>
      </c>
      <c r="AA90" s="571">
        <v>3341.4666128400004</v>
      </c>
      <c r="AB90" s="563">
        <f t="shared" si="47"/>
        <v>0.13761886187417682</v>
      </c>
      <c r="AC90" s="563">
        <v>1.1950973536447081E-2</v>
      </c>
      <c r="AD90" s="563">
        <v>1.4208991577895607E-2</v>
      </c>
      <c r="AE90" s="571">
        <v>1.1756532991247407E-2</v>
      </c>
      <c r="AF90" s="563">
        <v>1.1335282872614686E-2</v>
      </c>
      <c r="AG90" s="575">
        <f t="shared" si="54"/>
        <v>8.8187079370781393E-3</v>
      </c>
      <c r="AH90" s="573">
        <f t="shared" si="55"/>
        <v>2.1567725453157216</v>
      </c>
      <c r="AI90" s="576">
        <v>62.211062344013754</v>
      </c>
      <c r="AJ90" s="563">
        <f t="shared" si="56"/>
        <v>2.9530416263692945E-3</v>
      </c>
      <c r="AK90" s="571">
        <v>2966.1213981199999</v>
      </c>
      <c r="AL90" s="563">
        <f t="shared" si="57"/>
        <v>8.8367080895972033E-2</v>
      </c>
      <c r="AM90" s="563">
        <v>1.1678566807814169E-2</v>
      </c>
      <c r="AN90" s="563">
        <v>1.1525325945004453E-2</v>
      </c>
      <c r="AO90" s="563">
        <v>1.0854720194752714E-2</v>
      </c>
      <c r="AP90" s="571">
        <v>9.9311949274993681E-3</v>
      </c>
      <c r="AQ90" s="563">
        <f t="shared" si="48"/>
        <v>8.1566150969142187E-3</v>
      </c>
      <c r="AR90" s="563">
        <v>2.0060951253747961</v>
      </c>
      <c r="AS90" s="563">
        <v>60.897638789848756</v>
      </c>
      <c r="AT90" s="563">
        <f t="shared" si="58"/>
        <v>4.088844674989686E-3</v>
      </c>
      <c r="AU90" s="577">
        <v>3615.3118762200002</v>
      </c>
      <c r="AV90" s="563">
        <f t="shared" si="59"/>
        <v>4.4377273020901338E-2</v>
      </c>
      <c r="AW90" s="563">
        <v>1.0637011777500267E-2</v>
      </c>
      <c r="AX90" s="563">
        <v>1.259634761872544E-2</v>
      </c>
      <c r="AY90" s="571">
        <v>1.1115499785464538E-2</v>
      </c>
      <c r="AZ90" s="563">
        <v>1.0028413839211098E-2</v>
      </c>
      <c r="BD90" s="580">
        <v>50.443866</v>
      </c>
      <c r="BE90" s="563">
        <v>71.67</v>
      </c>
      <c r="BF90" s="362">
        <f t="shared" si="53"/>
        <v>3615.3118762200002</v>
      </c>
      <c r="BG90" s="578">
        <f>+BF90/$BF$112</f>
        <v>4.0659164133058394E-3</v>
      </c>
    </row>
    <row r="91" spans="2:59">
      <c r="B91" s="563" t="s">
        <v>267</v>
      </c>
      <c r="C91" s="570"/>
      <c r="D91" s="569"/>
      <c r="E91" s="571" t="e">
        <v>#DIV/0!</v>
      </c>
      <c r="F91" s="563" t="s">
        <v>96</v>
      </c>
      <c r="G91" s="571">
        <v>0</v>
      </c>
      <c r="H91" s="563" t="e">
        <f t="shared" si="45"/>
        <v>#DIV/0!</v>
      </c>
      <c r="I91" s="563" t="e">
        <v>#DIV/0!</v>
      </c>
      <c r="J91" s="563" t="e">
        <v>#DIV/0!</v>
      </c>
      <c r="K91" s="563" t="e">
        <v>#DIV/0!</v>
      </c>
      <c r="L91" s="572" t="e">
        <v>#DIV/0!</v>
      </c>
      <c r="M91" s="570"/>
      <c r="N91" s="569"/>
      <c r="O91" s="571" t="e">
        <v>#DIV/0!</v>
      </c>
      <c r="Q91" s="571">
        <v>0</v>
      </c>
      <c r="R91" s="563" t="e">
        <f t="shared" si="51"/>
        <v>#DIV/0!</v>
      </c>
      <c r="S91" s="572" t="e">
        <v>#DIV/0!</v>
      </c>
      <c r="T91" s="563" t="e">
        <v>#DIV/0!</v>
      </c>
      <c r="U91" s="563" t="e">
        <v>#DIV/0!</v>
      </c>
      <c r="V91" s="563" t="e">
        <v>#DIV/0!</v>
      </c>
      <c r="W91" s="570"/>
      <c r="X91" s="573" t="e">
        <f t="shared" si="46"/>
        <v>#DIV/0!</v>
      </c>
      <c r="Y91" s="574" t="e">
        <v>#DIV/0!</v>
      </c>
      <c r="Z91" s="563">
        <f t="shared" si="34"/>
        <v>0</v>
      </c>
      <c r="AA91" s="571">
        <v>0</v>
      </c>
      <c r="AB91" s="563" t="e">
        <f t="shared" si="47"/>
        <v>#DIV/0!</v>
      </c>
      <c r="AC91" s="563" t="e">
        <v>#DIV/0!</v>
      </c>
      <c r="AD91" s="563" t="e">
        <v>#DIV/0!</v>
      </c>
      <c r="AE91" s="571" t="e">
        <v>#DIV/0!</v>
      </c>
      <c r="AF91" s="563" t="e">
        <v>#DIV/0!</v>
      </c>
      <c r="AG91" s="575" t="e">
        <f t="shared" si="54"/>
        <v>#DIV/0!</v>
      </c>
      <c r="AH91" s="573" t="e">
        <f t="shared" si="55"/>
        <v>#DIV/0!</v>
      </c>
      <c r="AI91" s="576" t="e">
        <v>#DIV/0!</v>
      </c>
      <c r="AJ91" s="563">
        <f t="shared" si="56"/>
        <v>0</v>
      </c>
      <c r="AK91" s="571">
        <v>0</v>
      </c>
      <c r="AL91" s="563" t="e">
        <f t="shared" si="57"/>
        <v>#DIV/0!</v>
      </c>
      <c r="AM91" s="563" t="e">
        <v>#DIV/0!</v>
      </c>
      <c r="AN91" s="563" t="e">
        <v>#DIV/0!</v>
      </c>
      <c r="AO91" s="563" t="e">
        <v>#DIV/0!</v>
      </c>
      <c r="AP91" s="571" t="e">
        <v>#DIV/0!</v>
      </c>
      <c r="AQ91" s="563" t="e">
        <f t="shared" si="48"/>
        <v>#DIV/0!</v>
      </c>
      <c r="AR91" s="563" t="e">
        <v>#DIV/0!</v>
      </c>
      <c r="AS91" s="563" t="e">
        <v>#DIV/0!</v>
      </c>
      <c r="AT91" s="563">
        <f t="shared" si="58"/>
        <v>0</v>
      </c>
      <c r="AU91" s="577">
        <v>0</v>
      </c>
      <c r="AV91" s="563" t="e">
        <f t="shared" si="59"/>
        <v>#DIV/0!</v>
      </c>
      <c r="AW91" s="563" t="e">
        <v>#DIV/0!</v>
      </c>
      <c r="AX91" s="563" t="e">
        <v>#DIV/0!</v>
      </c>
      <c r="AY91" s="571" t="e">
        <v>#DIV/0!</v>
      </c>
      <c r="AZ91" s="563" t="e">
        <v>#DIV/0!</v>
      </c>
      <c r="BD91" s="580"/>
      <c r="BF91" s="362">
        <f t="shared" si="53"/>
        <v>0</v>
      </c>
      <c r="BG91" s="578"/>
    </row>
    <row r="92" spans="2:59">
      <c r="B92" s="579" t="s">
        <v>150</v>
      </c>
      <c r="C92" s="570">
        <f>D92*P92</f>
        <v>0.53140829730238393</v>
      </c>
      <c r="D92" s="569">
        <f>((E92/O92)-1)*100</f>
        <v>12.251062362450282</v>
      </c>
      <c r="E92" s="571">
        <v>20.250091650186032</v>
      </c>
      <c r="F92" s="563">
        <f t="shared" si="49"/>
        <v>4.1786760320087789E-2</v>
      </c>
      <c r="G92" s="571">
        <v>43124.659999999996</v>
      </c>
      <c r="H92" s="563">
        <f t="shared" si="45"/>
        <v>3.4733226058488941E-3</v>
      </c>
      <c r="I92" s="563">
        <v>1.2416150984977097E-3</v>
      </c>
      <c r="J92" s="563">
        <v>5.0668943756691169E-4</v>
      </c>
      <c r="K92" s="563">
        <v>5.7339726277606427E-4</v>
      </c>
      <c r="L92" s="572">
        <v>5.9698963673643899E-4</v>
      </c>
      <c r="M92" s="570">
        <f>N92*Z92</f>
        <v>0.36130656383401677</v>
      </c>
      <c r="N92" s="569">
        <f t="shared" si="50"/>
        <v>10.947109471094718</v>
      </c>
      <c r="O92" s="571">
        <v>18.040000000000003</v>
      </c>
      <c r="P92" s="563">
        <f>Q92/Q$112</f>
        <v>4.3376507406505373E-2</v>
      </c>
      <c r="Q92" s="571">
        <v>38061.33</v>
      </c>
      <c r="R92" s="563">
        <f t="shared" si="51"/>
        <v>5.5463117027176921E-4</v>
      </c>
      <c r="S92" s="572">
        <v>5.5463117027176921E-4</v>
      </c>
      <c r="T92" s="563">
        <v>0</v>
      </c>
      <c r="U92" s="563">
        <v>0</v>
      </c>
      <c r="V92" s="563">
        <v>0</v>
      </c>
      <c r="W92" s="570">
        <f t="shared" si="52"/>
        <v>0.81421364088740877</v>
      </c>
      <c r="X92" s="573">
        <f t="shared" si="46"/>
        <v>33.937397034596373</v>
      </c>
      <c r="Y92" s="574">
        <v>16.260000000000002</v>
      </c>
      <c r="Z92" s="563">
        <f t="shared" si="34"/>
        <v>3.3004745662590498E-2</v>
      </c>
      <c r="AA92" s="571">
        <v>32308.620000000003</v>
      </c>
      <c r="AB92" s="563">
        <f t="shared" si="47"/>
        <v>0</v>
      </c>
      <c r="AC92" s="563">
        <v>0</v>
      </c>
      <c r="AD92" s="563">
        <v>0</v>
      </c>
      <c r="AE92" s="571">
        <v>0</v>
      </c>
      <c r="AF92" s="563">
        <v>0</v>
      </c>
      <c r="AG92" s="575">
        <f t="shared" si="54"/>
        <v>-1.6702135297007616E-2</v>
      </c>
      <c r="AH92" s="573">
        <f t="shared" si="55"/>
        <v>-2.5682182985553803</v>
      </c>
      <c r="AI92" s="576">
        <v>12.14</v>
      </c>
      <c r="AJ92" s="563">
        <f t="shared" si="56"/>
        <v>2.3991634952362E-2</v>
      </c>
      <c r="AK92" s="571">
        <v>24097.9</v>
      </c>
      <c r="AL92" s="563">
        <f t="shared" si="57"/>
        <v>0</v>
      </c>
      <c r="AM92" s="563">
        <v>0</v>
      </c>
      <c r="AN92" s="563">
        <v>0</v>
      </c>
      <c r="AO92" s="563">
        <v>0</v>
      </c>
      <c r="AP92" s="571">
        <v>0</v>
      </c>
      <c r="AQ92" s="563">
        <f t="shared" si="48"/>
        <v>-0.46695158624556155</v>
      </c>
      <c r="AR92" s="563">
        <v>-72.206111978585767</v>
      </c>
      <c r="AS92" s="563">
        <v>12.46</v>
      </c>
      <c r="AT92" s="563">
        <f t="shared" si="58"/>
        <v>6.5033939312723332E-3</v>
      </c>
      <c r="AU92" s="577">
        <v>5750.23</v>
      </c>
      <c r="AV92" s="563">
        <f t="shared" si="59"/>
        <v>0</v>
      </c>
      <c r="AW92" s="563">
        <v>0</v>
      </c>
      <c r="AX92" s="563">
        <v>0</v>
      </c>
      <c r="AY92" s="571">
        <v>0</v>
      </c>
      <c r="AZ92" s="563">
        <v>0</v>
      </c>
      <c r="BD92" s="580">
        <v>529</v>
      </c>
      <c r="BE92" s="563">
        <v>10.87</v>
      </c>
      <c r="BF92" s="362">
        <f t="shared" si="53"/>
        <v>5750.23</v>
      </c>
      <c r="BG92" s="578">
        <f>+BF92/$BF$112</f>
        <v>6.466926046150301E-3</v>
      </c>
    </row>
    <row r="93" spans="2:59">
      <c r="B93" s="563" t="s">
        <v>268</v>
      </c>
      <c r="C93" s="570"/>
      <c r="D93" s="569"/>
      <c r="E93" s="571" t="e">
        <v>#DIV/0!</v>
      </c>
      <c r="G93" s="571">
        <v>0</v>
      </c>
      <c r="H93" s="563" t="e">
        <f t="shared" si="45"/>
        <v>#DIV/0!</v>
      </c>
      <c r="I93" s="563" t="e">
        <v>#DIV/0!</v>
      </c>
      <c r="J93" s="563" t="e">
        <v>#DIV/0!</v>
      </c>
      <c r="K93" s="563" t="e">
        <v>#DIV/0!</v>
      </c>
      <c r="L93" s="572" t="e">
        <v>#DIV/0!</v>
      </c>
      <c r="M93" s="570"/>
      <c r="N93" s="569"/>
      <c r="O93" s="571" t="e">
        <v>#DIV/0!</v>
      </c>
      <c r="Q93" s="571">
        <v>0</v>
      </c>
      <c r="R93" s="563" t="e">
        <f t="shared" si="51"/>
        <v>#DIV/0!</v>
      </c>
      <c r="S93" s="572" t="e">
        <v>#DIV/0!</v>
      </c>
      <c r="T93" s="563" t="e">
        <v>#DIV/0!</v>
      </c>
      <c r="U93" s="563" t="e">
        <v>#DIV/0!</v>
      </c>
      <c r="V93" s="563" t="e">
        <v>#DIV/0!</v>
      </c>
      <c r="W93" s="570" t="e">
        <f t="shared" si="52"/>
        <v>#DIV/0!</v>
      </c>
      <c r="X93" s="573" t="e">
        <f t="shared" si="46"/>
        <v>#DIV/0!</v>
      </c>
      <c r="Y93" s="574" t="e">
        <v>#DIV/0!</v>
      </c>
      <c r="Z93" s="563">
        <f t="shared" si="34"/>
        <v>0</v>
      </c>
      <c r="AA93" s="571">
        <v>0</v>
      </c>
      <c r="AB93" s="563" t="e">
        <f t="shared" si="47"/>
        <v>#DIV/0!</v>
      </c>
      <c r="AC93" s="563" t="e">
        <v>#DIV/0!</v>
      </c>
      <c r="AD93" s="563" t="e">
        <v>#DIV/0!</v>
      </c>
      <c r="AE93" s="571" t="e">
        <v>#DIV/0!</v>
      </c>
      <c r="AF93" s="563" t="e">
        <v>#DIV/0!</v>
      </c>
      <c r="AG93" s="575" t="e">
        <f t="shared" si="54"/>
        <v>#DIV/0!</v>
      </c>
      <c r="AH93" s="573" t="e">
        <f t="shared" si="55"/>
        <v>#DIV/0!</v>
      </c>
      <c r="AI93" s="576" t="e">
        <v>#DIV/0!</v>
      </c>
      <c r="AJ93" s="563">
        <f t="shared" si="56"/>
        <v>0</v>
      </c>
      <c r="AK93" s="571">
        <v>0</v>
      </c>
      <c r="AL93" s="563" t="e">
        <f t="shared" si="57"/>
        <v>#DIV/0!</v>
      </c>
      <c r="AM93" s="563" t="e">
        <v>#DIV/0!</v>
      </c>
      <c r="AN93" s="563" t="e">
        <v>#DIV/0!</v>
      </c>
      <c r="AO93" s="563" t="e">
        <v>#DIV/0!</v>
      </c>
      <c r="AP93" s="571" t="e">
        <v>#DIV/0!</v>
      </c>
      <c r="AQ93" s="563" t="e">
        <f t="shared" si="48"/>
        <v>#DIV/0!</v>
      </c>
      <c r="AR93" s="563" t="e">
        <v>#DIV/0!</v>
      </c>
      <c r="AS93" s="563" t="e">
        <v>#DIV/0!</v>
      </c>
      <c r="AT93" s="563">
        <f t="shared" si="58"/>
        <v>0</v>
      </c>
      <c r="AU93" s="577">
        <v>0</v>
      </c>
      <c r="AV93" s="563" t="e">
        <f t="shared" si="59"/>
        <v>#DIV/0!</v>
      </c>
      <c r="AW93" s="563" t="e">
        <v>#DIV/0!</v>
      </c>
      <c r="AX93" s="563" t="e">
        <v>#DIV/0!</v>
      </c>
      <c r="AY93" s="571" t="e">
        <v>#DIV/0!</v>
      </c>
      <c r="AZ93" s="563" t="e">
        <v>#DIV/0!</v>
      </c>
      <c r="BD93" s="580"/>
      <c r="BF93" s="362">
        <f t="shared" si="53"/>
        <v>0</v>
      </c>
      <c r="BG93" s="578"/>
    </row>
    <row r="94" spans="2:59">
      <c r="B94" s="579" t="s">
        <v>151</v>
      </c>
      <c r="C94" s="570">
        <f>D94*P94</f>
        <v>0.37345111496348471</v>
      </c>
      <c r="D94" s="569">
        <f>((E94/O94)-1)*100</f>
        <v>9.164512183102147</v>
      </c>
      <c r="E94" s="571">
        <v>45.093071801099157</v>
      </c>
      <c r="F94" s="563">
        <f t="shared" si="49"/>
        <v>3.6581673210257168E-2</v>
      </c>
      <c r="G94" s="571">
        <v>37752.92</v>
      </c>
      <c r="H94" s="563">
        <f t="shared" si="45"/>
        <v>0.19800934646915916</v>
      </c>
      <c r="I94" s="563">
        <v>1.1973791469181497E-2</v>
      </c>
      <c r="J94" s="563">
        <v>1.1011324478377511E-2</v>
      </c>
      <c r="K94" s="563">
        <v>1.2761051946219151E-2</v>
      </c>
      <c r="L94" s="572">
        <v>1.1637944871110533E-2</v>
      </c>
      <c r="M94" s="570">
        <f>N94*Z94</f>
        <v>-0.60393205154767604</v>
      </c>
      <c r="N94" s="569">
        <f t="shared" si="50"/>
        <v>-13.841651696875035</v>
      </c>
      <c r="O94" s="571">
        <v>41.307445889983306</v>
      </c>
      <c r="P94" s="563">
        <f>Q94/Q$112</f>
        <v>4.0749699220441554E-2</v>
      </c>
      <c r="Q94" s="571">
        <v>35756.400000000001</v>
      </c>
      <c r="R94" s="563">
        <f t="shared" si="51"/>
        <v>0.15062523370427047</v>
      </c>
      <c r="S94" s="572">
        <v>1.1423747494030264E-2</v>
      </c>
      <c r="T94" s="563">
        <v>1.0750000918366618E-2</v>
      </c>
      <c r="U94" s="563">
        <v>9.8842465864981636E-3</v>
      </c>
      <c r="V94" s="563">
        <v>9.5309871226966891E-3</v>
      </c>
      <c r="W94" s="570">
        <f t="shared" si="52"/>
        <v>-1.2825644269308423</v>
      </c>
      <c r="X94" s="573">
        <f t="shared" si="46"/>
        <v>-22.781833154942667</v>
      </c>
      <c r="Y94" s="574">
        <v>47.943637155919205</v>
      </c>
      <c r="Z94" s="563">
        <f t="shared" si="34"/>
        <v>4.363150184482846E-2</v>
      </c>
      <c r="AA94" s="571">
        <v>42711.24</v>
      </c>
      <c r="AB94" s="563">
        <f t="shared" si="47"/>
        <v>0.10903625158267874</v>
      </c>
      <c r="AC94" s="563">
        <v>8.59126034106052E-3</v>
      </c>
      <c r="AD94" s="563">
        <v>9.8260515786506037E-3</v>
      </c>
      <c r="AE94" s="571">
        <v>8.0618494691179245E-3</v>
      </c>
      <c r="AF94" s="563">
        <v>7.6168868075347741E-3</v>
      </c>
      <c r="AG94" s="575">
        <f t="shared" si="54"/>
        <v>2.0682427097710945</v>
      </c>
      <c r="AH94" s="573">
        <f t="shared" si="55"/>
        <v>41.225337941836315</v>
      </c>
      <c r="AI94" s="576">
        <v>62.088546147593547</v>
      </c>
      <c r="AJ94" s="563">
        <f t="shared" si="56"/>
        <v>5.6297683255246804E-2</v>
      </c>
      <c r="AK94" s="571">
        <v>56547.040000000001</v>
      </c>
      <c r="AL94" s="563">
        <f t="shared" si="57"/>
        <v>7.4940203386314908E-2</v>
      </c>
      <c r="AM94" s="563">
        <v>7.071670942860481E-3</v>
      </c>
      <c r="AN94" s="563">
        <v>8.3833898847477314E-3</v>
      </c>
      <c r="AO94" s="563">
        <v>9.0675855463154958E-3</v>
      </c>
      <c r="AP94" s="571">
        <v>9.1061185462573448E-3</v>
      </c>
      <c r="AQ94" s="563">
        <f t="shared" si="48"/>
        <v>0.57649800968411347</v>
      </c>
      <c r="AR94" s="563">
        <v>11.555871433748234</v>
      </c>
      <c r="AS94" s="563">
        <v>43.964168932040174</v>
      </c>
      <c r="AT94" s="563">
        <f t="shared" si="58"/>
        <v>5.0169211776726258E-2</v>
      </c>
      <c r="AU94" s="577">
        <v>44359.07</v>
      </c>
      <c r="AV94" s="563">
        <f t="shared" si="59"/>
        <v>4.1311438466133867E-2</v>
      </c>
      <c r="AW94" s="563">
        <v>9.3492547435783391E-3</v>
      </c>
      <c r="AX94" s="563">
        <v>1.0921367787891748E-2</v>
      </c>
      <c r="AY94" s="571">
        <v>1.0649617890654002E-2</v>
      </c>
      <c r="AZ94" s="563">
        <v>1.0391198044009779E-2</v>
      </c>
      <c r="BD94" s="580">
        <v>973</v>
      </c>
      <c r="BE94" s="563">
        <v>45.59</v>
      </c>
      <c r="BF94" s="362">
        <f t="shared" si="53"/>
        <v>44359.07</v>
      </c>
      <c r="BG94" s="578">
        <f>+BF94/$BF$112</f>
        <v>4.9887887122081108E-2</v>
      </c>
    </row>
    <row r="95" spans="2:59">
      <c r="B95" s="563" t="s">
        <v>269</v>
      </c>
      <c r="C95" s="570"/>
      <c r="D95" s="569"/>
      <c r="E95" s="571" t="e">
        <v>#DIV/0!</v>
      </c>
      <c r="G95" s="571">
        <v>0</v>
      </c>
      <c r="H95" s="563" t="e">
        <f t="shared" si="45"/>
        <v>#DIV/0!</v>
      </c>
      <c r="I95" s="563" t="e">
        <v>#DIV/0!</v>
      </c>
      <c r="J95" s="563" t="e">
        <v>#DIV/0!</v>
      </c>
      <c r="K95" s="563" t="e">
        <v>#DIV/0!</v>
      </c>
      <c r="L95" s="572" t="e">
        <v>#DIV/0!</v>
      </c>
      <c r="M95" s="570"/>
      <c r="N95" s="569"/>
      <c r="O95" s="571" t="e">
        <v>#DIV/0!</v>
      </c>
      <c r="Q95" s="571">
        <v>0</v>
      </c>
      <c r="R95" s="563" t="e">
        <f t="shared" si="51"/>
        <v>#DIV/0!</v>
      </c>
      <c r="S95" s="572" t="e">
        <v>#DIV/0!</v>
      </c>
      <c r="T95" s="563" t="e">
        <v>#DIV/0!</v>
      </c>
      <c r="U95" s="563" t="e">
        <v>#DIV/0!</v>
      </c>
      <c r="V95" s="563" t="e">
        <v>#DIV/0!</v>
      </c>
      <c r="W95" s="570" t="e">
        <f t="shared" si="52"/>
        <v>#DIV/0!</v>
      </c>
      <c r="X95" s="573" t="e">
        <f t="shared" si="46"/>
        <v>#DIV/0!</v>
      </c>
      <c r="Y95" s="574" t="e">
        <v>#DIV/0!</v>
      </c>
      <c r="Z95" s="563">
        <f t="shared" si="34"/>
        <v>0</v>
      </c>
      <c r="AA95" s="571">
        <v>0</v>
      </c>
      <c r="AB95" s="563" t="e">
        <f t="shared" si="47"/>
        <v>#DIV/0!</v>
      </c>
      <c r="AC95" s="563" t="e">
        <v>#DIV/0!</v>
      </c>
      <c r="AD95" s="563" t="e">
        <v>#DIV/0!</v>
      </c>
      <c r="AE95" s="571" t="e">
        <v>#DIV/0!</v>
      </c>
      <c r="AF95" s="563" t="e">
        <v>#DIV/0!</v>
      </c>
      <c r="AG95" s="575" t="e">
        <f t="shared" si="54"/>
        <v>#DIV/0!</v>
      </c>
      <c r="AH95" s="573" t="e">
        <f t="shared" si="55"/>
        <v>#DIV/0!</v>
      </c>
      <c r="AI95" s="576" t="e">
        <v>#DIV/0!</v>
      </c>
      <c r="AJ95" s="563">
        <f t="shared" si="56"/>
        <v>0</v>
      </c>
      <c r="AK95" s="571">
        <v>0</v>
      </c>
      <c r="AL95" s="563" t="e">
        <f t="shared" si="57"/>
        <v>#DIV/0!</v>
      </c>
      <c r="AM95" s="563" t="e">
        <v>#DIV/0!</v>
      </c>
      <c r="AN95" s="563" t="e">
        <v>#DIV/0!</v>
      </c>
      <c r="AO95" s="563" t="e">
        <v>#DIV/0!</v>
      </c>
      <c r="AP95" s="571" t="e">
        <v>#DIV/0!</v>
      </c>
      <c r="AQ95" s="563" t="e">
        <f t="shared" si="48"/>
        <v>#DIV/0!</v>
      </c>
      <c r="AR95" s="563" t="e">
        <v>#DIV/0!</v>
      </c>
      <c r="AS95" s="563" t="e">
        <v>#DIV/0!</v>
      </c>
      <c r="AT95" s="563">
        <f t="shared" si="58"/>
        <v>0</v>
      </c>
      <c r="AU95" s="577">
        <v>0</v>
      </c>
      <c r="AV95" s="563" t="e">
        <f t="shared" si="59"/>
        <v>#DIV/0!</v>
      </c>
      <c r="AW95" s="563" t="e">
        <v>#DIV/0!</v>
      </c>
      <c r="AX95" s="563" t="e">
        <v>#DIV/0!</v>
      </c>
      <c r="AY95" s="571" t="e">
        <v>#DIV/0!</v>
      </c>
      <c r="AZ95" s="563" t="e">
        <v>#DIV/0!</v>
      </c>
      <c r="BD95" s="580"/>
      <c r="BF95" s="362">
        <f t="shared" si="53"/>
        <v>0</v>
      </c>
      <c r="BG95" s="578"/>
    </row>
    <row r="96" spans="2:59">
      <c r="B96" s="579" t="s">
        <v>653</v>
      </c>
      <c r="C96" s="570">
        <f>D96*P96</f>
        <v>9.282406243310648E-2</v>
      </c>
      <c r="D96" s="569">
        <f>((E96/O96)-1)*100</f>
        <v>22.743063141327035</v>
      </c>
      <c r="E96" s="571">
        <v>57.569026684852595</v>
      </c>
      <c r="F96" s="563">
        <f t="shared" si="49"/>
        <v>4.3132610807158139E-3</v>
      </c>
      <c r="G96" s="571">
        <v>4451.3600999999999</v>
      </c>
      <c r="H96" s="563">
        <f t="shared" si="45"/>
        <v>0.17081608063560288</v>
      </c>
      <c r="I96" s="563">
        <v>9.6234693733852697E-3</v>
      </c>
      <c r="J96" s="563">
        <v>1.0189936859290254E-2</v>
      </c>
      <c r="K96" s="563">
        <v>1.194225949075934E-2</v>
      </c>
      <c r="L96" s="572">
        <v>1.1607018888395639E-2</v>
      </c>
      <c r="M96" s="570">
        <f t="shared" ref="M96:M103" si="61">N96*Z96</f>
        <v>-5.0921825690611662E-2</v>
      </c>
      <c r="N96" s="569">
        <f t="shared" si="50"/>
        <v>-11.866071757456298</v>
      </c>
      <c r="O96" s="571">
        <v>46.902061274588938</v>
      </c>
      <c r="P96" s="563">
        <f>Q96/Q$112</f>
        <v>4.0814230632123328E-3</v>
      </c>
      <c r="Q96" s="571">
        <v>3581.3024</v>
      </c>
      <c r="R96" s="563">
        <f t="shared" si="51"/>
        <v>0.12745339602377237</v>
      </c>
      <c r="S96" s="572">
        <v>1.0405196569436422E-2</v>
      </c>
      <c r="T96" s="563">
        <v>9.1271238574724793E-3</v>
      </c>
      <c r="U96" s="563">
        <v>8.9549897241292635E-3</v>
      </c>
      <c r="V96" s="563">
        <v>8.234263449884904E-3</v>
      </c>
      <c r="W96" s="570">
        <f t="shared" si="52"/>
        <v>3.9803910663690385E-2</v>
      </c>
      <c r="X96" s="573">
        <f t="shared" si="46"/>
        <v>10.184111117074156</v>
      </c>
      <c r="Y96" s="574">
        <v>53.216805616010816</v>
      </c>
      <c r="Z96" s="563">
        <f t="shared" si="34"/>
        <v>4.2913802251881589E-3</v>
      </c>
      <c r="AA96" s="571">
        <v>4200.8677900000002</v>
      </c>
      <c r="AB96" s="563">
        <f t="shared" si="47"/>
        <v>9.0731822422849301E-2</v>
      </c>
      <c r="AC96" s="563">
        <v>8.1542784873192727E-3</v>
      </c>
      <c r="AD96" s="563">
        <v>8.1644120561574877E-3</v>
      </c>
      <c r="AE96" s="571">
        <v>7.7576970199591073E-3</v>
      </c>
      <c r="AF96" s="563">
        <v>7.7193265708053556E-3</v>
      </c>
      <c r="AG96" s="575">
        <f t="shared" si="54"/>
        <v>-1.5761361629687717E-2</v>
      </c>
      <c r="AH96" s="573">
        <f t="shared" si="55"/>
        <v>-3.4352040879035539</v>
      </c>
      <c r="AI96" s="576">
        <v>48.298075899043418</v>
      </c>
      <c r="AJ96" s="563">
        <f t="shared" si="56"/>
        <v>3.9084324793900961E-3</v>
      </c>
      <c r="AK96" s="571">
        <v>3925.7439199999999</v>
      </c>
      <c r="AL96" s="563">
        <f t="shared" si="57"/>
        <v>5.8936108288608083E-2</v>
      </c>
      <c r="AM96" s="563">
        <v>7.5494220509283085E-3</v>
      </c>
      <c r="AN96" s="563">
        <v>6.9131986095033911E-3</v>
      </c>
      <c r="AO96" s="563">
        <v>6.9670567177193901E-3</v>
      </c>
      <c r="AP96" s="571">
        <v>6.88133980301098E-3</v>
      </c>
      <c r="AQ96" s="563">
        <f t="shared" si="48"/>
        <v>0.10790003181241016</v>
      </c>
      <c r="AR96" s="563">
        <v>23.649531944238177</v>
      </c>
      <c r="AS96" s="563">
        <v>50.016235671444349</v>
      </c>
      <c r="AT96" s="563">
        <f t="shared" si="58"/>
        <v>4.5881878416448333E-3</v>
      </c>
      <c r="AU96" s="577">
        <v>4056.8256592600001</v>
      </c>
      <c r="AV96" s="563">
        <f t="shared" si="59"/>
        <v>3.0625091107446011E-2</v>
      </c>
      <c r="AW96" s="563">
        <v>6.9084524860602492E-3</v>
      </c>
      <c r="AX96" s="563">
        <v>7.5603210177382441E-3</v>
      </c>
      <c r="AY96" s="571">
        <v>8.064212340489622E-3</v>
      </c>
      <c r="AZ96" s="563">
        <v>8.0921052631578953E-3</v>
      </c>
      <c r="BD96" s="580">
        <v>80.000506000000001</v>
      </c>
      <c r="BE96" s="563">
        <v>50.71</v>
      </c>
      <c r="BF96" s="362">
        <f t="shared" si="53"/>
        <v>4056.8256592600001</v>
      </c>
      <c r="BG96" s="578">
        <f>+BF96/$BF$112</f>
        <v>4.562459505195334E-3</v>
      </c>
    </row>
    <row r="97" spans="2:59">
      <c r="B97" s="579" t="s">
        <v>152</v>
      </c>
      <c r="C97" s="570">
        <f>D97*P97</f>
        <v>1.4747982717799288</v>
      </c>
      <c r="D97" s="569">
        <f>((E97/O97)-1)*100</f>
        <v>42.49483970618855</v>
      </c>
      <c r="E97" s="571">
        <v>100.51277819227468</v>
      </c>
      <c r="F97" s="563">
        <f t="shared" si="49"/>
        <v>4.0770653332993706E-2</v>
      </c>
      <c r="G97" s="571">
        <v>42076.02</v>
      </c>
      <c r="H97" s="563">
        <f t="shared" si="45"/>
        <v>0.18964111956769664</v>
      </c>
      <c r="I97" s="563">
        <v>8.388584695506145E-3</v>
      </c>
      <c r="J97" s="563">
        <v>7.8916771063725025E-3</v>
      </c>
      <c r="K97" s="563">
        <v>9.4753232121062014E-3</v>
      </c>
      <c r="L97" s="572">
        <v>1.0364074216862971E-2</v>
      </c>
      <c r="M97" s="570">
        <f t="shared" si="61"/>
        <v>0.11219649033297822</v>
      </c>
      <c r="N97" s="569">
        <f t="shared" si="50"/>
        <v>3.6067581406378446</v>
      </c>
      <c r="O97" s="571">
        <v>70.537837299598309</v>
      </c>
      <c r="P97" s="563">
        <f>Q97/Q$112</f>
        <v>3.4705349684261852E-2</v>
      </c>
      <c r="Q97" s="571">
        <v>30452.7</v>
      </c>
      <c r="R97" s="563">
        <f t="shared" si="51"/>
        <v>0.15352146033684883</v>
      </c>
      <c r="S97" s="572">
        <v>1.0653065981723974E-2</v>
      </c>
      <c r="T97" s="563">
        <v>1.1333246081809693E-2</v>
      </c>
      <c r="U97" s="563">
        <v>1.0208531727062197E-2</v>
      </c>
      <c r="V97" s="563">
        <v>1.0142116334994671E-2</v>
      </c>
      <c r="W97" s="570">
        <f t="shared" si="52"/>
        <v>-0.16600730026834418</v>
      </c>
      <c r="X97" s="573">
        <f t="shared" si="46"/>
        <v>-4.9578670734466428</v>
      </c>
      <c r="Y97" s="574">
        <v>68.082274327943807</v>
      </c>
      <c r="Z97" s="563">
        <f t="shared" si="34"/>
        <v>3.1107295238026855E-2</v>
      </c>
      <c r="AA97" s="571">
        <v>30451.190000000002</v>
      </c>
      <c r="AB97" s="563">
        <f t="shared" si="47"/>
        <v>0.11118450021125828</v>
      </c>
      <c r="AC97" s="563">
        <v>9.7078082852949301E-3</v>
      </c>
      <c r="AD97" s="563">
        <v>1.0477319246785632E-2</v>
      </c>
      <c r="AE97" s="571">
        <v>9.2312701542895011E-3</v>
      </c>
      <c r="AF97" s="563">
        <v>8.2811847939245776E-3</v>
      </c>
      <c r="AG97" s="575">
        <f t="shared" si="54"/>
        <v>0.61551787928857449</v>
      </c>
      <c r="AH97" s="573">
        <f t="shared" si="55"/>
        <v>18.286702053785643</v>
      </c>
      <c r="AI97" s="576">
        <v>71.633782020187212</v>
      </c>
      <c r="AJ97" s="563">
        <f t="shared" si="56"/>
        <v>3.3483612571512153E-2</v>
      </c>
      <c r="AK97" s="571">
        <v>33631.920000000006</v>
      </c>
      <c r="AL97" s="563">
        <f t="shared" si="57"/>
        <v>7.3486917730963636E-2</v>
      </c>
      <c r="AM97" s="563">
        <v>8.14215240991659E-3</v>
      </c>
      <c r="AN97" s="563">
        <v>8.8475139279227174E-3</v>
      </c>
      <c r="AO97" s="563">
        <v>8.942964285651344E-3</v>
      </c>
      <c r="AP97" s="571">
        <v>8.7986279055469567E-3</v>
      </c>
      <c r="AQ97" s="563">
        <f t="shared" si="48"/>
        <v>0.58878665300276833</v>
      </c>
      <c r="AR97" s="563">
        <v>17.59117462421802</v>
      </c>
      <c r="AS97" s="563">
        <v>60.559454931472281</v>
      </c>
      <c r="AT97" s="563">
        <f t="shared" si="58"/>
        <v>3.3659315795608553E-2</v>
      </c>
      <c r="AU97" s="577">
        <v>29761.199999999997</v>
      </c>
      <c r="AV97" s="563">
        <f t="shared" si="59"/>
        <v>3.8755659201926029E-2</v>
      </c>
      <c r="AW97" s="563">
        <v>8.6577695698068328E-3</v>
      </c>
      <c r="AX97" s="563">
        <v>9.1109741140747019E-3</v>
      </c>
      <c r="AY97" s="571">
        <v>1.0076205208536592E-2</v>
      </c>
      <c r="AZ97" s="563">
        <v>1.0910710309507906E-2</v>
      </c>
      <c r="BD97" s="580">
        <v>504</v>
      </c>
      <c r="BE97" s="563">
        <v>59.05</v>
      </c>
      <c r="BF97" s="362">
        <f t="shared" si="53"/>
        <v>29761.199999999997</v>
      </c>
      <c r="BG97" s="578">
        <f>+BF97/$BF$112</f>
        <v>3.3470570645815621E-2</v>
      </c>
    </row>
    <row r="98" spans="2:59">
      <c r="B98" s="563" t="s">
        <v>270</v>
      </c>
      <c r="C98" s="570"/>
      <c r="D98" s="569"/>
      <c r="E98" s="571" t="e">
        <v>#DIV/0!</v>
      </c>
      <c r="F98" s="563">
        <f t="shared" si="49"/>
        <v>0</v>
      </c>
      <c r="G98" s="571">
        <v>0</v>
      </c>
      <c r="H98" s="563" t="e">
        <f t="shared" si="45"/>
        <v>#DIV/0!</v>
      </c>
      <c r="I98" s="563" t="e">
        <v>#DIV/0!</v>
      </c>
      <c r="J98" s="563" t="e">
        <v>#DIV/0!</v>
      </c>
      <c r="K98" s="563" t="e">
        <v>#DIV/0!</v>
      </c>
      <c r="L98" s="572" t="e">
        <v>#DIV/0!</v>
      </c>
      <c r="M98" s="570" t="e">
        <f t="shared" si="61"/>
        <v>#DIV/0!</v>
      </c>
      <c r="N98" s="569" t="e">
        <f t="shared" si="50"/>
        <v>#DIV/0!</v>
      </c>
      <c r="O98" s="571" t="e">
        <v>#DIV/0!</v>
      </c>
      <c r="Q98" s="571">
        <v>0</v>
      </c>
      <c r="R98" s="563" t="e">
        <f t="shared" si="51"/>
        <v>#DIV/0!</v>
      </c>
      <c r="S98" s="572" t="e">
        <v>#DIV/0!</v>
      </c>
      <c r="T98" s="563" t="e">
        <v>#DIV/0!</v>
      </c>
      <c r="U98" s="563" t="e">
        <v>#DIV/0!</v>
      </c>
      <c r="V98" s="563" t="e">
        <v>#DIV/0!</v>
      </c>
      <c r="W98" s="570" t="e">
        <f t="shared" si="52"/>
        <v>#DIV/0!</v>
      </c>
      <c r="X98" s="573" t="e">
        <f t="shared" si="46"/>
        <v>#DIV/0!</v>
      </c>
      <c r="Y98" s="574" t="e">
        <v>#DIV/0!</v>
      </c>
      <c r="Z98" s="563">
        <f t="shared" si="34"/>
        <v>0</v>
      </c>
      <c r="AA98" s="571">
        <v>0</v>
      </c>
      <c r="AB98" s="563" t="e">
        <f t="shared" si="47"/>
        <v>#DIV/0!</v>
      </c>
      <c r="AC98" s="563" t="e">
        <v>#DIV/0!</v>
      </c>
      <c r="AD98" s="563" t="e">
        <v>#DIV/0!</v>
      </c>
      <c r="AE98" s="571" t="e">
        <v>#DIV/0!</v>
      </c>
      <c r="AF98" s="563" t="e">
        <v>#DIV/0!</v>
      </c>
      <c r="AG98" s="575" t="e">
        <f t="shared" si="54"/>
        <v>#DIV/0!</v>
      </c>
      <c r="AH98" s="573" t="e">
        <f t="shared" si="55"/>
        <v>#DIV/0!</v>
      </c>
      <c r="AI98" s="576" t="e">
        <v>#DIV/0!</v>
      </c>
      <c r="AJ98" s="563">
        <f t="shared" si="56"/>
        <v>0</v>
      </c>
      <c r="AK98" s="571">
        <v>0</v>
      </c>
      <c r="AL98" s="563" t="e">
        <f t="shared" si="57"/>
        <v>#DIV/0!</v>
      </c>
      <c r="AM98" s="563" t="e">
        <v>#DIV/0!</v>
      </c>
      <c r="AN98" s="563" t="e">
        <v>#DIV/0!</v>
      </c>
      <c r="AO98" s="563" t="e">
        <v>#DIV/0!</v>
      </c>
      <c r="AP98" s="571" t="e">
        <v>#DIV/0!</v>
      </c>
      <c r="AQ98" s="563" t="e">
        <f t="shared" si="48"/>
        <v>#DIV/0!</v>
      </c>
      <c r="AR98" s="563" t="e">
        <v>#DIV/0!</v>
      </c>
      <c r="AS98" s="563" t="e">
        <v>#DIV/0!</v>
      </c>
      <c r="AT98" s="563">
        <f t="shared" si="58"/>
        <v>0</v>
      </c>
      <c r="AU98" s="577">
        <v>0</v>
      </c>
      <c r="AV98" s="563" t="e">
        <f t="shared" si="59"/>
        <v>#DIV/0!</v>
      </c>
      <c r="AW98" s="563" t="e">
        <v>#DIV/0!</v>
      </c>
      <c r="AX98" s="563" t="e">
        <v>#DIV/0!</v>
      </c>
      <c r="AY98" s="571" t="e">
        <v>#DIV/0!</v>
      </c>
      <c r="AZ98" s="563" t="e">
        <v>#DIV/0!</v>
      </c>
      <c r="BD98" s="580"/>
      <c r="BF98" s="362">
        <f t="shared" si="53"/>
        <v>0</v>
      </c>
      <c r="BG98" s="578"/>
    </row>
    <row r="99" spans="2:59">
      <c r="B99" s="563" t="s">
        <v>271</v>
      </c>
      <c r="C99" s="570"/>
      <c r="D99" s="569"/>
      <c r="E99" s="571" t="e">
        <v>#DIV/0!</v>
      </c>
      <c r="G99" s="571">
        <v>0</v>
      </c>
      <c r="H99" s="563" t="e">
        <f t="shared" si="45"/>
        <v>#DIV/0!</v>
      </c>
      <c r="I99" s="563" t="e">
        <v>#DIV/0!</v>
      </c>
      <c r="J99" s="563" t="e">
        <v>#DIV/0!</v>
      </c>
      <c r="K99" s="563" t="e">
        <v>#DIV/0!</v>
      </c>
      <c r="L99" s="572" t="e">
        <v>#DIV/0!</v>
      </c>
      <c r="M99" s="570" t="e">
        <f t="shared" si="61"/>
        <v>#DIV/0!</v>
      </c>
      <c r="N99" s="569" t="e">
        <f t="shared" si="50"/>
        <v>#DIV/0!</v>
      </c>
      <c r="O99" s="571" t="e">
        <v>#DIV/0!</v>
      </c>
      <c r="Q99" s="571">
        <v>0</v>
      </c>
      <c r="R99" s="563" t="e">
        <f t="shared" si="51"/>
        <v>#DIV/0!</v>
      </c>
      <c r="S99" s="572" t="e">
        <v>#DIV/0!</v>
      </c>
      <c r="T99" s="563" t="e">
        <v>#DIV/0!</v>
      </c>
      <c r="U99" s="563" t="e">
        <v>#DIV/0!</v>
      </c>
      <c r="V99" s="563" t="e">
        <v>#DIV/0!</v>
      </c>
      <c r="W99" s="570" t="e">
        <f t="shared" si="52"/>
        <v>#DIV/0!</v>
      </c>
      <c r="X99" s="573" t="e">
        <f t="shared" si="46"/>
        <v>#DIV/0!</v>
      </c>
      <c r="Y99" s="574" t="e">
        <v>#DIV/0!</v>
      </c>
      <c r="Z99" s="563">
        <f t="shared" si="34"/>
        <v>0</v>
      </c>
      <c r="AA99" s="571">
        <v>0</v>
      </c>
      <c r="AB99" s="563" t="e">
        <f t="shared" si="47"/>
        <v>#DIV/0!</v>
      </c>
      <c r="AC99" s="563" t="e">
        <v>#DIV/0!</v>
      </c>
      <c r="AD99" s="563" t="e">
        <v>#DIV/0!</v>
      </c>
      <c r="AE99" s="571" t="e">
        <v>#DIV/0!</v>
      </c>
      <c r="AF99" s="563" t="e">
        <v>#DIV/0!</v>
      </c>
      <c r="AG99" s="575" t="e">
        <f t="shared" si="54"/>
        <v>#DIV/0!</v>
      </c>
      <c r="AH99" s="573" t="e">
        <f t="shared" si="55"/>
        <v>#DIV/0!</v>
      </c>
      <c r="AI99" s="576" t="e">
        <v>#DIV/0!</v>
      </c>
      <c r="AJ99" s="563">
        <f t="shared" si="56"/>
        <v>0</v>
      </c>
      <c r="AK99" s="571">
        <v>0</v>
      </c>
      <c r="AL99" s="563" t="e">
        <f t="shared" si="57"/>
        <v>#DIV/0!</v>
      </c>
      <c r="AM99" s="563" t="e">
        <v>#DIV/0!</v>
      </c>
      <c r="AN99" s="563" t="e">
        <v>#DIV/0!</v>
      </c>
      <c r="AO99" s="563" t="e">
        <v>#DIV/0!</v>
      </c>
      <c r="AP99" s="571" t="e">
        <v>#DIV/0!</v>
      </c>
      <c r="AQ99" s="563" t="e">
        <f t="shared" si="48"/>
        <v>#DIV/0!</v>
      </c>
      <c r="AR99" s="563" t="e">
        <v>#DIV/0!</v>
      </c>
      <c r="AS99" s="563" t="e">
        <v>#DIV/0!</v>
      </c>
      <c r="AT99" s="563">
        <f t="shared" si="58"/>
        <v>0</v>
      </c>
      <c r="AU99" s="577">
        <v>0</v>
      </c>
      <c r="AV99" s="563" t="e">
        <f t="shared" si="59"/>
        <v>#DIV/0!</v>
      </c>
      <c r="AW99" s="563" t="e">
        <v>#DIV/0!</v>
      </c>
      <c r="AX99" s="563" t="e">
        <v>#DIV/0!</v>
      </c>
      <c r="AY99" s="571" t="e">
        <v>#DIV/0!</v>
      </c>
      <c r="AZ99" s="563" t="e">
        <v>#DIV/0!</v>
      </c>
      <c r="BD99" s="580"/>
      <c r="BF99" s="362">
        <f t="shared" si="53"/>
        <v>0</v>
      </c>
      <c r="BG99" s="578"/>
    </row>
    <row r="100" spans="2:59">
      <c r="B100" s="579" t="s">
        <v>654</v>
      </c>
      <c r="C100" s="570">
        <f>D100*P100</f>
        <v>1.1319410709061855</v>
      </c>
      <c r="D100" s="569">
        <f>((E100/O100)-1)*100</f>
        <v>21.095646999662911</v>
      </c>
      <c r="E100" s="571">
        <v>103.10938522318693</v>
      </c>
      <c r="F100" s="563">
        <f t="shared" si="49"/>
        <v>5.3868016431937712E-2</v>
      </c>
      <c r="G100" s="571">
        <v>55592.725439999995</v>
      </c>
      <c r="H100" s="563">
        <f t="shared" si="45"/>
        <v>0.17543758804362683</v>
      </c>
      <c r="I100" s="563">
        <v>8.2496185712819629E-3</v>
      </c>
      <c r="J100" s="563">
        <v>8.5893951462653276E-3</v>
      </c>
      <c r="K100" s="563">
        <v>9.3679070954899493E-3</v>
      </c>
      <c r="L100" s="572">
        <v>9.8346861791989738E-3</v>
      </c>
      <c r="M100" s="570">
        <f t="shared" si="61"/>
        <v>-2.4862651879645976</v>
      </c>
      <c r="N100" s="569">
        <f t="shared" si="50"/>
        <v>-50.04016083614502</v>
      </c>
      <c r="O100" s="571">
        <v>85.147061663970433</v>
      </c>
      <c r="P100" s="563">
        <f>Q100/Q$112</f>
        <v>5.3657565986209042E-2</v>
      </c>
      <c r="Q100" s="571">
        <v>47082.590279999997</v>
      </c>
      <c r="R100" s="563">
        <f t="shared" si="51"/>
        <v>0.13939598105139062</v>
      </c>
      <c r="S100" s="572">
        <v>9.0002072183946544E-3</v>
      </c>
      <c r="T100" s="563">
        <v>9.8008813906103089E-3</v>
      </c>
      <c r="U100" s="563">
        <v>9.0850791797686247E-3</v>
      </c>
      <c r="V100" s="563">
        <v>8.6819604711684557E-3</v>
      </c>
      <c r="W100" s="570">
        <f t="shared" si="52"/>
        <v>0.85362299126991126</v>
      </c>
      <c r="X100" s="573">
        <f t="shared" si="46"/>
        <v>20.309750424536865</v>
      </c>
      <c r="Y100" s="574">
        <v>170.43101637039047</v>
      </c>
      <c r="Z100" s="563">
        <f t="shared" si="34"/>
        <v>4.9685395618647134E-2</v>
      </c>
      <c r="AA100" s="571">
        <v>48637.446959999994</v>
      </c>
      <c r="AB100" s="563">
        <f t="shared" si="47"/>
        <v>0.10282785279144857</v>
      </c>
      <c r="AC100" s="563">
        <v>8.1108513437146094E-3</v>
      </c>
      <c r="AD100" s="563">
        <v>8.2963296598448262E-3</v>
      </c>
      <c r="AE100" s="571">
        <v>8.2155114697826034E-3</v>
      </c>
      <c r="AF100" s="563">
        <v>7.2935628072208197E-3</v>
      </c>
      <c r="AG100" s="575">
        <f t="shared" si="54"/>
        <v>0.34954569545269892</v>
      </c>
      <c r="AH100" s="573">
        <f t="shared" si="55"/>
        <v>7.3561400321842774</v>
      </c>
      <c r="AI100" s="576">
        <v>141.66018611873997</v>
      </c>
      <c r="AJ100" s="563">
        <f t="shared" si="56"/>
        <v>4.2030205858099655E-2</v>
      </c>
      <c r="AK100" s="571">
        <v>42216.368320000001</v>
      </c>
      <c r="AL100" s="563">
        <f t="shared" si="57"/>
        <v>7.0911597510885716E-2</v>
      </c>
      <c r="AM100" s="563">
        <v>8.8319295041383583E-3</v>
      </c>
      <c r="AN100" s="563">
        <v>9.1558592069547178E-3</v>
      </c>
      <c r="AO100" s="563">
        <v>8.6705808480294355E-3</v>
      </c>
      <c r="AP100" s="571">
        <v>8.5927479858388649E-3</v>
      </c>
      <c r="AQ100" s="563">
        <f t="shared" si="48"/>
        <v>1.1063039359962932</v>
      </c>
      <c r="AR100" s="563">
        <v>23.413301302336698</v>
      </c>
      <c r="AS100" s="563">
        <v>131.95350175245841</v>
      </c>
      <c r="AT100" s="563">
        <f t="shared" si="58"/>
        <v>4.7517542341959394E-2</v>
      </c>
      <c r="AU100" s="577">
        <v>42014.4928</v>
      </c>
      <c r="AV100" s="563">
        <f t="shared" si="59"/>
        <v>3.5660479965924335E-2</v>
      </c>
      <c r="AW100" s="563">
        <v>8.4252477643096072E-3</v>
      </c>
      <c r="AX100" s="563">
        <v>8.9900826401799524E-3</v>
      </c>
      <c r="AY100" s="571">
        <v>8.9965434901010284E-3</v>
      </c>
      <c r="AZ100" s="563">
        <v>9.2486060713337457E-3</v>
      </c>
      <c r="BD100" s="580">
        <v>277.36</v>
      </c>
      <c r="BE100" s="563">
        <v>151.47999999999999</v>
      </c>
      <c r="BF100" s="362">
        <f t="shared" si="53"/>
        <v>42014.4928</v>
      </c>
      <c r="BG100" s="578">
        <f>+BF100/$BF$112</f>
        <v>4.7251086965932547E-2</v>
      </c>
    </row>
    <row r="101" spans="2:59">
      <c r="B101" s="563" t="s">
        <v>154</v>
      </c>
      <c r="C101" s="570"/>
      <c r="D101" s="569"/>
      <c r="E101" s="571" t="e">
        <v>#DIV/0!</v>
      </c>
      <c r="F101" s="563">
        <f t="shared" si="49"/>
        <v>0</v>
      </c>
      <c r="G101" s="571">
        <v>0</v>
      </c>
      <c r="H101" s="563" t="e">
        <f t="shared" si="45"/>
        <v>#DIV/0!</v>
      </c>
      <c r="I101" s="563" t="e">
        <v>#DIV/0!</v>
      </c>
      <c r="J101" s="563" t="e">
        <v>#DIV/0!</v>
      </c>
      <c r="K101" s="563" t="e">
        <v>#DIV/0!</v>
      </c>
      <c r="L101" s="572" t="e">
        <v>#DIV/0!</v>
      </c>
      <c r="M101" s="570" t="e">
        <f t="shared" si="61"/>
        <v>#DIV/0!</v>
      </c>
      <c r="N101" s="569" t="e">
        <f t="shared" si="50"/>
        <v>#DIV/0!</v>
      </c>
      <c r="O101" s="571" t="e">
        <v>#DIV/0!</v>
      </c>
      <c r="Q101" s="571">
        <v>0</v>
      </c>
      <c r="R101" s="563" t="e">
        <f t="shared" si="51"/>
        <v>#DIV/0!</v>
      </c>
      <c r="S101" s="572" t="e">
        <v>#DIV/0!</v>
      </c>
      <c r="T101" s="563" t="e">
        <v>#DIV/0!</v>
      </c>
      <c r="U101" s="563" t="e">
        <v>#DIV/0!</v>
      </c>
      <c r="V101" s="563" t="e">
        <v>#DIV/0!</v>
      </c>
      <c r="W101" s="570" t="e">
        <f t="shared" si="52"/>
        <v>#DIV/0!</v>
      </c>
      <c r="X101" s="573" t="e">
        <f t="shared" si="46"/>
        <v>#DIV/0!</v>
      </c>
      <c r="Y101" s="574" t="e">
        <v>#DIV/0!</v>
      </c>
      <c r="Z101" s="563">
        <f t="shared" si="34"/>
        <v>0</v>
      </c>
      <c r="AA101" s="571">
        <v>0</v>
      </c>
      <c r="AB101" s="563" t="e">
        <f t="shared" si="47"/>
        <v>#DIV/0!</v>
      </c>
      <c r="AC101" s="563" t="e">
        <v>#DIV/0!</v>
      </c>
      <c r="AD101" s="563" t="e">
        <v>#DIV/0!</v>
      </c>
      <c r="AE101" s="571" t="e">
        <v>#DIV/0!</v>
      </c>
      <c r="AF101" s="563" t="e">
        <v>#DIV/0!</v>
      </c>
      <c r="AG101" s="575" t="e">
        <f t="shared" si="54"/>
        <v>#DIV/0!</v>
      </c>
      <c r="AH101" s="573" t="e">
        <f t="shared" si="55"/>
        <v>#DIV/0!</v>
      </c>
      <c r="AI101" s="576" t="e">
        <v>#DIV/0!</v>
      </c>
      <c r="AJ101" s="563">
        <f t="shared" si="56"/>
        <v>0</v>
      </c>
      <c r="AK101" s="571">
        <v>0</v>
      </c>
      <c r="AL101" s="563" t="e">
        <f t="shared" si="57"/>
        <v>#DIV/0!</v>
      </c>
      <c r="AM101" s="563" t="e">
        <v>#DIV/0!</v>
      </c>
      <c r="AN101" s="563" t="e">
        <v>#DIV/0!</v>
      </c>
      <c r="AO101" s="563" t="e">
        <v>#DIV/0!</v>
      </c>
      <c r="AP101" s="571" t="e">
        <v>#DIV/0!</v>
      </c>
      <c r="AQ101" s="563" t="e">
        <f t="shared" si="48"/>
        <v>#DIV/0!</v>
      </c>
      <c r="AR101" s="563" t="e">
        <v>#DIV/0!</v>
      </c>
      <c r="AS101" s="563" t="e">
        <v>#DIV/0!</v>
      </c>
      <c r="AT101" s="563">
        <f t="shared" si="58"/>
        <v>0</v>
      </c>
      <c r="AU101" s="577">
        <v>0</v>
      </c>
      <c r="AV101" s="563" t="e">
        <f t="shared" si="59"/>
        <v>#DIV/0!</v>
      </c>
      <c r="AW101" s="563" t="e">
        <v>#DIV/0!</v>
      </c>
      <c r="AX101" s="563" t="e">
        <v>#DIV/0!</v>
      </c>
      <c r="AY101" s="571" t="e">
        <v>#DIV/0!</v>
      </c>
      <c r="AZ101" s="563" t="e">
        <v>#DIV/0!</v>
      </c>
      <c r="BD101" s="580"/>
      <c r="BF101" s="362">
        <f t="shared" si="53"/>
        <v>0</v>
      </c>
      <c r="BG101" s="578">
        <f>+BF101/$BF$112</f>
        <v>0</v>
      </c>
    </row>
    <row r="102" spans="2:59">
      <c r="B102" s="563" t="s">
        <v>272</v>
      </c>
      <c r="C102" s="570"/>
      <c r="D102" s="569"/>
      <c r="E102" s="571" t="e">
        <v>#DIV/0!</v>
      </c>
      <c r="G102" s="571">
        <v>0</v>
      </c>
      <c r="H102" s="563" t="e">
        <f t="shared" si="45"/>
        <v>#DIV/0!</v>
      </c>
      <c r="I102" s="563" t="e">
        <v>#DIV/0!</v>
      </c>
      <c r="J102" s="563" t="e">
        <v>#DIV/0!</v>
      </c>
      <c r="K102" s="563" t="e">
        <v>#DIV/0!</v>
      </c>
      <c r="L102" s="572" t="e">
        <v>#DIV/0!</v>
      </c>
      <c r="M102" s="570"/>
      <c r="N102" s="569"/>
      <c r="O102" s="571">
        <v>0</v>
      </c>
      <c r="Q102" s="571">
        <v>0</v>
      </c>
      <c r="S102" s="572" t="e">
        <v>#DIV/0!</v>
      </c>
      <c r="T102" s="563" t="e">
        <v>#DIV/0!</v>
      </c>
      <c r="U102" s="563" t="e">
        <v>#DIV/0!</v>
      </c>
      <c r="V102" s="563" t="e">
        <v>#DIV/0!</v>
      </c>
      <c r="W102" s="570"/>
      <c r="X102" s="573" t="e">
        <f t="shared" si="46"/>
        <v>#DIV/0!</v>
      </c>
      <c r="Y102" s="574" t="e">
        <v>#DIV/0!</v>
      </c>
      <c r="Z102" s="563">
        <f t="shared" si="34"/>
        <v>0</v>
      </c>
      <c r="AA102" s="571">
        <v>0</v>
      </c>
      <c r="AB102" s="563" t="e">
        <f t="shared" si="47"/>
        <v>#DIV/0!</v>
      </c>
      <c r="AC102" s="563" t="e">
        <v>#DIV/0!</v>
      </c>
      <c r="AD102" s="563" t="e">
        <v>#DIV/0!</v>
      </c>
      <c r="AE102" s="571" t="e">
        <v>#DIV/0!</v>
      </c>
      <c r="AF102" s="563" t="e">
        <v>#DIV/0!</v>
      </c>
      <c r="AG102" s="575" t="e">
        <f t="shared" si="54"/>
        <v>#DIV/0!</v>
      </c>
      <c r="AH102" s="573" t="e">
        <f t="shared" si="55"/>
        <v>#DIV/0!</v>
      </c>
      <c r="AI102" s="576" t="e">
        <v>#DIV/0!</v>
      </c>
      <c r="AJ102" s="563">
        <f t="shared" si="56"/>
        <v>0</v>
      </c>
      <c r="AK102" s="571">
        <v>0</v>
      </c>
      <c r="AL102" s="563" t="e">
        <f t="shared" si="57"/>
        <v>#DIV/0!</v>
      </c>
      <c r="AM102" s="563" t="e">
        <v>#DIV/0!</v>
      </c>
      <c r="AN102" s="563" t="e">
        <v>#DIV/0!</v>
      </c>
      <c r="AO102" s="563" t="e">
        <v>#DIV/0!</v>
      </c>
      <c r="AP102" s="571" t="e">
        <v>#DIV/0!</v>
      </c>
      <c r="AQ102" s="563" t="e">
        <f t="shared" si="48"/>
        <v>#DIV/0!</v>
      </c>
      <c r="AR102" s="563" t="e">
        <v>#DIV/0!</v>
      </c>
      <c r="AS102" s="563" t="e">
        <v>#DIV/0!</v>
      </c>
      <c r="AT102" s="563">
        <f t="shared" si="58"/>
        <v>0</v>
      </c>
      <c r="AU102" s="577">
        <v>0</v>
      </c>
      <c r="AV102" s="563" t="e">
        <f t="shared" si="59"/>
        <v>#DIV/0!</v>
      </c>
      <c r="AW102" s="563" t="e">
        <v>#DIV/0!</v>
      </c>
      <c r="AX102" s="563" t="e">
        <v>#DIV/0!</v>
      </c>
      <c r="AY102" s="571" t="e">
        <v>#DIV/0!</v>
      </c>
      <c r="AZ102" s="563" t="e">
        <v>#DIV/0!</v>
      </c>
      <c r="BD102" s="580"/>
      <c r="BF102" s="362">
        <f t="shared" si="53"/>
        <v>0</v>
      </c>
      <c r="BG102" s="578"/>
    </row>
    <row r="103" spans="2:59">
      <c r="B103" s="563" t="s">
        <v>155</v>
      </c>
      <c r="C103" s="570"/>
      <c r="D103" s="569"/>
      <c r="E103" s="571" t="e">
        <v>#DIV/0!</v>
      </c>
      <c r="F103" s="563">
        <f t="shared" si="49"/>
        <v>0</v>
      </c>
      <c r="G103" s="571">
        <v>0</v>
      </c>
      <c r="H103" s="563" t="e">
        <f t="shared" si="45"/>
        <v>#DIV/0!</v>
      </c>
      <c r="I103" s="563" t="e">
        <v>#DIV/0!</v>
      </c>
      <c r="J103" s="563" t="e">
        <v>#DIV/0!</v>
      </c>
      <c r="K103" s="563" t="e">
        <v>#DIV/0!</v>
      </c>
      <c r="L103" s="572" t="e">
        <v>#DIV/0!</v>
      </c>
      <c r="M103" s="570" t="e">
        <f t="shared" si="61"/>
        <v>#DIV/0!</v>
      </c>
      <c r="N103" s="569" t="e">
        <f t="shared" si="50"/>
        <v>#DIV/0!</v>
      </c>
      <c r="O103" s="571" t="e">
        <v>#DIV/0!</v>
      </c>
      <c r="Q103" s="571">
        <v>0</v>
      </c>
      <c r="R103" s="563" t="e">
        <f t="shared" si="51"/>
        <v>#DIV/0!</v>
      </c>
      <c r="S103" s="572" t="e">
        <v>#DIV/0!</v>
      </c>
      <c r="T103" s="563" t="e">
        <v>#DIV/0!</v>
      </c>
      <c r="U103" s="563" t="e">
        <v>#DIV/0!</v>
      </c>
      <c r="V103" s="563" t="e">
        <v>#DIV/0!</v>
      </c>
      <c r="W103" s="570" t="e">
        <f t="shared" si="52"/>
        <v>#DIV/0!</v>
      </c>
      <c r="X103" s="573" t="e">
        <f t="shared" si="46"/>
        <v>#DIV/0!</v>
      </c>
      <c r="Y103" s="574" t="e">
        <v>#DIV/0!</v>
      </c>
      <c r="Z103" s="563">
        <f t="shared" si="34"/>
        <v>0</v>
      </c>
      <c r="AA103" s="571">
        <v>0</v>
      </c>
      <c r="AB103" s="563" t="e">
        <f t="shared" si="47"/>
        <v>#DIV/0!</v>
      </c>
      <c r="AC103" s="563" t="e">
        <v>#DIV/0!</v>
      </c>
      <c r="AD103" s="563" t="e">
        <v>#DIV/0!</v>
      </c>
      <c r="AE103" s="571" t="e">
        <v>#DIV/0!</v>
      </c>
      <c r="AF103" s="563" t="e">
        <v>#DIV/0!</v>
      </c>
      <c r="AG103" s="575" t="e">
        <f t="shared" si="54"/>
        <v>#DIV/0!</v>
      </c>
      <c r="AH103" s="573" t="e">
        <f t="shared" si="55"/>
        <v>#DIV/0!</v>
      </c>
      <c r="AI103" s="576" t="e">
        <v>#DIV/0!</v>
      </c>
      <c r="AJ103" s="563">
        <f t="shared" si="56"/>
        <v>0</v>
      </c>
      <c r="AK103" s="571">
        <v>0</v>
      </c>
      <c r="AL103" s="563" t="e">
        <f t="shared" si="57"/>
        <v>#DIV/0!</v>
      </c>
      <c r="AM103" s="563" t="e">
        <v>#DIV/0!</v>
      </c>
      <c r="AN103" s="563" t="e">
        <v>#DIV/0!</v>
      </c>
      <c r="AO103" s="563" t="e">
        <v>#DIV/0!</v>
      </c>
      <c r="AP103" s="571" t="e">
        <v>#DIV/0!</v>
      </c>
      <c r="AQ103" s="563" t="e">
        <f t="shared" si="48"/>
        <v>#DIV/0!</v>
      </c>
      <c r="AR103" s="563" t="e">
        <v>#DIV/0!</v>
      </c>
      <c r="AS103" s="563" t="e">
        <v>#DIV/0!</v>
      </c>
      <c r="AT103" s="563">
        <f t="shared" si="58"/>
        <v>0</v>
      </c>
      <c r="AU103" s="577">
        <v>0</v>
      </c>
      <c r="AV103" s="563" t="e">
        <f t="shared" si="59"/>
        <v>#DIV/0!</v>
      </c>
      <c r="AW103" s="563" t="e">
        <v>#DIV/0!</v>
      </c>
      <c r="AX103" s="563" t="e">
        <v>#DIV/0!</v>
      </c>
      <c r="AY103" s="571" t="e">
        <v>#DIV/0!</v>
      </c>
      <c r="AZ103" s="563" t="e">
        <v>#DIV/0!</v>
      </c>
      <c r="BD103" s="580"/>
      <c r="BF103" s="362">
        <f t="shared" si="53"/>
        <v>0</v>
      </c>
      <c r="BG103" s="578">
        <f t="shared" ref="BG103:BG110" si="62">+BF103/$BF$112</f>
        <v>0</v>
      </c>
    </row>
    <row r="104" spans="2:59">
      <c r="B104" s="563" t="s">
        <v>273</v>
      </c>
      <c r="C104" s="570"/>
      <c r="D104" s="569"/>
      <c r="E104" s="571" t="e">
        <v>#DIV/0!</v>
      </c>
      <c r="G104" s="571">
        <v>0</v>
      </c>
      <c r="H104" s="563" t="e">
        <f t="shared" si="45"/>
        <v>#DIV/0!</v>
      </c>
      <c r="I104" s="563" t="e">
        <v>#DIV/0!</v>
      </c>
      <c r="J104" s="563" t="e">
        <v>#DIV/0!</v>
      </c>
      <c r="K104" s="563" t="e">
        <v>#DIV/0!</v>
      </c>
      <c r="L104" s="572" t="e">
        <v>#DIV/0!</v>
      </c>
      <c r="M104" s="570" t="e">
        <f>N104*Z104</f>
        <v>#DIV/0!</v>
      </c>
      <c r="N104" s="569" t="e">
        <f t="shared" si="50"/>
        <v>#DIV/0!</v>
      </c>
      <c r="O104" s="571" t="e">
        <v>#DIV/0!</v>
      </c>
      <c r="Q104" s="571">
        <v>0</v>
      </c>
      <c r="R104" s="563" t="e">
        <f t="shared" si="51"/>
        <v>#DIV/0!</v>
      </c>
      <c r="S104" s="572" t="e">
        <v>#DIV/0!</v>
      </c>
      <c r="T104" s="563" t="e">
        <v>#DIV/0!</v>
      </c>
      <c r="U104" s="563" t="e">
        <v>#DIV/0!</v>
      </c>
      <c r="V104" s="563" t="e">
        <v>#DIV/0!</v>
      </c>
      <c r="W104" s="570" t="e">
        <f t="shared" si="52"/>
        <v>#DIV/0!</v>
      </c>
      <c r="X104" s="573" t="e">
        <f t="shared" si="46"/>
        <v>#DIV/0!</v>
      </c>
      <c r="Y104" s="574" t="e">
        <v>#DIV/0!</v>
      </c>
      <c r="Z104" s="563">
        <f t="shared" si="34"/>
        <v>0</v>
      </c>
      <c r="AA104" s="571">
        <v>0</v>
      </c>
      <c r="AB104" s="563" t="e">
        <f t="shared" si="47"/>
        <v>#DIV/0!</v>
      </c>
      <c r="AC104" s="563" t="e">
        <v>#DIV/0!</v>
      </c>
      <c r="AD104" s="563" t="e">
        <v>#DIV/0!</v>
      </c>
      <c r="AE104" s="571" t="e">
        <v>#DIV/0!</v>
      </c>
      <c r="AF104" s="563" t="e">
        <v>#DIV/0!</v>
      </c>
      <c r="AG104" s="575" t="e">
        <f t="shared" si="54"/>
        <v>#DIV/0!</v>
      </c>
      <c r="AH104" s="573" t="e">
        <f t="shared" si="55"/>
        <v>#DIV/0!</v>
      </c>
      <c r="AI104" s="576" t="e">
        <v>#DIV/0!</v>
      </c>
      <c r="AJ104" s="563">
        <f t="shared" si="56"/>
        <v>0</v>
      </c>
      <c r="AK104" s="571">
        <v>0</v>
      </c>
      <c r="AL104" s="563" t="e">
        <f t="shared" si="57"/>
        <v>#DIV/0!</v>
      </c>
      <c r="AM104" s="563" t="e">
        <v>#DIV/0!</v>
      </c>
      <c r="AN104" s="563" t="e">
        <v>#DIV/0!</v>
      </c>
      <c r="AO104" s="563" t="e">
        <v>#DIV/0!</v>
      </c>
      <c r="AP104" s="571" t="e">
        <v>#DIV/0!</v>
      </c>
      <c r="AQ104" s="563" t="e">
        <f t="shared" si="48"/>
        <v>#DIV/0!</v>
      </c>
      <c r="AR104" s="563" t="e">
        <v>#DIV/0!</v>
      </c>
      <c r="AS104" s="563" t="e">
        <v>#DIV/0!</v>
      </c>
      <c r="AT104" s="563">
        <f t="shared" si="58"/>
        <v>0</v>
      </c>
      <c r="AU104" s="577">
        <v>0</v>
      </c>
      <c r="AV104" s="563" t="e">
        <f t="shared" si="59"/>
        <v>#DIV/0!</v>
      </c>
      <c r="AW104" s="563" t="e">
        <v>#DIV/0!</v>
      </c>
      <c r="AX104" s="563" t="e">
        <v>#DIV/0!</v>
      </c>
      <c r="AY104" s="571" t="e">
        <v>#DIV/0!</v>
      </c>
      <c r="AZ104" s="563" t="e">
        <v>#DIV/0!</v>
      </c>
      <c r="BD104" s="580"/>
      <c r="BF104" s="362">
        <f t="shared" si="53"/>
        <v>0</v>
      </c>
      <c r="BG104" s="578">
        <f t="shared" si="62"/>
        <v>0</v>
      </c>
    </row>
    <row r="105" spans="2:59">
      <c r="B105" s="579" t="s">
        <v>156</v>
      </c>
      <c r="C105" s="570">
        <f>D105*P105</f>
        <v>0.28704922009607753</v>
      </c>
      <c r="D105" s="569">
        <f>((E105/O105)-1)*100</f>
        <v>19.368251772407376</v>
      </c>
      <c r="E105" s="571">
        <v>69.295893960122655</v>
      </c>
      <c r="F105" s="563">
        <f t="shared" si="49"/>
        <v>1.4704524667966682E-2</v>
      </c>
      <c r="G105" s="571">
        <v>15175.324000000002</v>
      </c>
      <c r="H105" s="563">
        <f t="shared" si="45"/>
        <v>0.17172630977549289</v>
      </c>
      <c r="I105" s="563">
        <v>9.4335563349922259E-3</v>
      </c>
      <c r="J105" s="563">
        <v>9.1204924252319824E-3</v>
      </c>
      <c r="K105" s="563">
        <v>1.0773115712092819E-2</v>
      </c>
      <c r="L105" s="572">
        <v>1.0777350427388453E-2</v>
      </c>
      <c r="M105" s="570">
        <f>N105*Z105</f>
        <v>-5.3263898093163307E-2</v>
      </c>
      <c r="N105" s="569">
        <f t="shared" si="50"/>
        <v>-3.7625605378884264</v>
      </c>
      <c r="O105" s="571">
        <v>58.05219807712789</v>
      </c>
      <c r="P105" s="563">
        <f>Q105/Q$112</f>
        <v>1.4820605569833461E-2</v>
      </c>
      <c r="Q105" s="571">
        <v>13004.55</v>
      </c>
      <c r="R105" s="563">
        <f t="shared" si="51"/>
        <v>0.1316217948757874</v>
      </c>
      <c r="S105" s="572">
        <v>9.8943792508824468E-3</v>
      </c>
      <c r="T105" s="563">
        <v>1.0379462309089914E-2</v>
      </c>
      <c r="U105" s="563">
        <v>9.5004949487631669E-3</v>
      </c>
      <c r="V105" s="563">
        <v>9.2583626556072794E-3</v>
      </c>
      <c r="W105" s="570">
        <f t="shared" si="52"/>
        <v>-0.11433113649415952</v>
      </c>
      <c r="X105" s="573">
        <f t="shared" si="46"/>
        <v>-7.463796861693039</v>
      </c>
      <c r="Y105" s="574">
        <v>60.321843974228855</v>
      </c>
      <c r="Z105" s="563">
        <f t="shared" si="34"/>
        <v>1.4156289993690136E-2</v>
      </c>
      <c r="AA105" s="571">
        <v>13857.710000000001</v>
      </c>
      <c r="AB105" s="563">
        <f t="shared" si="47"/>
        <v>9.258909571144458E-2</v>
      </c>
      <c r="AC105" s="563">
        <v>8.3950903332580106E-3</v>
      </c>
      <c r="AD105" s="563">
        <v>8.6767995001483557E-3</v>
      </c>
      <c r="AE105" s="571">
        <v>7.7879924711049976E-3</v>
      </c>
      <c r="AF105" s="563">
        <v>7.2559589672370386E-3</v>
      </c>
      <c r="AG105" s="575">
        <f t="shared" si="54"/>
        <v>0.33607974535951396</v>
      </c>
      <c r="AH105" s="573">
        <f t="shared" si="55"/>
        <v>22.712337305682983</v>
      </c>
      <c r="AI105" s="576">
        <v>65.187290950408126</v>
      </c>
      <c r="AJ105" s="563">
        <f t="shared" si="56"/>
        <v>1.5318093272466875E-2</v>
      </c>
      <c r="AK105" s="571">
        <v>15385.941000000001</v>
      </c>
      <c r="AL105" s="563">
        <f t="shared" si="57"/>
        <v>6.0473254439696172E-2</v>
      </c>
      <c r="AM105" s="563">
        <v>6.8987108151760124E-3</v>
      </c>
      <c r="AN105" s="563">
        <v>7.5211945871302161E-3</v>
      </c>
      <c r="AO105" s="563">
        <v>7.4967544711782678E-3</v>
      </c>
      <c r="AP105" s="571">
        <v>7.6612880515537279E-3</v>
      </c>
      <c r="AQ105" s="563">
        <f t="shared" si="48"/>
        <v>0.36300584102730743</v>
      </c>
      <c r="AR105" s="563">
        <v>24.670347675898441</v>
      </c>
      <c r="AS105" s="563">
        <v>53.122035144700327</v>
      </c>
      <c r="AT105" s="563">
        <f t="shared" si="58"/>
        <v>1.4797232923950172E-2</v>
      </c>
      <c r="AU105" s="577">
        <v>13083.552</v>
      </c>
      <c r="AV105" s="563">
        <f t="shared" si="59"/>
        <v>3.0895306514657949E-2</v>
      </c>
      <c r="AW105" s="563">
        <v>7.5465269981808926E-3</v>
      </c>
      <c r="AX105" s="563">
        <v>7.474006077575656E-3</v>
      </c>
      <c r="AY105" s="571">
        <v>8.005649396656626E-3</v>
      </c>
      <c r="AZ105" s="563">
        <v>7.8691240422447718E-3</v>
      </c>
      <c r="BD105" s="580">
        <v>239.1</v>
      </c>
      <c r="BE105" s="563">
        <v>54.72</v>
      </c>
      <c r="BF105" s="362">
        <f t="shared" si="53"/>
        <v>13083.552</v>
      </c>
      <c r="BG105" s="578">
        <f t="shared" si="62"/>
        <v>1.4714257204487798E-2</v>
      </c>
    </row>
    <row r="106" spans="2:59">
      <c r="B106" s="579" t="s">
        <v>157</v>
      </c>
      <c r="C106" s="570">
        <f>D106*P106</f>
        <v>2.4938576099628535E-2</v>
      </c>
      <c r="D106" s="569">
        <f>((E106/O106)-1)*100</f>
        <v>7.9791870647401675</v>
      </c>
      <c r="E106" s="571">
        <v>45.855461315805151</v>
      </c>
      <c r="F106" s="563">
        <f t="shared" si="49"/>
        <v>2.7981727153432489E-3</v>
      </c>
      <c r="G106" s="571">
        <v>2887.7626800000003</v>
      </c>
      <c r="H106" s="563">
        <f t="shared" si="45"/>
        <v>0.25185534577682622</v>
      </c>
      <c r="I106" s="563">
        <v>1.6025637764290321E-2</v>
      </c>
      <c r="J106" s="563">
        <v>1.4965433047952951E-2</v>
      </c>
      <c r="K106" s="563">
        <v>1.6528731098993214E-2</v>
      </c>
      <c r="L106" s="572">
        <v>1.6116618772676575E-2</v>
      </c>
      <c r="M106" s="570">
        <f>(N106*Z106)</f>
        <v>-5.0816263470028822E-2</v>
      </c>
      <c r="N106" s="569">
        <f t="shared" si="50"/>
        <v>-15.320253580400534</v>
      </c>
      <c r="O106" s="571">
        <v>42.466944382820721</v>
      </c>
      <c r="P106" s="563">
        <f>Q106/Q$112</f>
        <v>3.1254532444578839E-3</v>
      </c>
      <c r="Q106" s="571">
        <v>2742.47316</v>
      </c>
      <c r="R106" s="563">
        <f t="shared" si="51"/>
        <v>0.18821892509291316</v>
      </c>
      <c r="S106" s="572">
        <v>1.5098914517755252E-2</v>
      </c>
      <c r="T106" s="563">
        <v>1.6437258753109127E-2</v>
      </c>
      <c r="U106" s="563">
        <v>1.3392249328923795E-2</v>
      </c>
      <c r="V106" s="563">
        <v>1.2256202077530587E-2</v>
      </c>
      <c r="W106" s="570">
        <f t="shared" si="52"/>
        <v>2.5987460009355191E-2</v>
      </c>
      <c r="X106" s="573">
        <f t="shared" si="46"/>
        <v>8.769271536345947</v>
      </c>
      <c r="Y106" s="574">
        <v>50.150060880427453</v>
      </c>
      <c r="Z106" s="563">
        <f t="shared" si="34"/>
        <v>3.3169335744572107E-3</v>
      </c>
      <c r="AA106" s="571">
        <v>3246.9738600000001</v>
      </c>
      <c r="AB106" s="563">
        <f t="shared" si="47"/>
        <v>0.13103430041559438</v>
      </c>
      <c r="AC106" s="563">
        <v>1.1113333903145634E-2</v>
      </c>
      <c r="AD106" s="563">
        <v>1.3143911050026075E-2</v>
      </c>
      <c r="AE106" s="571">
        <v>1.1080361874936656E-2</v>
      </c>
      <c r="AF106" s="563">
        <v>1.0574830997554154E-2</v>
      </c>
      <c r="AG106" s="575">
        <f t="shared" si="54"/>
        <v>3.6391348150815794E-2</v>
      </c>
      <c r="AH106" s="573">
        <f t="shared" si="55"/>
        <v>10.097278152636147</v>
      </c>
      <c r="AI106" s="576">
        <v>46.106827941446213</v>
      </c>
      <c r="AJ106" s="563">
        <f t="shared" si="56"/>
        <v>2.9634685049545017E-3</v>
      </c>
      <c r="AK106" s="571">
        <v>2976.5944600000003</v>
      </c>
      <c r="AL106" s="563">
        <f t="shared" si="57"/>
        <v>8.5121862589931846E-2</v>
      </c>
      <c r="AM106" s="563">
        <v>1.0683693258240519E-2</v>
      </c>
      <c r="AN106" s="563">
        <v>1.1480056307583983E-2</v>
      </c>
      <c r="AO106" s="563">
        <v>1.0421762551550395E-2</v>
      </c>
      <c r="AP106" s="571">
        <v>9.2313375489056059E-3</v>
      </c>
      <c r="AQ106" s="563">
        <f t="shared" si="48"/>
        <v>-6.690069585475418E-2</v>
      </c>
      <c r="AR106" s="563">
        <v>-18.667191262856143</v>
      </c>
      <c r="AS106" s="563">
        <v>41.878263218755372</v>
      </c>
      <c r="AT106" s="563">
        <f t="shared" si="58"/>
        <v>3.6040750389068885E-3</v>
      </c>
      <c r="AU106" s="577">
        <v>3186.6838500000003</v>
      </c>
      <c r="AV106" s="563">
        <f t="shared" si="59"/>
        <v>4.3305012923651333E-2</v>
      </c>
      <c r="AW106" s="563">
        <v>1.0421470717328371E-2</v>
      </c>
      <c r="AX106" s="563">
        <v>1.2116374644274029E-2</v>
      </c>
      <c r="AY106" s="571">
        <v>1.1235513055106124E-2</v>
      </c>
      <c r="AZ106" s="563">
        <v>9.5316545069428094E-3</v>
      </c>
      <c r="BD106" s="580">
        <v>66.265000000000001</v>
      </c>
      <c r="BE106" s="563">
        <v>48.09</v>
      </c>
      <c r="BF106" s="362">
        <f t="shared" si="53"/>
        <v>3186.6838500000003</v>
      </c>
      <c r="BG106" s="578">
        <f t="shared" si="62"/>
        <v>3.5838651306837332E-3</v>
      </c>
    </row>
    <row r="107" spans="2:59">
      <c r="B107" s="579" t="s">
        <v>542</v>
      </c>
      <c r="C107" s="570">
        <f>D107*P107</f>
        <v>0.48634888047151054</v>
      </c>
      <c r="D107" s="569">
        <f>((E107/O107)-1)*100</f>
        <v>16.075270288134689</v>
      </c>
      <c r="E107" s="571">
        <v>110.57309361366764</v>
      </c>
      <c r="F107" s="563">
        <f t="shared" si="49"/>
        <v>2.8812935303986952E-2</v>
      </c>
      <c r="G107" s="571">
        <v>29735.448</v>
      </c>
      <c r="H107" s="563">
        <f t="shared" si="45"/>
        <v>0.17580916220403706</v>
      </c>
      <c r="I107" s="563">
        <v>1.0348359951940668E-2</v>
      </c>
      <c r="J107" s="563">
        <v>1.0031023757980729E-2</v>
      </c>
      <c r="K107" s="563">
        <v>1.2167020178354077E-2</v>
      </c>
      <c r="L107" s="572">
        <v>1.1507737968701836E-2</v>
      </c>
      <c r="M107" s="570">
        <f>N107*Z107</f>
        <v>-0.20998025774534762</v>
      </c>
      <c r="N107" s="569">
        <f t="shared" si="50"/>
        <v>-6.9509024689291543</v>
      </c>
      <c r="O107" s="571">
        <v>95.259820062612008</v>
      </c>
      <c r="P107" s="563">
        <f>Q107/Q$112</f>
        <v>3.0254476083707862E-2</v>
      </c>
      <c r="Q107" s="571">
        <v>26547.217999999997</v>
      </c>
      <c r="R107" s="563">
        <f t="shared" si="51"/>
        <v>0.13175502034705974</v>
      </c>
      <c r="S107" s="572">
        <v>1.039162938046741E-2</v>
      </c>
      <c r="T107" s="563">
        <v>1.0754499507610255E-2</v>
      </c>
      <c r="U107" s="563">
        <v>9.7312394443721199E-3</v>
      </c>
      <c r="V107" s="563">
        <v>8.984875678260916E-3</v>
      </c>
      <c r="W107" s="570">
        <f t="shared" si="52"/>
        <v>-1.3375216971750968E-2</v>
      </c>
      <c r="X107" s="573">
        <f t="shared" si="46"/>
        <v>-0.43880692255340303</v>
      </c>
      <c r="Y107" s="574">
        <v>102.37586670929609</v>
      </c>
      <c r="Z107" s="563">
        <f t="shared" si="34"/>
        <v>3.0209064029306811E-2</v>
      </c>
      <c r="AA107" s="571">
        <v>29571.903999999999</v>
      </c>
      <c r="AB107" s="563">
        <f t="shared" si="47"/>
        <v>9.1892776336349041E-2</v>
      </c>
      <c r="AC107" s="563">
        <v>8.406953245505425E-3</v>
      </c>
      <c r="AD107" s="563">
        <v>8.7428770351727671E-3</v>
      </c>
      <c r="AE107" s="571">
        <v>7.7132758848299562E-3</v>
      </c>
      <c r="AF107" s="563">
        <v>7.7211397244738196E-3</v>
      </c>
      <c r="AG107" s="575">
        <f t="shared" si="54"/>
        <v>0.285565803401507</v>
      </c>
      <c r="AH107" s="573">
        <f t="shared" si="55"/>
        <v>8.6799546553217652</v>
      </c>
      <c r="AI107" s="576">
        <v>102.82707905042884</v>
      </c>
      <c r="AJ107" s="563">
        <f t="shared" si="56"/>
        <v>3.0480870479255479E-2</v>
      </c>
      <c r="AK107" s="571">
        <v>30615.877999999997</v>
      </c>
      <c r="AL107" s="563">
        <f t="shared" si="57"/>
        <v>5.930853044636706E-2</v>
      </c>
      <c r="AM107" s="563">
        <v>7.8800271571331775E-3</v>
      </c>
      <c r="AN107" s="563">
        <v>8.014883530459968E-3</v>
      </c>
      <c r="AO107" s="563">
        <v>7.8872302294113895E-3</v>
      </c>
      <c r="AP107" s="571">
        <v>7.442322421896656E-3</v>
      </c>
      <c r="AQ107" s="563">
        <f t="shared" si="48"/>
        <v>1.3880139793178212</v>
      </c>
      <c r="AR107" s="563">
        <v>42.42748260710534</v>
      </c>
      <c r="AS107" s="563">
        <v>94.614576695900084</v>
      </c>
      <c r="AT107" s="563">
        <f t="shared" si="58"/>
        <v>3.2899457974290662E-2</v>
      </c>
      <c r="AU107" s="577">
        <v>29089.342000000001</v>
      </c>
      <c r="AV107" s="563">
        <f t="shared" si="59"/>
        <v>2.8084067107465867E-2</v>
      </c>
      <c r="AW107" s="563">
        <v>7.0175440166785064E-3</v>
      </c>
      <c r="AX107" s="563">
        <v>6.6216345921095319E-3</v>
      </c>
      <c r="AY107" s="571">
        <v>7.267990734011992E-3</v>
      </c>
      <c r="AZ107" s="563">
        <v>7.1768977646658348E-3</v>
      </c>
      <c r="BD107" s="580">
        <v>315.39999999999998</v>
      </c>
      <c r="BE107" s="563">
        <v>92.23</v>
      </c>
      <c r="BF107" s="362">
        <f t="shared" si="53"/>
        <v>29089.342000000001</v>
      </c>
      <c r="BG107" s="578">
        <f t="shared" si="62"/>
        <v>3.2714973739341541E-2</v>
      </c>
    </row>
    <row r="108" spans="2:59">
      <c r="B108" s="563" t="s">
        <v>158</v>
      </c>
      <c r="C108" s="570"/>
      <c r="D108" s="569"/>
      <c r="E108" s="571" t="e">
        <v>#DIV/0!</v>
      </c>
      <c r="F108" s="563">
        <f t="shared" si="49"/>
        <v>0</v>
      </c>
      <c r="G108" s="571">
        <v>0</v>
      </c>
      <c r="H108" s="563" t="e">
        <f t="shared" si="45"/>
        <v>#DIV/0!</v>
      </c>
      <c r="I108" s="563" t="e">
        <v>#DIV/0!</v>
      </c>
      <c r="J108" s="563" t="e">
        <v>#DIV/0!</v>
      </c>
      <c r="K108" s="563" t="e">
        <v>#DIV/0!</v>
      </c>
      <c r="L108" s="572" t="e">
        <v>#DIV/0!</v>
      </c>
      <c r="M108" s="570" t="e">
        <f>N108*Z108</f>
        <v>#DIV/0!</v>
      </c>
      <c r="N108" s="569" t="e">
        <f t="shared" si="50"/>
        <v>#DIV/0!</v>
      </c>
      <c r="O108" s="571" t="e">
        <v>#DIV/0!</v>
      </c>
      <c r="Q108" s="571">
        <v>0</v>
      </c>
      <c r="R108" s="563" t="e">
        <f t="shared" si="51"/>
        <v>#DIV/0!</v>
      </c>
      <c r="S108" s="572" t="e">
        <v>#DIV/0!</v>
      </c>
      <c r="T108" s="563" t="e">
        <v>#DIV/0!</v>
      </c>
      <c r="U108" s="563" t="e">
        <v>#DIV/0!</v>
      </c>
      <c r="V108" s="563" t="e">
        <v>#DIV/0!</v>
      </c>
      <c r="W108" s="570" t="e">
        <f t="shared" si="52"/>
        <v>#DIV/0!</v>
      </c>
      <c r="X108" s="573" t="e">
        <f t="shared" si="46"/>
        <v>#DIV/0!</v>
      </c>
      <c r="Y108" s="574" t="e">
        <v>#DIV/0!</v>
      </c>
      <c r="Z108" s="563">
        <f t="shared" si="34"/>
        <v>0</v>
      </c>
      <c r="AA108" s="571">
        <v>0</v>
      </c>
      <c r="AB108" s="563" t="e">
        <f t="shared" si="47"/>
        <v>#DIV/0!</v>
      </c>
      <c r="AC108" s="563" t="e">
        <v>#DIV/0!</v>
      </c>
      <c r="AD108" s="563" t="e">
        <v>#DIV/0!</v>
      </c>
      <c r="AE108" s="571" t="e">
        <v>#DIV/0!</v>
      </c>
      <c r="AF108" s="563" t="e">
        <v>#DIV/0!</v>
      </c>
      <c r="AG108" s="575" t="e">
        <f t="shared" si="54"/>
        <v>#DIV/0!</v>
      </c>
      <c r="AH108" s="573" t="e">
        <f t="shared" si="55"/>
        <v>#DIV/0!</v>
      </c>
      <c r="AI108" s="576" t="e">
        <v>#DIV/0!</v>
      </c>
      <c r="AJ108" s="563">
        <f t="shared" si="56"/>
        <v>0</v>
      </c>
      <c r="AK108" s="571">
        <v>0</v>
      </c>
      <c r="AL108" s="563" t="e">
        <f t="shared" si="57"/>
        <v>#DIV/0!</v>
      </c>
      <c r="AM108" s="563" t="e">
        <v>#DIV/0!</v>
      </c>
      <c r="AN108" s="563" t="e">
        <v>#DIV/0!</v>
      </c>
      <c r="AO108" s="563" t="e">
        <v>#DIV/0!</v>
      </c>
      <c r="AP108" s="571" t="e">
        <v>#DIV/0!</v>
      </c>
      <c r="AQ108" s="563" t="e">
        <f t="shared" si="48"/>
        <v>#DIV/0!</v>
      </c>
      <c r="AR108" s="563" t="e">
        <v>#DIV/0!</v>
      </c>
      <c r="AS108" s="563" t="e">
        <v>#DIV/0!</v>
      </c>
      <c r="AT108" s="563">
        <f t="shared" si="58"/>
        <v>0</v>
      </c>
      <c r="AU108" s="577">
        <v>0</v>
      </c>
      <c r="AV108" s="563" t="e">
        <f t="shared" si="59"/>
        <v>#DIV/0!</v>
      </c>
      <c r="AW108" s="563" t="e">
        <v>#DIV/0!</v>
      </c>
      <c r="AX108" s="563" t="e">
        <v>#DIV/0!</v>
      </c>
      <c r="AY108" s="571" t="e">
        <v>#DIV/0!</v>
      </c>
      <c r="AZ108" s="563" t="e">
        <v>#DIV/0!</v>
      </c>
      <c r="BD108" s="580"/>
      <c r="BF108" s="362">
        <f t="shared" si="53"/>
        <v>0</v>
      </c>
      <c r="BG108" s="578">
        <f t="shared" si="62"/>
        <v>0</v>
      </c>
    </row>
    <row r="109" spans="2:59">
      <c r="B109" s="579" t="s">
        <v>159</v>
      </c>
      <c r="C109" s="570">
        <f>D109*P109</f>
        <v>0.33291473950916733</v>
      </c>
      <c r="D109" s="582">
        <v>72.45</v>
      </c>
      <c r="E109" s="571">
        <v>20.883387958808243</v>
      </c>
      <c r="F109" s="563">
        <f t="shared" si="49"/>
        <v>3.5600776485268503E-3</v>
      </c>
      <c r="G109" s="571">
        <v>3674.06176</v>
      </c>
      <c r="H109" s="563">
        <f t="shared" si="45"/>
        <v>0.15890055265306569</v>
      </c>
      <c r="I109" s="563">
        <v>8.3006651154214073E-3</v>
      </c>
      <c r="J109" s="563">
        <v>5.4312993965103043E-3</v>
      </c>
      <c r="K109" s="563">
        <v>5.6747700106101785E-3</v>
      </c>
      <c r="L109" s="572">
        <v>5.624352508047996E-3</v>
      </c>
      <c r="M109" s="570">
        <f>N109*Z109</f>
        <v>-0.20621176446413983</v>
      </c>
      <c r="N109" s="569">
        <f t="shared" si="50"/>
        <v>-32.718513746537411</v>
      </c>
      <c r="O109" s="571">
        <v>22.450615419325025</v>
      </c>
      <c r="P109" s="563">
        <f>Q109/Q$112</f>
        <v>4.5950964735564847E-3</v>
      </c>
      <c r="Q109" s="571">
        <v>4032.0324000000001</v>
      </c>
      <c r="R109" s="563">
        <f t="shared" si="51"/>
        <v>0.13386946562247581</v>
      </c>
      <c r="S109" s="572">
        <v>7.1133592573555575E-3</v>
      </c>
      <c r="T109" s="563">
        <v>7.1476535547140346E-3</v>
      </c>
      <c r="U109" s="563">
        <v>1.1771429686961153E-2</v>
      </c>
      <c r="V109" s="563">
        <v>8.028458192165671E-3</v>
      </c>
      <c r="W109" s="570">
        <f t="shared" si="52"/>
        <v>9.436691375879866E-3</v>
      </c>
      <c r="X109" s="573">
        <f t="shared" si="46"/>
        <v>1.5150322996457577</v>
      </c>
      <c r="Y109" s="574">
        <v>33.368191860015017</v>
      </c>
      <c r="Z109" s="563">
        <f t="shared" si="34"/>
        <v>6.3026018254256173E-3</v>
      </c>
      <c r="AA109" s="571">
        <v>6169.6693400000004</v>
      </c>
      <c r="AB109" s="563">
        <f t="shared" si="47"/>
        <v>9.9808564931279389E-2</v>
      </c>
      <c r="AC109" s="563">
        <v>8.006786280481298E-3</v>
      </c>
      <c r="AD109" s="563">
        <v>8.6140160281689884E-3</v>
      </c>
      <c r="AE109" s="571">
        <v>8.6591321646759846E-3</v>
      </c>
      <c r="AF109" s="563">
        <v>8.6986127151616188E-3</v>
      </c>
      <c r="AG109" s="575">
        <f t="shared" si="54"/>
        <v>0.13639869067434801</v>
      </c>
      <c r="AH109" s="573">
        <f t="shared" si="55"/>
        <v>20.363466687744026</v>
      </c>
      <c r="AI109" s="576">
        <v>32.870197747187689</v>
      </c>
      <c r="AJ109" s="563">
        <f t="shared" si="56"/>
        <v>6.2287063966136808E-3</v>
      </c>
      <c r="AK109" s="571">
        <v>6256.2949200000003</v>
      </c>
      <c r="AL109" s="563">
        <f t="shared" si="57"/>
        <v>6.58300177427915E-2</v>
      </c>
      <c r="AM109" s="563">
        <v>7.4641561252211924E-3</v>
      </c>
      <c r="AN109" s="563">
        <v>7.5262359439047495E-3</v>
      </c>
      <c r="AO109" s="563">
        <v>7.0772021378861872E-3</v>
      </c>
      <c r="AP109" s="571">
        <v>6.9698959855873403E-3</v>
      </c>
      <c r="AQ109" s="563">
        <f t="shared" si="48"/>
        <v>1.0633125244042713E-2</v>
      </c>
      <c r="AR109" s="563">
        <v>1.596410623779998</v>
      </c>
      <c r="AS109" s="563">
        <v>27.309115175672062</v>
      </c>
      <c r="AT109" s="563">
        <f t="shared" si="58"/>
        <v>6.6982057999211428E-3</v>
      </c>
      <c r="AU109" s="577">
        <v>5922.4805299999998</v>
      </c>
      <c r="AV109" s="563">
        <f t="shared" si="59"/>
        <v>3.6792527550192029E-2</v>
      </c>
      <c r="AW109" s="563">
        <v>8.2974639715437636E-3</v>
      </c>
      <c r="AX109" s="563">
        <v>9.3983364832134521E-3</v>
      </c>
      <c r="AY109" s="571">
        <v>9.4455643047371383E-3</v>
      </c>
      <c r="AZ109" s="563">
        <v>9.6511627906976736E-3</v>
      </c>
      <c r="BD109" s="580">
        <v>199.34299999999999</v>
      </c>
      <c r="BE109" s="563">
        <v>29.71</v>
      </c>
      <c r="BF109" s="362">
        <f t="shared" si="53"/>
        <v>5922.4805299999998</v>
      </c>
      <c r="BG109" s="578">
        <f t="shared" si="62"/>
        <v>6.6606455041407116E-3</v>
      </c>
    </row>
    <row r="110" spans="2:59">
      <c r="B110" s="579" t="s">
        <v>160</v>
      </c>
      <c r="C110" s="570">
        <f>D110*P110</f>
        <v>2.6044341759175846E-2</v>
      </c>
      <c r="D110" s="569">
        <f>((E110/O110)-1)*100</f>
        <v>5.2285619966704999</v>
      </c>
      <c r="E110" s="571">
        <v>53.071857283507882</v>
      </c>
      <c r="F110" s="563">
        <f>G110/G$112</f>
        <v>4.3891888768901998E-3</v>
      </c>
      <c r="G110" s="571">
        <v>4529.7188999999998</v>
      </c>
      <c r="H110" s="563">
        <f t="shared" si="45"/>
        <v>0.21668632011709957</v>
      </c>
      <c r="I110" s="563">
        <v>1.3788376247927239E-2</v>
      </c>
      <c r="J110" s="563">
        <v>1.2426631651541035E-2</v>
      </c>
      <c r="K110" s="563">
        <v>1.3608496938930398E-2</v>
      </c>
      <c r="L110" s="572">
        <v>1.3160914355677053E-2</v>
      </c>
      <c r="M110" s="570">
        <f>N110*Z110</f>
        <v>-3.4712647254275801E-2</v>
      </c>
      <c r="N110" s="569">
        <f>((O110/Y110)-1)*100</f>
        <v>-7.7689476365501946</v>
      </c>
      <c r="O110" s="571">
        <v>50.434840386003856</v>
      </c>
      <c r="P110" s="563">
        <f>Q110/Q$112</f>
        <v>4.9811672455563581E-3</v>
      </c>
      <c r="Q110" s="571">
        <v>4370.7956600000007</v>
      </c>
      <c r="R110" s="563">
        <f>(S110+T110+U110+V110+AB110)</f>
        <v>0.16370190092302384</v>
      </c>
      <c r="S110" s="572">
        <v>1.261573440462025E-2</v>
      </c>
      <c r="T110" s="563">
        <v>1.335040725421174E-2</v>
      </c>
      <c r="U110" s="563">
        <v>1.1424257174727644E-2</v>
      </c>
      <c r="V110" s="563">
        <v>1.0328944716937377E-2</v>
      </c>
      <c r="W110" s="570">
        <f>X110*AJ110</f>
        <v>-1.8617345056595156E-2</v>
      </c>
      <c r="X110" s="573">
        <f>((Y110/AI110)-1)*100</f>
        <v>-3.9522621483975118</v>
      </c>
      <c r="Y110" s="574">
        <v>54.683145311253817</v>
      </c>
      <c r="Z110" s="563">
        <f>AA110/$AA$112</f>
        <v>4.468127329236315E-3</v>
      </c>
      <c r="AA110" s="571">
        <v>4373.8870000000006</v>
      </c>
      <c r="AB110" s="563">
        <f>(AC110+AD110+AE110+AF110+AL110)</f>
        <v>0.11598255737252681</v>
      </c>
      <c r="AC110" s="563">
        <v>1.0211457604996074E-2</v>
      </c>
      <c r="AD110" s="563">
        <v>1.139451005168933E-2</v>
      </c>
      <c r="AE110" s="571">
        <v>1.0151292099552468E-2</v>
      </c>
      <c r="AF110" s="563">
        <v>8.3882129898345502E-3</v>
      </c>
      <c r="AG110" s="575">
        <f>AH110*AT110</f>
        <v>0.15870639492723412</v>
      </c>
      <c r="AH110" s="573">
        <f>((AI110/AS110)-1)*100</f>
        <v>28.143735662518488</v>
      </c>
      <c r="AI110" s="576">
        <v>56.933298518431968</v>
      </c>
      <c r="AJ110" s="563">
        <f>AK110/$AK$112</f>
        <v>4.7105541984718202E-3</v>
      </c>
      <c r="AK110" s="571">
        <v>4731.4184400000004</v>
      </c>
      <c r="AL110" s="563">
        <f>AM110+AN110+AO110+AP110+AV110</f>
        <v>7.5837084626454387E-2</v>
      </c>
      <c r="AM110" s="563">
        <v>8.6712267364456481E-3</v>
      </c>
      <c r="AN110" s="563">
        <v>9.6769573785892814E-3</v>
      </c>
      <c r="AO110" s="563">
        <v>9.7768270741756692E-3</v>
      </c>
      <c r="AP110" s="571">
        <v>8.9173968967819293E-3</v>
      </c>
      <c r="AQ110" s="563">
        <f>AR110*BG110</f>
        <v>-1.4157214591902599E-2</v>
      </c>
      <c r="AR110" s="563">
        <v>-2.5246855734191387</v>
      </c>
      <c r="AS110" s="563">
        <v>44.429248315635554</v>
      </c>
      <c r="AT110" s="563">
        <f>AU110/$AU$112</f>
        <v>5.6391374915661079E-3</v>
      </c>
      <c r="AU110" s="577">
        <v>4986.0638799999997</v>
      </c>
      <c r="AV110" s="563">
        <f>AW110+AX110+AY110+AZ110</f>
        <v>3.8794676540461856E-2</v>
      </c>
      <c r="AW110" s="563">
        <v>9.8039217344736973E-3</v>
      </c>
      <c r="AX110" s="563">
        <v>1.1677608649542299E-2</v>
      </c>
      <c r="AY110" s="571">
        <v>9.2822742332084752E-3</v>
      </c>
      <c r="AZ110" s="563">
        <v>8.0308719232373808E-3</v>
      </c>
      <c r="BD110" s="580">
        <v>89.372</v>
      </c>
      <c r="BE110" s="563">
        <v>55.79</v>
      </c>
      <c r="BF110" s="362">
        <f t="shared" si="53"/>
        <v>4986.0638799999997</v>
      </c>
      <c r="BG110" s="578">
        <f t="shared" si="62"/>
        <v>5.6075159382044252E-3</v>
      </c>
    </row>
    <row r="111" spans="2:59" ht="13.5" thickBot="1">
      <c r="B111" s="579" t="s">
        <v>538</v>
      </c>
      <c r="C111" s="570"/>
      <c r="D111" s="569"/>
      <c r="E111" s="571">
        <v>40.222792152030685</v>
      </c>
      <c r="F111" s="563">
        <f>G111/G$112</f>
        <v>1.4377635880435677E-2</v>
      </c>
      <c r="G111" s="571">
        <v>14837.969112660001</v>
      </c>
      <c r="H111" s="563">
        <f t="shared" si="45"/>
        <v>4.9107776526621807E-2</v>
      </c>
      <c r="I111" s="563">
        <v>1.1903234184417575E-2</v>
      </c>
      <c r="J111" s="563">
        <v>1.259646697848661E-2</v>
      </c>
      <c r="K111" s="563">
        <v>1.2533432114540888E-2</v>
      </c>
      <c r="L111" s="572">
        <v>1.2074643249176729E-2</v>
      </c>
      <c r="M111" s="570" t="e">
        <f>N111*Z111</f>
        <v>#DIV/0!</v>
      </c>
      <c r="N111" s="569" t="e">
        <f>((O111/Y111)-1)*100</f>
        <v>#DIV/0!</v>
      </c>
      <c r="O111" s="571">
        <v>32.409999999999997</v>
      </c>
      <c r="P111" s="563">
        <f>Q111/Q$112</f>
        <v>0</v>
      </c>
      <c r="Q111" s="571">
        <v>0</v>
      </c>
      <c r="U111" s="573"/>
      <c r="AN111" s="571"/>
      <c r="AP111" s="571"/>
      <c r="BD111" s="580">
        <v>309.49108200000001</v>
      </c>
      <c r="BE111" s="563">
        <v>51.16</v>
      </c>
      <c r="BF111" s="362">
        <f t="shared" si="53"/>
        <v>15833.56375512</v>
      </c>
    </row>
    <row r="112" spans="2:59" ht="13.5" thickBot="1">
      <c r="B112" s="583" t="s">
        <v>274</v>
      </c>
      <c r="C112" s="337">
        <f>SUM(C7:C111)</f>
        <v>19.099521722199167</v>
      </c>
      <c r="D112" s="584">
        <f>SUM(D7:D111)</f>
        <v>680.65006532292193</v>
      </c>
      <c r="F112" s="585"/>
      <c r="G112" s="571">
        <f>SUM(G7:G111)</f>
        <v>1032017.3104989202</v>
      </c>
      <c r="H112" s="563">
        <f t="shared" ref="H112" si="63">L112+R112</f>
        <v>0</v>
      </c>
      <c r="L112" s="293"/>
      <c r="M112" s="586" t="e">
        <f>SUM(M7:M110)</f>
        <v>#DIV/0!</v>
      </c>
      <c r="N112" s="293" t="e">
        <f>SUM(N7:N110)</f>
        <v>#DIV/0!</v>
      </c>
      <c r="O112" s="571">
        <v>0</v>
      </c>
      <c r="Q112" s="571">
        <f>SUM(Q7:Q111)</f>
        <v>877464.14535652008</v>
      </c>
      <c r="T112" s="573" t="e">
        <f>SUM(T7:T110)</f>
        <v>#DIV/0!</v>
      </c>
      <c r="U112" s="573"/>
      <c r="W112" s="586" t="e">
        <f>SUM(W7:W110)</f>
        <v>#DIV/0!</v>
      </c>
      <c r="X112" s="293" t="e">
        <f>SUM(X7:X110)</f>
        <v>#DIV/0!</v>
      </c>
      <c r="AA112" s="563">
        <f>SUM(AA7:AA109)</f>
        <v>978908.31610377994</v>
      </c>
      <c r="AD112" s="587" t="e">
        <f>SUM(AD7:AD108)</f>
        <v>#DIV/0!</v>
      </c>
      <c r="AE112" s="577" t="e">
        <f>SUM(AE7:AE109)</f>
        <v>#DIV/0!</v>
      </c>
      <c r="AG112" s="586" t="e">
        <f>SUM(AG7:AG109)</f>
        <v>#DIV/0!</v>
      </c>
      <c r="AH112" s="293" t="e">
        <f>SUM(AH7:AH109)</f>
        <v>#DIV/0!</v>
      </c>
      <c r="AK112" s="563">
        <f>SUM(AK7:AK109)</f>
        <v>1004429.2541066502</v>
      </c>
      <c r="AN112" s="587"/>
      <c r="AQ112" s="586" t="e">
        <f>SUM(AQ7:AQ109)</f>
        <v>#DIV/0!</v>
      </c>
      <c r="AR112" s="292" t="e">
        <f>SUM(AR7:AR109)</f>
        <v>#DIV/0!</v>
      </c>
      <c r="AU112" s="577">
        <f>SUM(AU7:AU109)</f>
        <v>884189.09584260976</v>
      </c>
      <c r="BD112" s="588"/>
      <c r="BE112" s="588"/>
      <c r="BF112" s="140">
        <f>SUM(BF8:BF110)</f>
        <v>889175.15972260979</v>
      </c>
      <c r="BG112" s="570">
        <f>SUM(BG8:BG110)</f>
        <v>1</v>
      </c>
    </row>
    <row r="113" spans="2:58">
      <c r="U113" s="573"/>
      <c r="AI113" s="563" t="s">
        <v>275</v>
      </c>
      <c r="BD113" s="588"/>
      <c r="BE113" s="588"/>
      <c r="BF113" s="588"/>
    </row>
    <row r="114" spans="2:58">
      <c r="C114" s="563" t="s">
        <v>96</v>
      </c>
      <c r="P114" s="570">
        <f>SUM(P7:P111)</f>
        <v>0.99999999999999989</v>
      </c>
      <c r="T114" s="563" t="s">
        <v>96</v>
      </c>
      <c r="U114" s="573"/>
      <c r="AD114" s="563" t="s">
        <v>96</v>
      </c>
      <c r="AH114" s="589">
        <v>32508</v>
      </c>
      <c r="AN114" s="563" t="s">
        <v>96</v>
      </c>
      <c r="BD114" s="588"/>
      <c r="BE114" s="588"/>
      <c r="BF114" s="588"/>
    </row>
    <row r="115" spans="2:58">
      <c r="U115" s="573"/>
      <c r="BD115" s="588"/>
      <c r="BE115" s="588"/>
      <c r="BF115" s="588"/>
    </row>
    <row r="116" spans="2:58">
      <c r="F116" s="590" t="s">
        <v>276</v>
      </c>
      <c r="G116" s="590"/>
      <c r="U116" s="573"/>
      <c r="BD116" s="588"/>
      <c r="BE116" s="588"/>
      <c r="BF116" s="588"/>
    </row>
    <row r="117" spans="2:58">
      <c r="F117" s="591" t="s">
        <v>277</v>
      </c>
      <c r="G117" s="591"/>
      <c r="U117" s="573"/>
      <c r="BD117" s="588"/>
      <c r="BE117" s="588"/>
      <c r="BF117" s="588"/>
    </row>
    <row r="118" spans="2:58">
      <c r="F118" s="592" t="s">
        <v>278</v>
      </c>
      <c r="G118" s="592"/>
      <c r="U118" s="573"/>
      <c r="BD118" s="588"/>
      <c r="BE118" s="588"/>
      <c r="BF118" s="588"/>
    </row>
    <row r="119" spans="2:58">
      <c r="U119" s="573"/>
    </row>
    <row r="120" spans="2:58">
      <c r="U120" s="573"/>
    </row>
    <row r="121" spans="2:58">
      <c r="O121" s="593"/>
      <c r="P121" s="577"/>
      <c r="Q121" s="577"/>
      <c r="R121" s="577"/>
      <c r="S121" s="577"/>
      <c r="U121" s="573"/>
    </row>
    <row r="122" spans="2:58">
      <c r="O122" s="593"/>
      <c r="P122" s="577"/>
      <c r="Q122" s="577"/>
      <c r="R122" s="577"/>
      <c r="S122" s="577"/>
      <c r="U122" s="573"/>
    </row>
    <row r="123" spans="2:58">
      <c r="O123" s="593"/>
      <c r="P123" s="577"/>
      <c r="Q123" s="577"/>
      <c r="R123" s="577"/>
      <c r="S123" s="577"/>
      <c r="U123" s="573"/>
    </row>
    <row r="124" spans="2:58">
      <c r="B124" s="563" t="s">
        <v>598</v>
      </c>
      <c r="O124" s="593"/>
      <c r="P124" s="577"/>
      <c r="Q124" s="577"/>
      <c r="R124" s="577"/>
      <c r="S124" s="577"/>
      <c r="U124" s="573"/>
    </row>
    <row r="125" spans="2:58">
      <c r="B125" s="563" t="s">
        <v>599</v>
      </c>
      <c r="O125" s="593"/>
      <c r="P125" s="577"/>
      <c r="Q125" s="577"/>
      <c r="R125" s="577"/>
      <c r="S125" s="577"/>
      <c r="U125" s="573"/>
    </row>
    <row r="126" spans="2:58">
      <c r="B126" s="563" t="s">
        <v>600</v>
      </c>
      <c r="O126" s="593"/>
      <c r="P126" s="577"/>
      <c r="Q126" s="577"/>
      <c r="R126" s="577"/>
      <c r="S126" s="577"/>
      <c r="U126" s="573"/>
    </row>
    <row r="127" spans="2:58">
      <c r="O127" s="593"/>
      <c r="P127" s="577"/>
      <c r="Q127" s="577"/>
      <c r="R127" s="577"/>
      <c r="S127" s="577"/>
      <c r="U127" s="573"/>
    </row>
    <row r="128" spans="2:58">
      <c r="O128" s="593"/>
      <c r="P128" s="577"/>
      <c r="Q128" s="577"/>
      <c r="R128" s="577"/>
      <c r="S128" s="577"/>
      <c r="U128" s="573"/>
    </row>
    <row r="129" spans="15:36">
      <c r="O129" s="593"/>
      <c r="P129" s="577"/>
      <c r="Q129" s="577"/>
      <c r="R129" s="577"/>
      <c r="S129" s="577"/>
      <c r="U129" s="573"/>
    </row>
    <row r="130" spans="15:36">
      <c r="O130" s="593"/>
      <c r="P130" s="577"/>
      <c r="Q130" s="577"/>
      <c r="R130" s="577"/>
      <c r="S130" s="577"/>
      <c r="U130" s="573"/>
    </row>
    <row r="131" spans="15:36">
      <c r="O131" s="593"/>
      <c r="P131" s="577"/>
      <c r="Q131" s="577"/>
      <c r="R131" s="577"/>
      <c r="S131" s="577"/>
      <c r="U131" s="573"/>
    </row>
    <row r="132" spans="15:36">
      <c r="O132" s="593"/>
      <c r="P132" s="577"/>
      <c r="Q132" s="577"/>
      <c r="R132" s="577"/>
      <c r="S132" s="577"/>
      <c r="U132" s="573"/>
    </row>
    <row r="133" spans="15:36">
      <c r="O133" s="593"/>
      <c r="P133" s="577"/>
      <c r="Q133" s="577"/>
      <c r="R133" s="577"/>
      <c r="S133" s="577"/>
      <c r="U133" s="573"/>
      <c r="AJ133" s="563" t="s">
        <v>279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">
    <tabColor theme="0" tint="-0.249977111117893"/>
    <outlinePr summaryBelow="0" summaryRight="0"/>
  </sheetPr>
  <dimension ref="B1:L47"/>
  <sheetViews>
    <sheetView zoomScaleNormal="100" workbookViewId="0"/>
  </sheetViews>
  <sheetFormatPr defaultColWidth="9.140625" defaultRowHeight="12.75"/>
  <cols>
    <col min="1" max="1" width="2.7109375" style="54" customWidth="1"/>
    <col min="2" max="2" width="9.140625" style="54"/>
    <col min="3" max="3" width="42.42578125" style="54" customWidth="1"/>
    <col min="4" max="4" width="2.7109375" style="54" customWidth="1"/>
    <col min="5" max="9" width="20.7109375" style="54" customWidth="1"/>
    <col min="10" max="11" width="9.140625" style="54"/>
    <col min="12" max="12" width="25.7109375" style="54" customWidth="1"/>
    <col min="13" max="16384" width="9.140625" style="54"/>
  </cols>
  <sheetData>
    <row r="1" spans="2:12">
      <c r="E1" s="63">
        <v>3</v>
      </c>
      <c r="F1" s="54">
        <f>E1+1</f>
        <v>4</v>
      </c>
      <c r="G1" s="54">
        <f t="shared" ref="G1:I1" si="0">F1+1</f>
        <v>5</v>
      </c>
      <c r="H1" s="54">
        <f t="shared" si="0"/>
        <v>6</v>
      </c>
      <c r="I1" s="54">
        <f t="shared" si="0"/>
        <v>7</v>
      </c>
      <c r="L1" s="64" t="s">
        <v>281</v>
      </c>
    </row>
    <row r="2" spans="2:12">
      <c r="E2" s="63">
        <v>3</v>
      </c>
      <c r="F2" s="54">
        <f>E2</f>
        <v>3</v>
      </c>
      <c r="G2" s="54">
        <f t="shared" ref="G2:H2" si="1">F2</f>
        <v>3</v>
      </c>
      <c r="H2" s="54">
        <f t="shared" si="1"/>
        <v>3</v>
      </c>
      <c r="I2" s="63">
        <v>4</v>
      </c>
      <c r="K2" s="63" t="s">
        <v>596</v>
      </c>
      <c r="L2" s="59" t="str">
        <f>L$1 &amp; K2</f>
        <v>'12-Month Calculation'!A1</v>
      </c>
    </row>
    <row r="3" spans="2:12">
      <c r="E3" s="63"/>
      <c r="K3" s="63" t="s">
        <v>604</v>
      </c>
      <c r="L3" s="59" t="str">
        <f>L$1 &amp; K3</f>
        <v>'12-Month Calculation'!B1:B200</v>
      </c>
    </row>
    <row r="4" spans="2:12">
      <c r="E4" s="63"/>
      <c r="L4" s="64"/>
    </row>
    <row r="5" spans="2:12">
      <c r="E5" s="483" t="str">
        <f ca="1">E6 &amp; ":::" &amp; E7</f>
        <v>2024.4:::Wgt % Return</v>
      </c>
      <c r="F5" s="483" t="str">
        <f t="shared" ref="F5:I5" ca="1" si="2">F6 &amp; ":::" &amp; F7</f>
        <v>2024.4:::% Return</v>
      </c>
      <c r="G5" s="483" t="str">
        <f t="shared" ca="1" si="2"/>
        <v>2024.4:::Annual  Return</v>
      </c>
      <c r="H5" s="483" t="str">
        <f t="shared" ca="1" si="2"/>
        <v>2024.4:::Wgt Mkt Cap %</v>
      </c>
      <c r="I5" s="483" t="str">
        <f t="shared" ca="1" si="2"/>
        <v>2024.4:::Mkt Cap</v>
      </c>
    </row>
    <row r="6" spans="2:12">
      <c r="E6" s="57">
        <f ca="1">OFFSET( INDIRECT( $L$2 ),E$2 - 1, E$1 - 1 )</f>
        <v>2024.4</v>
      </c>
      <c r="F6" s="57">
        <f t="shared" ref="F6:I6" ca="1" si="3">OFFSET( INDIRECT( $L$2 ),F$2 - 1, F$1 - 1 )</f>
        <v>2024.4</v>
      </c>
      <c r="G6" s="57">
        <f t="shared" ca="1" si="3"/>
        <v>2024.4</v>
      </c>
      <c r="H6" s="57">
        <f t="shared" ca="1" si="3"/>
        <v>2024.4</v>
      </c>
      <c r="I6" s="57">
        <f t="shared" ca="1" si="3"/>
        <v>2024.4</v>
      </c>
    </row>
    <row r="7" spans="2:12">
      <c r="C7" s="54" t="s">
        <v>196</v>
      </c>
      <c r="E7" s="373" t="s">
        <v>347</v>
      </c>
      <c r="F7" s="374" t="s">
        <v>348</v>
      </c>
      <c r="G7" s="373" t="s">
        <v>349</v>
      </c>
      <c r="H7" s="373" t="s">
        <v>350</v>
      </c>
      <c r="I7" s="373" t="s">
        <v>284</v>
      </c>
      <c r="L7" s="482" t="s">
        <v>280</v>
      </c>
    </row>
    <row r="8" spans="2:12">
      <c r="E8" s="57"/>
      <c r="F8" s="58"/>
      <c r="G8" s="57"/>
      <c r="H8" s="57"/>
      <c r="I8" s="57"/>
    </row>
    <row r="9" spans="2:12">
      <c r="E9" s="57"/>
      <c r="F9" s="58"/>
      <c r="G9" s="57"/>
      <c r="H9" s="57"/>
      <c r="I9" s="57"/>
    </row>
    <row r="10" spans="2:12">
      <c r="B10" s="54" t="s">
        <v>40</v>
      </c>
      <c r="C10" s="55" t="s">
        <v>146</v>
      </c>
      <c r="D10" s="55"/>
      <c r="E10" s="60">
        <f t="shared" ref="E10:I16" ca="1" si="4">OFFSET( INDIRECT( $L$2 ), $L10 - 1, E$1 - 1 )</f>
        <v>4.3206711706161437E-2</v>
      </c>
      <c r="F10" s="61">
        <f t="shared" ca="1" si="4"/>
        <v>10.799439740200633</v>
      </c>
      <c r="G10" s="61">
        <f t="shared" ca="1" si="4"/>
        <v>80.391784907116431</v>
      </c>
      <c r="H10" s="60">
        <f t="shared" ca="1" si="4"/>
        <v>3.6292414496315937E-3</v>
      </c>
      <c r="I10" s="62">
        <f t="shared" ca="1" si="4"/>
        <v>3745.4399999999996</v>
      </c>
      <c r="L10" s="482">
        <f t="shared" ref="L10:L34" ca="1" si="5">MATCH( $C10, INDIRECT( L$3 ), 0 )</f>
        <v>84</v>
      </c>
    </row>
    <row r="11" spans="2:12">
      <c r="B11" s="54" t="s">
        <v>32</v>
      </c>
      <c r="C11" s="55" t="s">
        <v>156</v>
      </c>
      <c r="D11" s="55"/>
      <c r="E11" s="60">
        <f t="shared" ca="1" si="4"/>
        <v>0.28704922009607753</v>
      </c>
      <c r="F11" s="61">
        <f t="shared" ca="1" si="4"/>
        <v>19.368251772407376</v>
      </c>
      <c r="G11" s="61">
        <f t="shared" ca="1" si="4"/>
        <v>69.295893960122655</v>
      </c>
      <c r="H11" s="60">
        <f t="shared" ca="1" si="4"/>
        <v>1.4704524667966682E-2</v>
      </c>
      <c r="I11" s="62">
        <f t="shared" ca="1" si="4"/>
        <v>15175.324000000002</v>
      </c>
      <c r="L11" s="482">
        <f t="shared" ca="1" si="5"/>
        <v>105</v>
      </c>
    </row>
    <row r="12" spans="2:12">
      <c r="B12" s="54" t="s">
        <v>21</v>
      </c>
      <c r="C12" s="55" t="s">
        <v>138</v>
      </c>
      <c r="D12" s="55"/>
      <c r="E12" s="60">
        <f t="shared" ca="1" si="4"/>
        <v>0.59415347230322935</v>
      </c>
      <c r="F12" s="61">
        <f t="shared" ca="1" si="4"/>
        <v>27.423580301773519</v>
      </c>
      <c r="G12" s="61">
        <f t="shared" ca="1" si="4"/>
        <v>103.08298679645205</v>
      </c>
      <c r="H12" s="60">
        <f t="shared" ca="1" si="4"/>
        <v>2.3044721980973869E-2</v>
      </c>
      <c r="I12" s="62">
        <f t="shared" ca="1" si="4"/>
        <v>23782.552</v>
      </c>
      <c r="L12" s="482">
        <f t="shared" ca="1" si="5"/>
        <v>62</v>
      </c>
    </row>
    <row r="13" spans="2:12">
      <c r="B13" s="54" t="s">
        <v>17</v>
      </c>
      <c r="C13" s="55" t="s">
        <v>113</v>
      </c>
      <c r="D13" s="55"/>
      <c r="E13" s="60">
        <f t="shared" ca="1" si="4"/>
        <v>0.86903233921183887</v>
      </c>
      <c r="F13" s="61">
        <f t="shared" ca="1" si="4"/>
        <v>18.03910868587284</v>
      </c>
      <c r="G13" s="61">
        <f t="shared" ca="1" si="4"/>
        <v>110.74947953286566</v>
      </c>
      <c r="H13" s="60">
        <f t="shared" ca="1" si="4"/>
        <v>4.756279195525312E-2</v>
      </c>
      <c r="I13" s="62">
        <f t="shared" ca="1" si="4"/>
        <v>49085.624633480002</v>
      </c>
      <c r="L13" s="482">
        <f t="shared" ca="1" si="5"/>
        <v>8</v>
      </c>
    </row>
    <row r="14" spans="2:12">
      <c r="B14" s="54" t="s">
        <v>44</v>
      </c>
      <c r="C14" s="55" t="s">
        <v>157</v>
      </c>
      <c r="D14" s="55"/>
      <c r="E14" s="60">
        <f t="shared" ca="1" si="4"/>
        <v>2.4938576099628535E-2</v>
      </c>
      <c r="F14" s="61">
        <f t="shared" ca="1" si="4"/>
        <v>7.9791870647401675</v>
      </c>
      <c r="G14" s="61">
        <f t="shared" ca="1" si="4"/>
        <v>45.855461315805151</v>
      </c>
      <c r="H14" s="60">
        <f t="shared" ca="1" si="4"/>
        <v>2.7981727153432489E-3</v>
      </c>
      <c r="I14" s="62">
        <f t="shared" ca="1" si="4"/>
        <v>2887.7626800000003</v>
      </c>
      <c r="L14" s="482">
        <f t="shared" ca="1" si="5"/>
        <v>106</v>
      </c>
    </row>
    <row r="15" spans="2:12">
      <c r="B15" s="54" t="s">
        <v>38</v>
      </c>
      <c r="C15" s="55" t="s">
        <v>114</v>
      </c>
      <c r="D15" s="55"/>
      <c r="E15" s="60">
        <f t="shared" ca="1" si="4"/>
        <v>5.5882887835537368E-2</v>
      </c>
      <c r="F15" s="61">
        <f t="shared" ca="1" si="4"/>
        <v>13.502211956654087</v>
      </c>
      <c r="G15" s="61">
        <f t="shared" ca="1" si="4"/>
        <v>71.043507349770053</v>
      </c>
      <c r="H15" s="60">
        <f t="shared" ca="1" si="4"/>
        <v>3.9976655023407351E-3</v>
      </c>
      <c r="I15" s="62">
        <f t="shared" ca="1" si="4"/>
        <v>4125.66</v>
      </c>
      <c r="L15" s="482">
        <f t="shared" ca="1" si="5"/>
        <v>11</v>
      </c>
    </row>
    <row r="16" spans="2:12">
      <c r="B16" s="54" t="s">
        <v>27</v>
      </c>
      <c r="C16" s="55" t="s">
        <v>125</v>
      </c>
      <c r="D16" s="55"/>
      <c r="E16" s="60">
        <f t="shared" ca="1" si="4"/>
        <v>0.29083474525311809</v>
      </c>
      <c r="F16" s="61">
        <f t="shared" ca="1" si="4"/>
        <v>14.151704743634163</v>
      </c>
      <c r="G16" s="61">
        <f t="shared" ca="1" si="4"/>
        <v>36.751312460497267</v>
      </c>
      <c r="H16" s="60">
        <f t="shared" ca="1" si="4"/>
        <v>1.9916912827812015E-2</v>
      </c>
      <c r="I16" s="62">
        <f t="shared" ca="1" si="4"/>
        <v>20554.59881</v>
      </c>
      <c r="L16" s="482">
        <f t="shared" ca="1" si="5"/>
        <v>35</v>
      </c>
    </row>
    <row r="17" spans="2:12">
      <c r="B17" s="54" t="s">
        <v>75</v>
      </c>
      <c r="C17" s="55" t="s">
        <v>142</v>
      </c>
      <c r="D17" s="55"/>
      <c r="E17" s="60">
        <f t="shared" ref="E17:I24" ca="1" si="6">OFFSET( INDIRECT( $L$2 ), $L17 - 1, E$1 - 1 )</f>
        <v>0.35659151908468556</v>
      </c>
      <c r="F17" s="61">
        <f t="shared" ca="1" si="6"/>
        <v>18.516358236624409</v>
      </c>
      <c r="G17" s="61">
        <f t="shared" ca="1" si="6"/>
        <v>77.376321287129159</v>
      </c>
      <c r="H17" s="60">
        <f t="shared" ca="1" si="6"/>
        <v>1.9245510514157974E-2</v>
      </c>
      <c r="I17" s="62">
        <f t="shared" ca="1" si="6"/>
        <v>19861.7</v>
      </c>
      <c r="L17" s="482">
        <f t="shared" ca="1" si="5"/>
        <v>68</v>
      </c>
    </row>
    <row r="18" spans="2:12">
      <c r="B18" s="54" t="s">
        <v>101</v>
      </c>
      <c r="C18" s="55" t="s">
        <v>144</v>
      </c>
      <c r="D18" s="55"/>
      <c r="E18" s="60">
        <f t="shared" ca="1" si="6"/>
        <v>5.8499525255678517E-2</v>
      </c>
      <c r="F18" s="61">
        <f t="shared" ca="1" si="6"/>
        <v>1.6355522821581925</v>
      </c>
      <c r="G18" s="61">
        <f t="shared" ca="1" si="6"/>
        <v>107.53026311759815</v>
      </c>
      <c r="H18" s="60">
        <f t="shared" ca="1" si="6"/>
        <v>2.9933050236401363E-2</v>
      </c>
      <c r="I18" s="62">
        <f t="shared" ca="1" si="6"/>
        <v>30891.425999999999</v>
      </c>
      <c r="L18" s="482">
        <f t="shared" ca="1" si="5"/>
        <v>73</v>
      </c>
    </row>
    <row r="19" spans="2:12">
      <c r="B19" s="54" t="s">
        <v>10</v>
      </c>
      <c r="C19" s="55" t="s">
        <v>556</v>
      </c>
      <c r="D19" s="55"/>
      <c r="E19" s="60">
        <f t="shared" ca="1" si="6"/>
        <v>0.92193531602669265</v>
      </c>
      <c r="F19" s="61">
        <f t="shared" ca="1" si="6"/>
        <v>20.56886376040832</v>
      </c>
      <c r="G19" s="61">
        <f t="shared" ca="1" si="6"/>
        <v>67.047160582101199</v>
      </c>
      <c r="H19" s="60">
        <f t="shared" ca="1" si="6"/>
        <v>4.3786610496052605E-2</v>
      </c>
      <c r="I19" s="62">
        <f t="shared" ca="1" si="6"/>
        <v>45188.54</v>
      </c>
      <c r="L19" s="482">
        <f t="shared" ca="1" si="5"/>
        <v>22</v>
      </c>
    </row>
    <row r="20" spans="2:12">
      <c r="B20" s="54" t="s">
        <v>22</v>
      </c>
      <c r="C20" s="55" t="s">
        <v>118</v>
      </c>
      <c r="D20" s="55"/>
      <c r="E20" s="60">
        <f t="shared" ca="1" si="6"/>
        <v>0.34753821313919481</v>
      </c>
      <c r="F20" s="61">
        <f t="shared" ca="1" si="6"/>
        <v>13.426002844596606</v>
      </c>
      <c r="G20" s="61">
        <f t="shared" ca="1" si="6"/>
        <v>142.74441461206052</v>
      </c>
      <c r="H20" s="60">
        <f t="shared" ca="1" si="6"/>
        <v>2.4219797231808306E-2</v>
      </c>
      <c r="I20" s="62">
        <f t="shared" ca="1" si="6"/>
        <v>24995.25</v>
      </c>
      <c r="L20" s="482">
        <f t="shared" ca="1" si="5"/>
        <v>21</v>
      </c>
    </row>
    <row r="21" spans="2:12">
      <c r="B21" s="54" t="s">
        <v>11</v>
      </c>
      <c r="C21" s="55" t="s">
        <v>120</v>
      </c>
      <c r="D21" s="55"/>
      <c r="E21" s="60">
        <f t="shared" ca="1" si="6"/>
        <v>1.3205375060644045</v>
      </c>
      <c r="F21" s="61">
        <f t="shared" ca="1" si="6"/>
        <v>15.487273010956116</v>
      </c>
      <c r="G21" s="61">
        <f t="shared" ca="1" si="6"/>
        <v>132.26593068130441</v>
      </c>
      <c r="H21" s="60">
        <f t="shared" ca="1" si="6"/>
        <v>8.0594849673393171E-2</v>
      </c>
      <c r="I21" s="62">
        <f t="shared" ca="1" si="6"/>
        <v>83175.28</v>
      </c>
      <c r="L21" s="482">
        <f t="shared" ca="1" si="5"/>
        <v>23</v>
      </c>
    </row>
    <row r="22" spans="2:12">
      <c r="B22" s="54" t="s">
        <v>15</v>
      </c>
      <c r="C22" s="55" t="s">
        <v>135</v>
      </c>
      <c r="D22" s="55"/>
      <c r="E22" s="60">
        <f t="shared" ca="1" si="6"/>
        <v>0.51030962869501528</v>
      </c>
      <c r="F22" s="61">
        <f t="shared" ca="1" si="6"/>
        <v>16.353814651360786</v>
      </c>
      <c r="G22" s="61">
        <f t="shared" ca="1" si="6"/>
        <v>99.49269603455356</v>
      </c>
      <c r="H22" s="60">
        <f t="shared" ca="1" si="6"/>
        <v>2.9939497802670172E-2</v>
      </c>
      <c r="I22" s="62">
        <f t="shared" ca="1" si="6"/>
        <v>30898.080000000002</v>
      </c>
      <c r="L22" s="482">
        <f t="shared" ca="1" si="5"/>
        <v>55</v>
      </c>
    </row>
    <row r="23" spans="2:12">
      <c r="B23" s="54" t="s">
        <v>14</v>
      </c>
      <c r="C23" s="55" t="s">
        <v>123</v>
      </c>
      <c r="D23" s="55"/>
      <c r="E23" s="60">
        <f t="shared" ca="1" si="6"/>
        <v>1.3638911487042928</v>
      </c>
      <c r="F23" s="61">
        <f t="shared" ca="1" si="6"/>
        <v>55.93</v>
      </c>
      <c r="G23" s="61">
        <f t="shared" ca="1" si="6"/>
        <v>92.052494493908497</v>
      </c>
      <c r="H23" s="60">
        <f t="shared" ca="1" si="6"/>
        <v>3.1446033090463316E-2</v>
      </c>
      <c r="I23" s="62">
        <f t="shared" ca="1" si="6"/>
        <v>32452.850495879997</v>
      </c>
      <c r="L23" s="482">
        <f t="shared" ca="1" si="5"/>
        <v>28</v>
      </c>
    </row>
    <row r="24" spans="2:12">
      <c r="B24" s="54" t="s">
        <v>522</v>
      </c>
      <c r="C24" s="335" t="s">
        <v>523</v>
      </c>
      <c r="D24" s="55"/>
      <c r="E24" s="60">
        <f t="shared" ca="1" si="6"/>
        <v>-6.0241070059141193E-2</v>
      </c>
      <c r="F24" s="61">
        <f t="shared" ca="1" si="6"/>
        <v>-2.4490370047575927</v>
      </c>
      <c r="G24" s="61">
        <f t="shared" ca="1" si="6"/>
        <v>68.334816984197573</v>
      </c>
      <c r="H24" s="60">
        <f t="shared" ca="1" si="6"/>
        <v>2.0006702541412073E-2</v>
      </c>
      <c r="I24" s="62">
        <f t="shared" ca="1" si="6"/>
        <v>20647.263348739998</v>
      </c>
      <c r="L24" s="482">
        <f t="shared" ca="1" si="5"/>
        <v>45</v>
      </c>
    </row>
    <row r="25" spans="2:12">
      <c r="B25" s="54" t="s">
        <v>558</v>
      </c>
      <c r="C25" s="335" t="s">
        <v>557</v>
      </c>
      <c r="D25" s="55"/>
      <c r="E25" s="60">
        <f t="shared" ref="E25:I33" ca="1" si="7">OFFSET( INDIRECT( $L$2 ), $L25 - 1, E$1 - 1 )</f>
        <v>0.31967361506738279</v>
      </c>
      <c r="F25" s="61">
        <f t="shared" ca="1" si="7"/>
        <v>23.35334257786721</v>
      </c>
      <c r="G25" s="61">
        <f t="shared" ca="1" si="7"/>
        <v>75.015312566793895</v>
      </c>
      <c r="H25" s="60">
        <f t="shared" ca="1" si="7"/>
        <v>1.3735200810873252E-2</v>
      </c>
      <c r="I25" s="62">
        <f t="shared" ca="1" si="7"/>
        <v>14174.965</v>
      </c>
      <c r="L25" s="482">
        <f t="shared" ca="1" si="5"/>
        <v>39</v>
      </c>
    </row>
    <row r="26" spans="2:12">
      <c r="B26" s="54" t="s">
        <v>9</v>
      </c>
      <c r="C26" s="55" t="s">
        <v>151</v>
      </c>
      <c r="D26" s="55"/>
      <c r="E26" s="60">
        <f t="shared" ca="1" si="7"/>
        <v>0.37345111496348471</v>
      </c>
      <c r="F26" s="61">
        <f t="shared" ca="1" si="7"/>
        <v>9.164512183102147</v>
      </c>
      <c r="G26" s="61">
        <f t="shared" ca="1" si="7"/>
        <v>45.093071801099157</v>
      </c>
      <c r="H26" s="60">
        <f t="shared" ca="1" si="7"/>
        <v>3.6581673210257168E-2</v>
      </c>
      <c r="I26" s="62">
        <f t="shared" ca="1" si="7"/>
        <v>37752.92</v>
      </c>
      <c r="L26" s="482">
        <f t="shared" ca="1" si="5"/>
        <v>94</v>
      </c>
    </row>
    <row r="27" spans="2:12">
      <c r="B27" s="54" t="s">
        <v>13</v>
      </c>
      <c r="C27" s="55" t="s">
        <v>129</v>
      </c>
      <c r="D27" s="55"/>
      <c r="E27" s="60">
        <f t="shared" ca="1" si="7"/>
        <v>0.31558337096259803</v>
      </c>
      <c r="F27" s="61">
        <f t="shared" ca="1" si="7"/>
        <v>13.182458347516102</v>
      </c>
      <c r="G27" s="61">
        <f t="shared" ca="1" si="7"/>
        <v>49.117928716474921</v>
      </c>
      <c r="H27" s="60">
        <f t="shared" ca="1" si="7"/>
        <v>2.2202418280099164E-2</v>
      </c>
      <c r="I27" s="62">
        <f t="shared" ca="1" si="7"/>
        <v>22913.279999999999</v>
      </c>
      <c r="L27" s="482">
        <f t="shared" ca="1" si="5"/>
        <v>46</v>
      </c>
    </row>
    <row r="28" spans="2:12">
      <c r="B28" s="54" t="s">
        <v>35</v>
      </c>
      <c r="C28" s="55" t="s">
        <v>124</v>
      </c>
      <c r="D28" s="55"/>
      <c r="E28" s="60">
        <f t="shared" ca="1" si="7"/>
        <v>-5.5772863494172584E-2</v>
      </c>
      <c r="F28" s="61">
        <f t="shared" ca="1" si="7"/>
        <v>-31.430584918957017</v>
      </c>
      <c r="G28" s="61">
        <f t="shared" ca="1" si="7"/>
        <v>11.315057514416756</v>
      </c>
      <c r="H28" s="60">
        <f t="shared" ca="1" si="7"/>
        <v>1.0781828256951165E-3</v>
      </c>
      <c r="I28" s="62">
        <f t="shared" ca="1" si="7"/>
        <v>1112.70334</v>
      </c>
      <c r="L28" s="482">
        <f t="shared" ca="1" si="5"/>
        <v>34</v>
      </c>
    </row>
    <row r="29" spans="2:12">
      <c r="B29" s="54" t="s">
        <v>39</v>
      </c>
      <c r="C29" s="55" t="s">
        <v>126</v>
      </c>
      <c r="D29" s="55"/>
      <c r="E29" s="60">
        <f t="shared" ca="1" si="7"/>
        <v>8.4962708620516733E-2</v>
      </c>
      <c r="F29" s="61">
        <f t="shared" ca="1" si="7"/>
        <v>14.948074083685835</v>
      </c>
      <c r="G29" s="61">
        <f t="shared" ca="1" si="7"/>
        <v>127.2807226833753</v>
      </c>
      <c r="H29" s="60">
        <f t="shared" ca="1" si="7"/>
        <v>5.653027348135848E-3</v>
      </c>
      <c r="I29" s="62">
        <f t="shared" ca="1" si="7"/>
        <v>5834.0220800000006</v>
      </c>
      <c r="L29" s="482">
        <f t="shared" ca="1" si="5"/>
        <v>36</v>
      </c>
    </row>
    <row r="30" spans="2:12">
      <c r="B30" s="54" t="s">
        <v>30</v>
      </c>
      <c r="C30" s="55" t="s">
        <v>159</v>
      </c>
      <c r="D30" s="55"/>
      <c r="E30" s="60">
        <f t="shared" ca="1" si="7"/>
        <v>0.33291473950916733</v>
      </c>
      <c r="F30" s="61">
        <f t="shared" ca="1" si="7"/>
        <v>72.45</v>
      </c>
      <c r="G30" s="61">
        <f t="shared" ca="1" si="7"/>
        <v>20.883387958808243</v>
      </c>
      <c r="H30" s="60">
        <f t="shared" ca="1" si="7"/>
        <v>3.5600776485268503E-3</v>
      </c>
      <c r="I30" s="62">
        <f t="shared" ca="1" si="7"/>
        <v>3674.06176</v>
      </c>
      <c r="L30" s="482">
        <f t="shared" ca="1" si="5"/>
        <v>109</v>
      </c>
    </row>
    <row r="31" spans="2:12">
      <c r="B31" s="54" t="s">
        <v>47</v>
      </c>
      <c r="C31" s="55" t="s">
        <v>145</v>
      </c>
      <c r="D31" s="55"/>
      <c r="E31" s="60">
        <f t="shared" ca="1" si="7"/>
        <v>9.7368185895040316E-2</v>
      </c>
      <c r="F31" s="61">
        <f t="shared" ca="1" si="7"/>
        <v>32.672596185477772</v>
      </c>
      <c r="G31" s="61">
        <f t="shared" ca="1" si="7"/>
        <v>104.58471391237298</v>
      </c>
      <c r="H31" s="60">
        <f t="shared" ca="1" si="7"/>
        <v>3.294098582858564E-3</v>
      </c>
      <c r="I31" s="62">
        <f t="shared" ca="1" si="7"/>
        <v>3399.5667599999997</v>
      </c>
      <c r="L31" s="482">
        <f t="shared" ca="1" si="5"/>
        <v>82</v>
      </c>
    </row>
    <row r="32" spans="2:12">
      <c r="B32" s="54" t="s">
        <v>198</v>
      </c>
      <c r="C32" s="55" t="s">
        <v>197</v>
      </c>
      <c r="D32" s="55"/>
      <c r="E32" s="60">
        <f t="shared" ca="1" si="7"/>
        <v>3.0147576399533524</v>
      </c>
      <c r="F32" s="61">
        <f t="shared" ca="1" si="7"/>
        <v>21.440402190398466</v>
      </c>
      <c r="G32" s="61">
        <f t="shared" ca="1" si="7"/>
        <v>80.674907464473463</v>
      </c>
      <c r="H32" s="60">
        <f t="shared" ca="1" si="7"/>
        <v>0.14264820318646587</v>
      </c>
      <c r="I32" s="62">
        <f t="shared" ca="1" si="7"/>
        <v>147215.41500000001</v>
      </c>
      <c r="L32" s="482">
        <f t="shared" ca="1" si="5"/>
        <v>29</v>
      </c>
    </row>
    <row r="33" spans="2:12">
      <c r="B33" s="54" t="s">
        <v>24</v>
      </c>
      <c r="C33" s="55" t="s">
        <v>147</v>
      </c>
      <c r="D33" s="55"/>
      <c r="E33" s="60">
        <f t="shared" ca="1" si="7"/>
        <v>0.54014282532305424</v>
      </c>
      <c r="F33" s="61">
        <f t="shared" ca="1" si="7"/>
        <v>43.17158085905308</v>
      </c>
      <c r="G33" s="61">
        <f t="shared" ca="1" si="7"/>
        <v>43.800847689102646</v>
      </c>
      <c r="H33" s="60">
        <f t="shared" ca="1" si="7"/>
        <v>1.6096478063889395E-2</v>
      </c>
      <c r="I33" s="62">
        <f t="shared" ca="1" si="7"/>
        <v>16611.843999999997</v>
      </c>
      <c r="L33" s="482">
        <f t="shared" ca="1" si="5"/>
        <v>86</v>
      </c>
    </row>
    <row r="34" spans="2:12">
      <c r="B34" s="54" t="s">
        <v>162</v>
      </c>
      <c r="C34" s="55" t="s">
        <v>149</v>
      </c>
      <c r="D34" s="55"/>
      <c r="E34" s="60">
        <f t="shared" ref="E34:I40" ca="1" si="8">OFFSET( INDIRECT( $L$2 ), $L34 - 1, E$1 - 1 )</f>
        <v>3.6180337438969631E-2</v>
      </c>
      <c r="F34" s="61">
        <f t="shared" ca="1" si="8"/>
        <v>10.321184386893133</v>
      </c>
      <c r="G34" s="61">
        <f t="shared" ca="1" si="8"/>
        <v>67.005118469766785</v>
      </c>
      <c r="H34" s="60">
        <f t="shared" ca="1" si="8"/>
        <v>3.175517149587026E-3</v>
      </c>
      <c r="I34" s="62">
        <f t="shared" ca="1" si="8"/>
        <v>3277.1886681599999</v>
      </c>
      <c r="L34" s="482">
        <f t="shared" ca="1" si="5"/>
        <v>90</v>
      </c>
    </row>
    <row r="35" spans="2:12">
      <c r="B35" s="54" t="s">
        <v>34</v>
      </c>
      <c r="C35" s="55" t="s">
        <v>130</v>
      </c>
      <c r="D35" s="55"/>
      <c r="E35" s="60">
        <f t="shared" ca="1" si="8"/>
        <v>0.18676378253405279</v>
      </c>
      <c r="F35" s="61">
        <f t="shared" ca="1" si="8"/>
        <v>23.422999315054561</v>
      </c>
      <c r="G35" s="61">
        <f t="shared" ca="1" si="8"/>
        <v>51.966051499059375</v>
      </c>
      <c r="H35" s="60">
        <f t="shared" ca="1" si="8"/>
        <v>8.0300251901721086E-3</v>
      </c>
      <c r="I35" s="62">
        <f t="shared" ca="1" si="8"/>
        <v>8287.125</v>
      </c>
      <c r="L35" s="482">
        <f t="shared" ref="L35:L47" ca="1" si="9">MATCH( $C35, INDIRECT( L$3 ), 0 )</f>
        <v>47</v>
      </c>
    </row>
    <row r="36" spans="2:12">
      <c r="B36" s="54" t="s">
        <v>45</v>
      </c>
      <c r="C36" s="55" t="s">
        <v>131</v>
      </c>
      <c r="D36" s="55"/>
      <c r="E36" s="60">
        <f t="shared" ca="1" si="8"/>
        <v>-4.4709536703382007E-2</v>
      </c>
      <c r="F36" s="61">
        <f t="shared" ca="1" si="8"/>
        <v>-11.077358739439669</v>
      </c>
      <c r="G36" s="61">
        <f t="shared" ca="1" si="8"/>
        <v>84.697845068665529</v>
      </c>
      <c r="H36" s="60">
        <f t="shared" ca="1" si="8"/>
        <v>2.9907560353884485E-3</v>
      </c>
      <c r="I36" s="62">
        <f t="shared" ca="1" si="8"/>
        <v>3086.5119999999997</v>
      </c>
      <c r="L36" s="482">
        <f t="shared" ca="1" si="9"/>
        <v>48</v>
      </c>
    </row>
    <row r="37" spans="2:12">
      <c r="B37" s="54" t="s">
        <v>102</v>
      </c>
      <c r="C37" s="55" t="s">
        <v>150</v>
      </c>
      <c r="D37" s="55"/>
      <c r="E37" s="60">
        <f t="shared" ca="1" si="8"/>
        <v>0.53140829730238393</v>
      </c>
      <c r="F37" s="61">
        <f t="shared" ca="1" si="8"/>
        <v>12.251062362450282</v>
      </c>
      <c r="G37" s="61">
        <f t="shared" ca="1" si="8"/>
        <v>20.250091650186032</v>
      </c>
      <c r="H37" s="60">
        <f t="shared" ca="1" si="8"/>
        <v>4.1786760320087789E-2</v>
      </c>
      <c r="I37" s="62">
        <f t="shared" ca="1" si="8"/>
        <v>43124.659999999996</v>
      </c>
      <c r="L37" s="482">
        <f t="shared" ca="1" si="9"/>
        <v>92</v>
      </c>
    </row>
    <row r="38" spans="2:12">
      <c r="B38" s="54" t="s">
        <v>29</v>
      </c>
      <c r="C38" s="55" t="s">
        <v>133</v>
      </c>
      <c r="D38" s="55"/>
      <c r="E38" s="60">
        <f t="shared" ca="1" si="8"/>
        <v>0.21598803849268078</v>
      </c>
      <c r="F38" s="61">
        <f t="shared" ca="1" si="8"/>
        <v>23.250626858562097</v>
      </c>
      <c r="G38" s="61">
        <f t="shared" ca="1" si="8"/>
        <v>105.72097378955375</v>
      </c>
      <c r="H38" s="60">
        <f t="shared" ca="1" si="8"/>
        <v>9.3417108724070056E-3</v>
      </c>
      <c r="I38" s="62">
        <f t="shared" ca="1" si="8"/>
        <v>9640.8073299999996</v>
      </c>
      <c r="L38" s="482">
        <f t="shared" ca="1" si="9"/>
        <v>51</v>
      </c>
    </row>
    <row r="39" spans="2:12">
      <c r="B39" s="54" t="s">
        <v>655</v>
      </c>
      <c r="C39" s="55" t="s">
        <v>653</v>
      </c>
      <c r="D39" s="55"/>
      <c r="E39" s="60">
        <f t="shared" ca="1" si="8"/>
        <v>9.282406243310648E-2</v>
      </c>
      <c r="F39" s="61">
        <f t="shared" ca="1" si="8"/>
        <v>22.743063141327035</v>
      </c>
      <c r="G39" s="61">
        <f t="shared" ca="1" si="8"/>
        <v>57.569026684852595</v>
      </c>
      <c r="H39" s="60">
        <f t="shared" ca="1" si="8"/>
        <v>4.3132610807158139E-3</v>
      </c>
      <c r="I39" s="62">
        <f t="shared" ca="1" si="8"/>
        <v>4451.3600999999999</v>
      </c>
      <c r="L39" s="482">
        <f t="shared" ca="1" si="9"/>
        <v>96</v>
      </c>
    </row>
    <row r="40" spans="2:12">
      <c r="B40" s="54" t="s">
        <v>79</v>
      </c>
      <c r="C40" s="55" t="s">
        <v>160</v>
      </c>
      <c r="D40" s="55"/>
      <c r="E40" s="60">
        <f t="shared" ca="1" si="8"/>
        <v>2.6044341759175846E-2</v>
      </c>
      <c r="F40" s="61">
        <f t="shared" ca="1" si="8"/>
        <v>5.2285619966704999</v>
      </c>
      <c r="G40" s="61">
        <f t="shared" ca="1" si="8"/>
        <v>53.071857283507882</v>
      </c>
      <c r="H40" s="60">
        <f t="shared" ca="1" si="8"/>
        <v>4.3891888768901998E-3</v>
      </c>
      <c r="I40" s="62">
        <f t="shared" ca="1" si="8"/>
        <v>4529.7188999999998</v>
      </c>
      <c r="L40" s="482">
        <f t="shared" ca="1" si="9"/>
        <v>110</v>
      </c>
    </row>
    <row r="41" spans="2:12">
      <c r="B41" s="54" t="s">
        <v>70</v>
      </c>
      <c r="C41" s="55" t="s">
        <v>132</v>
      </c>
      <c r="D41" s="55"/>
      <c r="E41" s="60">
        <f t="shared" ref="E41:I47" ca="1" si="10">OFFSET( INDIRECT( $L$2 ), $L41 - 1, E$1 - 1 )</f>
        <v>0.54695588183141541</v>
      </c>
      <c r="F41" s="61">
        <f t="shared" ca="1" si="10"/>
        <v>24.026020875805031</v>
      </c>
      <c r="G41" s="61">
        <f t="shared" ca="1" si="10"/>
        <v>40.570324754855854</v>
      </c>
      <c r="H41" s="60">
        <f t="shared" ca="1" si="10"/>
        <v>2.3219442926219278E-2</v>
      </c>
      <c r="I41" s="62">
        <f t="shared" ca="1" si="10"/>
        <v>23962.867039999997</v>
      </c>
      <c r="L41" s="482">
        <f t="shared" ca="1" si="9"/>
        <v>50</v>
      </c>
    </row>
    <row r="42" spans="2:12">
      <c r="B42" s="54" t="s">
        <v>16</v>
      </c>
      <c r="C42" s="55" t="s">
        <v>152</v>
      </c>
      <c r="D42" s="55"/>
      <c r="E42" s="60">
        <f t="shared" ca="1" si="10"/>
        <v>1.4747982717799288</v>
      </c>
      <c r="F42" s="61">
        <f t="shared" ca="1" si="10"/>
        <v>42.49483970618855</v>
      </c>
      <c r="G42" s="61">
        <f t="shared" ca="1" si="10"/>
        <v>100.51277819227468</v>
      </c>
      <c r="H42" s="60">
        <f t="shared" ca="1" si="10"/>
        <v>4.0770653332993706E-2</v>
      </c>
      <c r="I42" s="62">
        <f t="shared" ca="1" si="10"/>
        <v>42076.02</v>
      </c>
      <c r="L42" s="482">
        <f t="shared" ca="1" si="9"/>
        <v>97</v>
      </c>
    </row>
    <row r="43" spans="2:12">
      <c r="B43" s="54" t="s">
        <v>18</v>
      </c>
      <c r="C43" s="55" t="s">
        <v>654</v>
      </c>
      <c r="D43" s="55"/>
      <c r="E43" s="60">
        <f t="shared" ca="1" si="10"/>
        <v>1.1319410709061855</v>
      </c>
      <c r="F43" s="61">
        <f t="shared" ca="1" si="10"/>
        <v>21.095646999662911</v>
      </c>
      <c r="G43" s="61">
        <f t="shared" ca="1" si="10"/>
        <v>103.10938522318693</v>
      </c>
      <c r="H43" s="60">
        <f t="shared" ca="1" si="10"/>
        <v>5.3868016431937712E-2</v>
      </c>
      <c r="I43" s="62">
        <f t="shared" ca="1" si="10"/>
        <v>55592.725439999995</v>
      </c>
      <c r="L43" s="482">
        <f t="shared" ca="1" si="9"/>
        <v>100</v>
      </c>
    </row>
    <row r="44" spans="2:12">
      <c r="B44" s="54" t="s">
        <v>12</v>
      </c>
      <c r="C44" s="55" t="s">
        <v>136</v>
      </c>
      <c r="D44" s="55"/>
      <c r="E44" s="60">
        <f t="shared" ca="1" si="10"/>
        <v>1.8896701934883227</v>
      </c>
      <c r="F44" s="61">
        <f t="shared" ca="1" si="10"/>
        <v>21.654633936471555</v>
      </c>
      <c r="G44" s="61">
        <f t="shared" ca="1" si="10"/>
        <v>100.6402333367185</v>
      </c>
      <c r="H44" s="60">
        <f t="shared" ca="1" si="10"/>
        <v>8.7503415961446201E-2</v>
      </c>
      <c r="I44" s="62">
        <f t="shared" ca="1" si="10"/>
        <v>90305.04</v>
      </c>
      <c r="L44" s="482">
        <f t="shared" ca="1" si="9"/>
        <v>56</v>
      </c>
    </row>
    <row r="45" spans="2:12">
      <c r="B45" s="54" t="s">
        <v>49</v>
      </c>
      <c r="C45" s="55" t="s">
        <v>140</v>
      </c>
      <c r="D45" s="55"/>
      <c r="E45" s="60">
        <f t="shared" ca="1" si="10"/>
        <v>6.1093366600481801E-3</v>
      </c>
      <c r="F45" s="61">
        <f t="shared" ca="1" si="10"/>
        <v>6.3337305610909</v>
      </c>
      <c r="G45" s="61">
        <f t="shared" ca="1" si="10"/>
        <v>63.567630697160851</v>
      </c>
      <c r="H45" s="60">
        <f t="shared" ca="1" si="10"/>
        <v>8.4539182736985006E-4</v>
      </c>
      <c r="I45" s="62">
        <f t="shared" ca="1" si="10"/>
        <v>872.45900000000006</v>
      </c>
      <c r="L45" s="482">
        <f t="shared" ca="1" si="9"/>
        <v>64</v>
      </c>
    </row>
    <row r="46" spans="2:12">
      <c r="B46" s="54" t="s">
        <v>26</v>
      </c>
      <c r="C46" s="55" t="s">
        <v>542</v>
      </c>
      <c r="D46" s="55"/>
      <c r="E46" s="60">
        <f t="shared" ca="1" si="10"/>
        <v>0.48634888047151054</v>
      </c>
      <c r="F46" s="61">
        <f t="shared" ca="1" si="10"/>
        <v>16.075270288134689</v>
      </c>
      <c r="G46" s="61">
        <f t="shared" ca="1" si="10"/>
        <v>110.57309361366764</v>
      </c>
      <c r="H46" s="60">
        <f t="shared" ca="1" si="10"/>
        <v>2.8812935303986952E-2</v>
      </c>
      <c r="I46" s="62">
        <f t="shared" ca="1" si="10"/>
        <v>29735.448</v>
      </c>
      <c r="L46" s="482">
        <f t="shared" ca="1" si="9"/>
        <v>107</v>
      </c>
    </row>
    <row r="47" spans="2:12">
      <c r="B47" s="54" t="s">
        <v>23</v>
      </c>
      <c r="C47" s="55" t="s">
        <v>148</v>
      </c>
      <c r="D47" s="55"/>
      <c r="E47" s="60">
        <f t="shared" ca="1" si="10"/>
        <v>0.51195768758793203</v>
      </c>
      <c r="F47" s="61">
        <f t="shared" ca="1" si="10"/>
        <v>13.145090079277221</v>
      </c>
      <c r="G47" s="61">
        <f t="shared" ca="1" si="10"/>
        <v>78.65931855997006</v>
      </c>
      <c r="H47" s="60">
        <f t="shared" ca="1" si="10"/>
        <v>3.6899846167880578E-2</v>
      </c>
      <c r="I47" s="62">
        <f t="shared" ca="1" si="10"/>
        <v>38081.279999999999</v>
      </c>
      <c r="L47" s="482">
        <f t="shared" ca="1" si="9"/>
        <v>89</v>
      </c>
    </row>
  </sheetData>
  <sortState xmlns:xlrd2="http://schemas.microsoft.com/office/spreadsheetml/2017/richdata2" ref="C7:H56">
    <sortCondition ref="C7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>
    <tabColor theme="0" tint="-0.249977111117893"/>
    <outlinePr summaryBelow="0" summaryRight="0"/>
  </sheetPr>
  <dimension ref="B1:L52"/>
  <sheetViews>
    <sheetView zoomScaleNormal="100" workbookViewId="0"/>
  </sheetViews>
  <sheetFormatPr defaultColWidth="9.140625" defaultRowHeight="12.75"/>
  <cols>
    <col min="1" max="1" width="2.7109375" style="54" customWidth="1"/>
    <col min="2" max="2" width="9.140625" style="54"/>
    <col min="3" max="3" width="42.42578125" style="54" customWidth="1"/>
    <col min="4" max="4" width="2.7109375" style="54" customWidth="1"/>
    <col min="5" max="9" width="20.7109375" style="54" customWidth="1"/>
    <col min="10" max="11" width="9.140625" style="54"/>
    <col min="12" max="12" width="25.7109375" style="54" customWidth="1"/>
    <col min="13" max="16384" width="9.140625" style="54"/>
  </cols>
  <sheetData>
    <row r="1" spans="2:12">
      <c r="E1" s="63">
        <v>3</v>
      </c>
      <c r="F1" s="54">
        <f>E1+1</f>
        <v>4</v>
      </c>
      <c r="G1" s="54">
        <f t="shared" ref="G1:H1" si="0">F1+1</f>
        <v>5</v>
      </c>
      <c r="H1" s="54">
        <f t="shared" si="0"/>
        <v>6</v>
      </c>
      <c r="I1" s="66">
        <v>7</v>
      </c>
      <c r="L1" s="64" t="s">
        <v>283</v>
      </c>
    </row>
    <row r="2" spans="2:12">
      <c r="E2" s="63">
        <v>3</v>
      </c>
      <c r="F2" s="54">
        <f>E2</f>
        <v>3</v>
      </c>
      <c r="G2" s="54">
        <f t="shared" ref="G2:H2" si="1">F2</f>
        <v>3</v>
      </c>
      <c r="H2" s="54">
        <f t="shared" si="1"/>
        <v>3</v>
      </c>
      <c r="I2" s="63">
        <v>4</v>
      </c>
      <c r="K2" s="63" t="s">
        <v>596</v>
      </c>
      <c r="L2" s="59" t="str">
        <f>L$1 &amp; K2</f>
        <v>'YTD Calculation'!A1</v>
      </c>
    </row>
    <row r="3" spans="2:12">
      <c r="K3" s="63" t="s">
        <v>604</v>
      </c>
      <c r="L3" s="59" t="str">
        <f>L$1 &amp; K3</f>
        <v>'YTD Calculation'!B1:B200</v>
      </c>
    </row>
    <row r="4" spans="2:12">
      <c r="K4" s="63"/>
      <c r="L4" s="59"/>
    </row>
    <row r="5" spans="2:12">
      <c r="E5" s="483" t="str">
        <f ca="1">E6 &amp; ":::" &amp; E7</f>
        <v>2024.4:::Wgt % Return</v>
      </c>
      <c r="F5" s="483" t="str">
        <f t="shared" ref="F5:I5" ca="1" si="2">F6 &amp; ":::" &amp; F7</f>
        <v>2024.4:::% Return</v>
      </c>
      <c r="G5" s="483" t="str">
        <f t="shared" ca="1" si="2"/>
        <v>2024.4:::Annual  Return</v>
      </c>
      <c r="H5" s="483" t="str">
        <f t="shared" ca="1" si="2"/>
        <v>2024.4:::Wgt Mkt Cap %</v>
      </c>
      <c r="I5" s="483" t="str">
        <f t="shared" ca="1" si="2"/>
        <v>2024.4:::Mkt Cap</v>
      </c>
      <c r="K5" s="63"/>
      <c r="L5" s="59"/>
    </row>
    <row r="6" spans="2:12">
      <c r="E6" s="57">
        <f ca="1">OFFSET( INDIRECT( $L$2 ),E$2 - 1, E$1 - 1 )</f>
        <v>2024.4</v>
      </c>
      <c r="F6" s="57">
        <f ca="1">OFFSET( INDIRECT( $L$2 ),F$2 - 1, F$1 - 1 )</f>
        <v>2024.4</v>
      </c>
      <c r="G6" s="57">
        <f ca="1">OFFSET( INDIRECT( $L$2 ),G$2 - 1, G$1 - 1 )</f>
        <v>2024.4</v>
      </c>
      <c r="H6" s="57">
        <f ca="1">OFFSET( INDIRECT( $L$2 ),H$2 - 1, H$1 - 1 )</f>
        <v>2024.4</v>
      </c>
      <c r="I6" s="57">
        <f ca="1">OFFSET( INDIRECT( $L$2 ),I$2 - 1, I$1 - 1 )</f>
        <v>2024.4</v>
      </c>
    </row>
    <row r="7" spans="2:12">
      <c r="C7" s="54" t="s">
        <v>196</v>
      </c>
      <c r="E7" s="373" t="s">
        <v>347</v>
      </c>
      <c r="F7" s="374" t="s">
        <v>348</v>
      </c>
      <c r="G7" s="373" t="s">
        <v>349</v>
      </c>
      <c r="H7" s="373" t="s">
        <v>350</v>
      </c>
      <c r="I7" s="373" t="s">
        <v>284</v>
      </c>
      <c r="L7" s="482" t="s">
        <v>280</v>
      </c>
    </row>
    <row r="8" spans="2:12">
      <c r="E8" s="57"/>
      <c r="F8" s="58"/>
      <c r="G8" s="57"/>
      <c r="H8" s="57"/>
      <c r="I8" s="57"/>
    </row>
    <row r="9" spans="2:12">
      <c r="E9" s="57"/>
      <c r="F9" s="58"/>
      <c r="G9" s="57"/>
      <c r="H9" s="57"/>
      <c r="I9" s="57"/>
    </row>
    <row r="10" spans="2:12">
      <c r="B10" s="54" t="s">
        <v>40</v>
      </c>
      <c r="C10" s="55" t="s">
        <v>146</v>
      </c>
      <c r="D10" s="55"/>
      <c r="E10" s="60">
        <f ca="1">OFFSET( INDIRECT( $L$2 ), $L10 - 1, E$1 - 1 )</f>
        <v>4.3206711706161437E-2</v>
      </c>
      <c r="F10" s="61">
        <f t="shared" ref="F10:I27" ca="1" si="3">OFFSET( INDIRECT( $L$2 ), $L10 - 1, F$1 - 1 )</f>
        <v>10.799439740200633</v>
      </c>
      <c r="G10" s="61">
        <f t="shared" ca="1" si="3"/>
        <v>80.391784907116431</v>
      </c>
      <c r="H10" s="60">
        <f ca="1">OFFSET( INDIRECT( $L$2 ), $L10 - 1, H$1 - 1 )</f>
        <v>3.6292414496315937E-3</v>
      </c>
      <c r="I10" s="62">
        <f t="shared" ca="1" si="3"/>
        <v>3745.4399999999996</v>
      </c>
      <c r="L10" s="482">
        <f ca="1">MATCH( $C10, INDIRECT( L$3 ), 0 )</f>
        <v>84</v>
      </c>
    </row>
    <row r="11" spans="2:12">
      <c r="B11" s="54" t="s">
        <v>32</v>
      </c>
      <c r="C11" s="55" t="s">
        <v>156</v>
      </c>
      <c r="D11" s="55"/>
      <c r="E11" s="60">
        <f t="shared" ref="E11:E22" ca="1" si="4">OFFSET( INDIRECT( $L$2 ), $L11 - 1, E$1 - 1 )</f>
        <v>0.28704922009607753</v>
      </c>
      <c r="F11" s="61">
        <f t="shared" ca="1" si="3"/>
        <v>19.368251772407376</v>
      </c>
      <c r="G11" s="61">
        <f t="shared" ca="1" si="3"/>
        <v>69.295893960122655</v>
      </c>
      <c r="H11" s="60">
        <f t="shared" ca="1" si="3"/>
        <v>1.4704524667966682E-2</v>
      </c>
      <c r="I11" s="62">
        <f t="shared" ca="1" si="3"/>
        <v>15175.324000000002</v>
      </c>
      <c r="L11" s="482">
        <f t="shared" ref="L11:L35" ca="1" si="5">MATCH( $C11, INDIRECT( L$3 ), 0 )</f>
        <v>105</v>
      </c>
    </row>
    <row r="12" spans="2:12">
      <c r="B12" s="54" t="s">
        <v>21</v>
      </c>
      <c r="C12" s="55" t="s">
        <v>138</v>
      </c>
      <c r="D12" s="55"/>
      <c r="E12" s="60">
        <f t="shared" ca="1" si="4"/>
        <v>0.59415347230322935</v>
      </c>
      <c r="F12" s="61">
        <f t="shared" ca="1" si="3"/>
        <v>27.423580301773519</v>
      </c>
      <c r="G12" s="61">
        <f t="shared" ca="1" si="3"/>
        <v>103.08298679645205</v>
      </c>
      <c r="H12" s="60">
        <f t="shared" ca="1" si="3"/>
        <v>2.3044721980973869E-2</v>
      </c>
      <c r="I12" s="62">
        <f t="shared" ca="1" si="3"/>
        <v>23782.552</v>
      </c>
      <c r="L12" s="482">
        <f t="shared" ca="1" si="5"/>
        <v>62</v>
      </c>
    </row>
    <row r="13" spans="2:12">
      <c r="B13" s="54" t="s">
        <v>17</v>
      </c>
      <c r="C13" s="55" t="s">
        <v>113</v>
      </c>
      <c r="D13" s="55"/>
      <c r="E13" s="60">
        <f t="shared" ca="1" si="4"/>
        <v>0.86903233921183887</v>
      </c>
      <c r="F13" s="61">
        <f t="shared" ca="1" si="3"/>
        <v>18.03910868587284</v>
      </c>
      <c r="G13" s="61">
        <f t="shared" ca="1" si="3"/>
        <v>110.74947953286566</v>
      </c>
      <c r="H13" s="60">
        <f t="shared" ca="1" si="3"/>
        <v>4.756279195525312E-2</v>
      </c>
      <c r="I13" s="62">
        <f t="shared" ca="1" si="3"/>
        <v>49085.624633480002</v>
      </c>
      <c r="L13" s="482">
        <f t="shared" ca="1" si="5"/>
        <v>8</v>
      </c>
    </row>
    <row r="14" spans="2:12">
      <c r="B14" s="54" t="s">
        <v>44</v>
      </c>
      <c r="C14" s="55" t="s">
        <v>157</v>
      </c>
      <c r="D14" s="55"/>
      <c r="E14" s="60">
        <f t="shared" ca="1" si="4"/>
        <v>2.4938576099628535E-2</v>
      </c>
      <c r="F14" s="61">
        <f t="shared" ca="1" si="3"/>
        <v>7.9791870647401675</v>
      </c>
      <c r="G14" s="61">
        <f t="shared" ca="1" si="3"/>
        <v>45.855461315805151</v>
      </c>
      <c r="H14" s="60">
        <f t="shared" ca="1" si="3"/>
        <v>2.7981727153432489E-3</v>
      </c>
      <c r="I14" s="62">
        <f t="shared" ca="1" si="3"/>
        <v>2887.7626800000003</v>
      </c>
      <c r="L14" s="482">
        <f t="shared" ca="1" si="5"/>
        <v>106</v>
      </c>
    </row>
    <row r="15" spans="2:12">
      <c r="B15" s="54" t="s">
        <v>38</v>
      </c>
      <c r="C15" s="55" t="s">
        <v>114</v>
      </c>
      <c r="D15" s="55"/>
      <c r="E15" s="60">
        <f t="shared" ca="1" si="4"/>
        <v>5.5882887835537368E-2</v>
      </c>
      <c r="F15" s="61">
        <f t="shared" ca="1" si="3"/>
        <v>13.502211956654087</v>
      </c>
      <c r="G15" s="61">
        <f t="shared" ca="1" si="3"/>
        <v>71.043507349770053</v>
      </c>
      <c r="H15" s="60">
        <f t="shared" ca="1" si="3"/>
        <v>3.9976655023407351E-3</v>
      </c>
      <c r="I15" s="62">
        <f t="shared" ca="1" si="3"/>
        <v>4125.66</v>
      </c>
      <c r="L15" s="482">
        <f t="shared" ca="1" si="5"/>
        <v>11</v>
      </c>
    </row>
    <row r="16" spans="2:12">
      <c r="B16" s="54" t="s">
        <v>27</v>
      </c>
      <c r="C16" s="55" t="s">
        <v>125</v>
      </c>
      <c r="D16" s="55"/>
      <c r="E16" s="60">
        <f t="shared" ca="1" si="4"/>
        <v>0.29083474525311809</v>
      </c>
      <c r="F16" s="61">
        <f t="shared" ca="1" si="3"/>
        <v>14.151704743634163</v>
      </c>
      <c r="G16" s="61">
        <f t="shared" ca="1" si="3"/>
        <v>36.751312460497267</v>
      </c>
      <c r="H16" s="60">
        <f t="shared" ca="1" si="3"/>
        <v>1.9916912827812015E-2</v>
      </c>
      <c r="I16" s="62">
        <f t="shared" ca="1" si="3"/>
        <v>20554.59881</v>
      </c>
      <c r="L16" s="482">
        <f t="shared" ca="1" si="5"/>
        <v>35</v>
      </c>
    </row>
    <row r="17" spans="2:12">
      <c r="B17" s="54" t="s">
        <v>75</v>
      </c>
      <c r="C17" s="55" t="s">
        <v>142</v>
      </c>
      <c r="D17" s="55"/>
      <c r="E17" s="60">
        <f t="shared" ca="1" si="4"/>
        <v>0.35659151908468556</v>
      </c>
      <c r="F17" s="61">
        <f t="shared" ca="1" si="3"/>
        <v>18.516358236624409</v>
      </c>
      <c r="G17" s="61">
        <f t="shared" ca="1" si="3"/>
        <v>77.376321287129159</v>
      </c>
      <c r="H17" s="60">
        <f t="shared" ca="1" si="3"/>
        <v>1.9245510514157974E-2</v>
      </c>
      <c r="I17" s="62">
        <f t="shared" ca="1" si="3"/>
        <v>19861.7</v>
      </c>
      <c r="L17" s="482">
        <f t="shared" ca="1" si="5"/>
        <v>68</v>
      </c>
    </row>
    <row r="18" spans="2:12">
      <c r="B18" s="54" t="s">
        <v>101</v>
      </c>
      <c r="C18" s="55" t="s">
        <v>144</v>
      </c>
      <c r="D18" s="55"/>
      <c r="E18" s="60">
        <f t="shared" ca="1" si="4"/>
        <v>5.8499525255678517E-2</v>
      </c>
      <c r="F18" s="61">
        <f t="shared" ca="1" si="3"/>
        <v>1.6355522821581925</v>
      </c>
      <c r="G18" s="61">
        <f t="shared" ca="1" si="3"/>
        <v>107.53026311759815</v>
      </c>
      <c r="H18" s="60">
        <f t="shared" ca="1" si="3"/>
        <v>2.9933050236401363E-2</v>
      </c>
      <c r="I18" s="62">
        <f t="shared" ca="1" si="3"/>
        <v>30891.425999999999</v>
      </c>
      <c r="L18" s="482">
        <f t="shared" ca="1" si="5"/>
        <v>73</v>
      </c>
    </row>
    <row r="19" spans="2:12">
      <c r="B19" s="54" t="s">
        <v>10</v>
      </c>
      <c r="C19" s="55" t="s">
        <v>556</v>
      </c>
      <c r="D19" s="55"/>
      <c r="E19" s="60">
        <f t="shared" ca="1" si="4"/>
        <v>0.92193531602669265</v>
      </c>
      <c r="F19" s="61">
        <f t="shared" ca="1" si="3"/>
        <v>20.56886376040832</v>
      </c>
      <c r="G19" s="61">
        <f t="shared" ca="1" si="3"/>
        <v>67.047160582101199</v>
      </c>
      <c r="H19" s="60">
        <f t="shared" ca="1" si="3"/>
        <v>4.3786610496052605E-2</v>
      </c>
      <c r="I19" s="62">
        <f t="shared" ca="1" si="3"/>
        <v>45188.54</v>
      </c>
      <c r="L19" s="482">
        <f t="shared" ca="1" si="5"/>
        <v>22</v>
      </c>
    </row>
    <row r="20" spans="2:12">
      <c r="B20" s="54" t="s">
        <v>22</v>
      </c>
      <c r="C20" s="55" t="s">
        <v>118</v>
      </c>
      <c r="D20" s="55"/>
      <c r="E20" s="60">
        <f t="shared" ca="1" si="4"/>
        <v>0.34753821313919481</v>
      </c>
      <c r="F20" s="61">
        <f t="shared" ca="1" si="3"/>
        <v>13.426002844596606</v>
      </c>
      <c r="G20" s="61">
        <f t="shared" ca="1" si="3"/>
        <v>142.74441461206052</v>
      </c>
      <c r="H20" s="60">
        <f t="shared" ca="1" si="3"/>
        <v>2.4219797231808306E-2</v>
      </c>
      <c r="I20" s="62">
        <f t="shared" ca="1" si="3"/>
        <v>24995.25</v>
      </c>
      <c r="L20" s="482">
        <f t="shared" ca="1" si="5"/>
        <v>21</v>
      </c>
    </row>
    <row r="21" spans="2:12">
      <c r="B21" s="54" t="s">
        <v>11</v>
      </c>
      <c r="C21" s="55" t="s">
        <v>120</v>
      </c>
      <c r="D21" s="55"/>
      <c r="E21" s="60">
        <f t="shared" ca="1" si="4"/>
        <v>1.3205375060644045</v>
      </c>
      <c r="F21" s="61">
        <f t="shared" ca="1" si="3"/>
        <v>15.487273010956116</v>
      </c>
      <c r="G21" s="61">
        <f t="shared" ca="1" si="3"/>
        <v>132.26593068130441</v>
      </c>
      <c r="H21" s="60">
        <f t="shared" ca="1" si="3"/>
        <v>8.0594849673393171E-2</v>
      </c>
      <c r="I21" s="62">
        <f t="shared" ca="1" si="3"/>
        <v>83175.28</v>
      </c>
      <c r="L21" s="482">
        <f t="shared" ca="1" si="5"/>
        <v>23</v>
      </c>
    </row>
    <row r="22" spans="2:12">
      <c r="B22" s="54" t="s">
        <v>15</v>
      </c>
      <c r="C22" s="55" t="s">
        <v>135</v>
      </c>
      <c r="D22" s="55"/>
      <c r="E22" s="60">
        <f t="shared" ca="1" si="4"/>
        <v>0.51030962869501528</v>
      </c>
      <c r="F22" s="61">
        <f t="shared" ca="1" si="3"/>
        <v>16.353814651360786</v>
      </c>
      <c r="G22" s="61">
        <f t="shared" ca="1" si="3"/>
        <v>99.49269603455356</v>
      </c>
      <c r="H22" s="60">
        <f t="shared" ca="1" si="3"/>
        <v>2.9939497802670172E-2</v>
      </c>
      <c r="I22" s="62">
        <f t="shared" ca="1" si="3"/>
        <v>30898.080000000002</v>
      </c>
      <c r="L22" s="482">
        <f t="shared" ca="1" si="5"/>
        <v>55</v>
      </c>
    </row>
    <row r="23" spans="2:12">
      <c r="B23" s="54" t="s">
        <v>14</v>
      </c>
      <c r="C23" s="55" t="s">
        <v>123</v>
      </c>
      <c r="D23" s="55"/>
      <c r="E23" s="60">
        <f t="shared" ref="E23:I36" ca="1" si="6">OFFSET( INDIRECT( $L$2 ), $L23 - 1, E$1 - 1 )</f>
        <v>1.3638911487042928</v>
      </c>
      <c r="F23" s="61">
        <f t="shared" ca="1" si="3"/>
        <v>55.93</v>
      </c>
      <c r="G23" s="61">
        <f t="shared" ca="1" si="3"/>
        <v>92.052494493908497</v>
      </c>
      <c r="H23" s="60">
        <f t="shared" ca="1" si="3"/>
        <v>3.1446033090463316E-2</v>
      </c>
      <c r="I23" s="62">
        <f t="shared" ca="1" si="3"/>
        <v>32452.850495879997</v>
      </c>
      <c r="L23" s="482">
        <f t="shared" ca="1" si="5"/>
        <v>28</v>
      </c>
    </row>
    <row r="24" spans="2:12">
      <c r="B24" s="54" t="s">
        <v>522</v>
      </c>
      <c r="C24" s="335" t="s">
        <v>523</v>
      </c>
      <c r="D24" s="55"/>
      <c r="E24" s="60">
        <f t="shared" ca="1" si="6"/>
        <v>-6.0241070059141193E-2</v>
      </c>
      <c r="F24" s="61">
        <f t="shared" ca="1" si="6"/>
        <v>-2.4490370047575927</v>
      </c>
      <c r="G24" s="61">
        <f t="shared" ca="1" si="6"/>
        <v>68.334816984197573</v>
      </c>
      <c r="H24" s="60">
        <f t="shared" ca="1" si="6"/>
        <v>2.0006702541412073E-2</v>
      </c>
      <c r="I24" s="62">
        <f t="shared" ca="1" si="6"/>
        <v>20647.263348739998</v>
      </c>
      <c r="L24" s="482">
        <f t="shared" ca="1" si="5"/>
        <v>45</v>
      </c>
    </row>
    <row r="25" spans="2:12">
      <c r="B25" s="54" t="s">
        <v>558</v>
      </c>
      <c r="C25" s="335" t="s">
        <v>557</v>
      </c>
      <c r="D25" s="55"/>
      <c r="E25" s="60">
        <f t="shared" ca="1" si="6"/>
        <v>0.31967361506738279</v>
      </c>
      <c r="F25" s="61">
        <f t="shared" ca="1" si="6"/>
        <v>23.35334257786721</v>
      </c>
      <c r="G25" s="61">
        <f t="shared" ca="1" si="6"/>
        <v>75.015312566793895</v>
      </c>
      <c r="H25" s="60">
        <f t="shared" ca="1" si="6"/>
        <v>1.3735200810873252E-2</v>
      </c>
      <c r="I25" s="62">
        <f t="shared" ca="1" si="6"/>
        <v>14174.965</v>
      </c>
      <c r="L25" s="482">
        <f t="shared" ca="1" si="5"/>
        <v>39</v>
      </c>
    </row>
    <row r="26" spans="2:12">
      <c r="B26" s="54" t="s">
        <v>9</v>
      </c>
      <c r="C26" s="55" t="s">
        <v>151</v>
      </c>
      <c r="D26" s="55"/>
      <c r="E26" s="60">
        <f t="shared" ca="1" si="6"/>
        <v>0.37345111496348471</v>
      </c>
      <c r="F26" s="61">
        <f t="shared" ca="1" si="3"/>
        <v>9.164512183102147</v>
      </c>
      <c r="G26" s="61">
        <f t="shared" ca="1" si="3"/>
        <v>45.093071801099157</v>
      </c>
      <c r="H26" s="60">
        <f t="shared" ca="1" si="3"/>
        <v>3.6581673210257168E-2</v>
      </c>
      <c r="I26" s="62">
        <f t="shared" ca="1" si="3"/>
        <v>37752.92</v>
      </c>
      <c r="L26" s="482">
        <f t="shared" ca="1" si="5"/>
        <v>94</v>
      </c>
    </row>
    <row r="27" spans="2:12">
      <c r="B27" s="54" t="s">
        <v>13</v>
      </c>
      <c r="C27" s="55" t="s">
        <v>129</v>
      </c>
      <c r="D27" s="55"/>
      <c r="E27" s="60">
        <f t="shared" ca="1" si="6"/>
        <v>0.31558337096259803</v>
      </c>
      <c r="F27" s="61">
        <f t="shared" ca="1" si="3"/>
        <v>13.182458347516102</v>
      </c>
      <c r="G27" s="61">
        <f t="shared" ca="1" si="3"/>
        <v>49.117928716474921</v>
      </c>
      <c r="H27" s="60">
        <f t="shared" ca="1" si="3"/>
        <v>2.2202418280099164E-2</v>
      </c>
      <c r="I27" s="62">
        <f t="shared" ca="1" si="3"/>
        <v>22913.279999999999</v>
      </c>
      <c r="L27" s="482">
        <f t="shared" ca="1" si="5"/>
        <v>46</v>
      </c>
    </row>
    <row r="28" spans="2:12">
      <c r="B28" s="54" t="s">
        <v>35</v>
      </c>
      <c r="C28" s="55" t="s">
        <v>124</v>
      </c>
      <c r="D28" s="55"/>
      <c r="E28" s="60">
        <f t="shared" ca="1" si="6"/>
        <v>-5.5772863494172584E-2</v>
      </c>
      <c r="F28" s="61">
        <f t="shared" ca="1" si="6"/>
        <v>-31.430584918957017</v>
      </c>
      <c r="G28" s="61">
        <f t="shared" ca="1" si="6"/>
        <v>11.315057514416756</v>
      </c>
      <c r="H28" s="60">
        <f t="shared" ca="1" si="6"/>
        <v>1.0781828256951165E-3</v>
      </c>
      <c r="I28" s="62">
        <f t="shared" ca="1" si="6"/>
        <v>1112.70334</v>
      </c>
      <c r="L28" s="482">
        <f t="shared" ca="1" si="5"/>
        <v>34</v>
      </c>
    </row>
    <row r="29" spans="2:12">
      <c r="B29" s="54" t="s">
        <v>39</v>
      </c>
      <c r="C29" s="55" t="s">
        <v>126</v>
      </c>
      <c r="D29" s="55"/>
      <c r="E29" s="60">
        <f t="shared" ca="1" si="6"/>
        <v>8.4962708620516733E-2</v>
      </c>
      <c r="F29" s="61">
        <f t="shared" ca="1" si="6"/>
        <v>14.948074083685835</v>
      </c>
      <c r="G29" s="61">
        <f t="shared" ca="1" si="6"/>
        <v>127.2807226833753</v>
      </c>
      <c r="H29" s="60">
        <f t="shared" ca="1" si="6"/>
        <v>5.653027348135848E-3</v>
      </c>
      <c r="I29" s="62">
        <f t="shared" ca="1" si="6"/>
        <v>5834.0220800000006</v>
      </c>
      <c r="L29" s="482">
        <f t="shared" ca="1" si="5"/>
        <v>36</v>
      </c>
    </row>
    <row r="30" spans="2:12">
      <c r="B30" s="54" t="s">
        <v>30</v>
      </c>
      <c r="C30" s="55" t="s">
        <v>159</v>
      </c>
      <c r="D30" s="55"/>
      <c r="E30" s="60">
        <f t="shared" ca="1" si="6"/>
        <v>0.33291473950916733</v>
      </c>
      <c r="F30" s="61">
        <f t="shared" ca="1" si="6"/>
        <v>72.45</v>
      </c>
      <c r="G30" s="61">
        <f t="shared" ca="1" si="6"/>
        <v>20.883387958808243</v>
      </c>
      <c r="H30" s="60">
        <f t="shared" ca="1" si="6"/>
        <v>3.5600776485268503E-3</v>
      </c>
      <c r="I30" s="62">
        <f t="shared" ca="1" si="6"/>
        <v>3674.06176</v>
      </c>
      <c r="L30" s="482">
        <f t="shared" ca="1" si="5"/>
        <v>109</v>
      </c>
    </row>
    <row r="31" spans="2:12">
      <c r="B31" s="54" t="s">
        <v>47</v>
      </c>
      <c r="C31" s="55" t="s">
        <v>145</v>
      </c>
      <c r="D31" s="55"/>
      <c r="E31" s="60">
        <f t="shared" ca="1" si="6"/>
        <v>9.7368185895040316E-2</v>
      </c>
      <c r="F31" s="61">
        <f t="shared" ca="1" si="6"/>
        <v>32.672596185477772</v>
      </c>
      <c r="G31" s="61">
        <f t="shared" ca="1" si="6"/>
        <v>104.58471391237298</v>
      </c>
      <c r="H31" s="60">
        <f t="shared" ca="1" si="6"/>
        <v>3.294098582858564E-3</v>
      </c>
      <c r="I31" s="62">
        <f t="shared" ca="1" si="6"/>
        <v>3399.5667599999997</v>
      </c>
      <c r="L31" s="482">
        <f t="shared" ca="1" si="5"/>
        <v>82</v>
      </c>
    </row>
    <row r="32" spans="2:12">
      <c r="B32" s="54" t="s">
        <v>198</v>
      </c>
      <c r="C32" s="55" t="s">
        <v>197</v>
      </c>
      <c r="D32" s="55"/>
      <c r="E32" s="60">
        <f t="shared" ca="1" si="6"/>
        <v>3.0147576399533524</v>
      </c>
      <c r="F32" s="61">
        <f t="shared" ca="1" si="6"/>
        <v>21.440402190398466</v>
      </c>
      <c r="G32" s="61">
        <f t="shared" ca="1" si="6"/>
        <v>80.674907464473463</v>
      </c>
      <c r="H32" s="60">
        <f t="shared" ca="1" si="6"/>
        <v>0.14264820318646587</v>
      </c>
      <c r="I32" s="62">
        <f t="shared" ca="1" si="6"/>
        <v>147215.41500000001</v>
      </c>
      <c r="L32" s="482">
        <f t="shared" ca="1" si="5"/>
        <v>29</v>
      </c>
    </row>
    <row r="33" spans="2:12">
      <c r="B33" s="54" t="s">
        <v>24</v>
      </c>
      <c r="C33" s="55" t="s">
        <v>147</v>
      </c>
      <c r="D33" s="55"/>
      <c r="E33" s="60">
        <f t="shared" ca="1" si="6"/>
        <v>0.54014282532305424</v>
      </c>
      <c r="F33" s="61">
        <f t="shared" ca="1" si="6"/>
        <v>43.17158085905308</v>
      </c>
      <c r="G33" s="61">
        <f t="shared" ca="1" si="6"/>
        <v>43.800847689102646</v>
      </c>
      <c r="H33" s="60">
        <f t="shared" ca="1" si="6"/>
        <v>1.6096478063889395E-2</v>
      </c>
      <c r="I33" s="62">
        <f t="shared" ca="1" si="6"/>
        <v>16611.843999999997</v>
      </c>
      <c r="L33" s="482">
        <f t="shared" ca="1" si="5"/>
        <v>86</v>
      </c>
    </row>
    <row r="34" spans="2:12">
      <c r="B34" s="54" t="s">
        <v>162</v>
      </c>
      <c r="C34" s="55" t="s">
        <v>149</v>
      </c>
      <c r="D34" s="55"/>
      <c r="E34" s="60">
        <f t="shared" ca="1" si="6"/>
        <v>3.6180337438969631E-2</v>
      </c>
      <c r="F34" s="61">
        <f t="shared" ca="1" si="6"/>
        <v>10.321184386893133</v>
      </c>
      <c r="G34" s="61">
        <f t="shared" ca="1" si="6"/>
        <v>67.005118469766785</v>
      </c>
      <c r="H34" s="60">
        <f t="shared" ca="1" si="6"/>
        <v>3.175517149587026E-3</v>
      </c>
      <c r="I34" s="62">
        <f t="shared" ca="1" si="6"/>
        <v>3277.1886681599999</v>
      </c>
      <c r="L34" s="482">
        <f t="shared" ca="1" si="5"/>
        <v>90</v>
      </c>
    </row>
    <row r="35" spans="2:12">
      <c r="B35" s="54" t="s">
        <v>34</v>
      </c>
      <c r="C35" s="55" t="s">
        <v>130</v>
      </c>
      <c r="D35" s="55"/>
      <c r="E35" s="60">
        <f t="shared" ref="E35:I45" ca="1" si="7">OFFSET( INDIRECT( $L$2 ), $L35 - 1, E$1 - 1 )</f>
        <v>0.18676378253405279</v>
      </c>
      <c r="F35" s="61">
        <f t="shared" ca="1" si="7"/>
        <v>23.422999315054561</v>
      </c>
      <c r="G35" s="61">
        <f t="shared" ca="1" si="7"/>
        <v>51.966051499059375</v>
      </c>
      <c r="H35" s="60">
        <f t="shared" ca="1" si="7"/>
        <v>8.0300251901721086E-3</v>
      </c>
      <c r="I35" s="62">
        <f t="shared" ca="1" si="7"/>
        <v>8287.125</v>
      </c>
      <c r="L35" s="482">
        <f t="shared" ca="1" si="5"/>
        <v>47</v>
      </c>
    </row>
    <row r="36" spans="2:12">
      <c r="B36" s="54" t="s">
        <v>45</v>
      </c>
      <c r="C36" s="55" t="s">
        <v>131</v>
      </c>
      <c r="D36" s="55"/>
      <c r="E36" s="60">
        <f t="shared" ca="1" si="6"/>
        <v>-4.4709536703382007E-2</v>
      </c>
      <c r="F36" s="61">
        <f t="shared" ca="1" si="6"/>
        <v>-11.077358739439669</v>
      </c>
      <c r="G36" s="61">
        <f t="shared" ca="1" si="6"/>
        <v>84.697845068665529</v>
      </c>
      <c r="H36" s="60">
        <f t="shared" ca="1" si="6"/>
        <v>2.9907560353884485E-3</v>
      </c>
      <c r="I36" s="62">
        <f t="shared" ca="1" si="6"/>
        <v>3086.5119999999997</v>
      </c>
      <c r="L36" s="482">
        <f t="shared" ref="L36:L47" ca="1" si="8">MATCH( $C36, INDIRECT( L$3 ), 0 )</f>
        <v>48</v>
      </c>
    </row>
    <row r="37" spans="2:12">
      <c r="B37" s="54" t="s">
        <v>102</v>
      </c>
      <c r="C37" s="55" t="s">
        <v>150</v>
      </c>
      <c r="D37" s="55"/>
      <c r="E37" s="60">
        <f t="shared" ca="1" si="7"/>
        <v>0.53140829730238393</v>
      </c>
      <c r="F37" s="61">
        <f t="shared" ca="1" si="7"/>
        <v>12.251062362450282</v>
      </c>
      <c r="G37" s="61">
        <f t="shared" ca="1" si="7"/>
        <v>20.250091650186032</v>
      </c>
      <c r="H37" s="60">
        <f t="shared" ca="1" si="7"/>
        <v>4.1786760320087789E-2</v>
      </c>
      <c r="I37" s="62">
        <f t="shared" ca="1" si="7"/>
        <v>43124.659999999996</v>
      </c>
      <c r="L37" s="482">
        <f t="shared" ca="1" si="8"/>
        <v>92</v>
      </c>
    </row>
    <row r="38" spans="2:12">
      <c r="B38" s="54" t="s">
        <v>29</v>
      </c>
      <c r="C38" s="55" t="s">
        <v>133</v>
      </c>
      <c r="D38" s="55"/>
      <c r="E38" s="60">
        <f t="shared" ca="1" si="7"/>
        <v>0.21598803849268078</v>
      </c>
      <c r="F38" s="61">
        <f t="shared" ca="1" si="7"/>
        <v>23.250626858562097</v>
      </c>
      <c r="G38" s="61">
        <f t="shared" ca="1" si="7"/>
        <v>105.72097378955375</v>
      </c>
      <c r="H38" s="60">
        <f t="shared" ca="1" si="7"/>
        <v>9.3417108724070056E-3</v>
      </c>
      <c r="I38" s="62">
        <f t="shared" ca="1" si="7"/>
        <v>9640.8073299999996</v>
      </c>
      <c r="L38" s="482">
        <f t="shared" ca="1" si="8"/>
        <v>51</v>
      </c>
    </row>
    <row r="39" spans="2:12">
      <c r="B39" s="54" t="s">
        <v>655</v>
      </c>
      <c r="C39" s="55" t="s">
        <v>653</v>
      </c>
      <c r="D39" s="55"/>
      <c r="E39" s="60">
        <f t="shared" ca="1" si="7"/>
        <v>9.282406243310648E-2</v>
      </c>
      <c r="F39" s="61">
        <f t="shared" ca="1" si="7"/>
        <v>22.743063141327035</v>
      </c>
      <c r="G39" s="61">
        <f t="shared" ca="1" si="7"/>
        <v>57.569026684852595</v>
      </c>
      <c r="H39" s="60">
        <f t="shared" ca="1" si="7"/>
        <v>4.3132610807158139E-3</v>
      </c>
      <c r="I39" s="62">
        <f t="shared" ca="1" si="7"/>
        <v>4451.3600999999999</v>
      </c>
      <c r="L39" s="482">
        <f t="shared" ca="1" si="8"/>
        <v>96</v>
      </c>
    </row>
    <row r="40" spans="2:12">
      <c r="B40" s="54" t="s">
        <v>79</v>
      </c>
      <c r="C40" s="55" t="s">
        <v>160</v>
      </c>
      <c r="D40" s="55"/>
      <c r="E40" s="60">
        <f t="shared" ca="1" si="7"/>
        <v>2.6044341759175846E-2</v>
      </c>
      <c r="F40" s="61">
        <f t="shared" ca="1" si="7"/>
        <v>5.2285619966704999</v>
      </c>
      <c r="G40" s="61">
        <f t="shared" ca="1" si="7"/>
        <v>53.071857283507882</v>
      </c>
      <c r="H40" s="60">
        <f t="shared" ca="1" si="7"/>
        <v>4.3891888768901998E-3</v>
      </c>
      <c r="I40" s="62">
        <f t="shared" ca="1" si="7"/>
        <v>4529.7188999999998</v>
      </c>
      <c r="L40" s="482">
        <f t="shared" ca="1" si="8"/>
        <v>110</v>
      </c>
    </row>
    <row r="41" spans="2:12">
      <c r="B41" s="54" t="s">
        <v>70</v>
      </c>
      <c r="C41" s="55" t="s">
        <v>132</v>
      </c>
      <c r="D41" s="55"/>
      <c r="E41" s="60">
        <f t="shared" ca="1" si="7"/>
        <v>0.54695588183141541</v>
      </c>
      <c r="F41" s="61">
        <f t="shared" ca="1" si="7"/>
        <v>24.026020875805031</v>
      </c>
      <c r="G41" s="61">
        <f t="shared" ca="1" si="7"/>
        <v>40.570324754855854</v>
      </c>
      <c r="H41" s="60">
        <f t="shared" ca="1" si="7"/>
        <v>2.3219442926219278E-2</v>
      </c>
      <c r="I41" s="62">
        <f t="shared" ca="1" si="7"/>
        <v>23962.867039999997</v>
      </c>
      <c r="L41" s="482">
        <f t="shared" ca="1" si="8"/>
        <v>50</v>
      </c>
    </row>
    <row r="42" spans="2:12">
      <c r="B42" s="54" t="s">
        <v>16</v>
      </c>
      <c r="C42" s="55" t="s">
        <v>152</v>
      </c>
      <c r="D42" s="55"/>
      <c r="E42" s="60">
        <f t="shared" ca="1" si="7"/>
        <v>1.4747982717799288</v>
      </c>
      <c r="F42" s="61">
        <f t="shared" ca="1" si="7"/>
        <v>42.49483970618855</v>
      </c>
      <c r="G42" s="61">
        <f t="shared" ca="1" si="7"/>
        <v>100.51277819227468</v>
      </c>
      <c r="H42" s="60">
        <f t="shared" ca="1" si="7"/>
        <v>4.0770653332993706E-2</v>
      </c>
      <c r="I42" s="62">
        <f t="shared" ca="1" si="7"/>
        <v>42076.02</v>
      </c>
      <c r="L42" s="482">
        <f t="shared" ca="1" si="8"/>
        <v>97</v>
      </c>
    </row>
    <row r="43" spans="2:12">
      <c r="B43" s="54" t="s">
        <v>18</v>
      </c>
      <c r="C43" s="55" t="s">
        <v>654</v>
      </c>
      <c r="D43" s="55"/>
      <c r="E43" s="60">
        <f t="shared" ca="1" si="7"/>
        <v>1.1319410709061855</v>
      </c>
      <c r="F43" s="61">
        <f t="shared" ca="1" si="7"/>
        <v>21.095646999662911</v>
      </c>
      <c r="G43" s="61">
        <f t="shared" ca="1" si="7"/>
        <v>103.10938522318693</v>
      </c>
      <c r="H43" s="60">
        <f t="shared" ca="1" si="7"/>
        <v>5.3868016431937712E-2</v>
      </c>
      <c r="I43" s="62">
        <f t="shared" ca="1" si="7"/>
        <v>55592.725439999995</v>
      </c>
      <c r="L43" s="482">
        <f t="shared" ca="1" si="8"/>
        <v>100</v>
      </c>
    </row>
    <row r="44" spans="2:12">
      <c r="B44" s="54" t="s">
        <v>12</v>
      </c>
      <c r="C44" s="55" t="s">
        <v>136</v>
      </c>
      <c r="D44" s="55"/>
      <c r="E44" s="60">
        <f t="shared" ca="1" si="7"/>
        <v>1.8896701934883227</v>
      </c>
      <c r="F44" s="61">
        <f t="shared" ca="1" si="7"/>
        <v>21.654633936471555</v>
      </c>
      <c r="G44" s="61">
        <f t="shared" ca="1" si="7"/>
        <v>100.6402333367185</v>
      </c>
      <c r="H44" s="60">
        <f t="shared" ca="1" si="7"/>
        <v>8.7503415961446201E-2</v>
      </c>
      <c r="I44" s="62">
        <f t="shared" ca="1" si="7"/>
        <v>90305.04</v>
      </c>
      <c r="L44" s="482">
        <f t="shared" ca="1" si="8"/>
        <v>56</v>
      </c>
    </row>
    <row r="45" spans="2:12">
      <c r="B45" s="54" t="s">
        <v>49</v>
      </c>
      <c r="C45" s="55" t="s">
        <v>140</v>
      </c>
      <c r="D45" s="55"/>
      <c r="E45" s="60">
        <f t="shared" ca="1" si="7"/>
        <v>6.1093366600481801E-3</v>
      </c>
      <c r="F45" s="61">
        <f t="shared" ca="1" si="7"/>
        <v>6.3337305610909</v>
      </c>
      <c r="G45" s="61">
        <f t="shared" ca="1" si="7"/>
        <v>63.567630697160851</v>
      </c>
      <c r="H45" s="60">
        <f t="shared" ca="1" si="7"/>
        <v>8.4539182736985006E-4</v>
      </c>
      <c r="I45" s="62">
        <f t="shared" ca="1" si="7"/>
        <v>872.45900000000006</v>
      </c>
      <c r="L45" s="482">
        <f t="shared" ca="1" si="8"/>
        <v>64</v>
      </c>
    </row>
    <row r="46" spans="2:12">
      <c r="B46" s="54" t="s">
        <v>26</v>
      </c>
      <c r="C46" s="55" t="s">
        <v>542</v>
      </c>
      <c r="D46" s="55"/>
      <c r="E46" s="60">
        <f t="shared" ref="E46:I47" ca="1" si="9">OFFSET( INDIRECT( $L$2 ), $L46 - 1, E$1 - 1 )</f>
        <v>0.48634888047151054</v>
      </c>
      <c r="F46" s="61">
        <f t="shared" ca="1" si="9"/>
        <v>16.075270288134689</v>
      </c>
      <c r="G46" s="61">
        <f t="shared" ca="1" si="9"/>
        <v>110.57309361366764</v>
      </c>
      <c r="H46" s="60">
        <f t="shared" ca="1" si="9"/>
        <v>2.8812935303986952E-2</v>
      </c>
      <c r="I46" s="62">
        <f t="shared" ca="1" si="9"/>
        <v>29735.448</v>
      </c>
      <c r="L46" s="482">
        <f t="shared" ca="1" si="8"/>
        <v>107</v>
      </c>
    </row>
    <row r="47" spans="2:12">
      <c r="B47" s="54" t="s">
        <v>23</v>
      </c>
      <c r="C47" s="55" t="s">
        <v>148</v>
      </c>
      <c r="D47" s="55"/>
      <c r="E47" s="60">
        <f t="shared" ca="1" si="9"/>
        <v>0.51195768758793203</v>
      </c>
      <c r="F47" s="61">
        <f t="shared" ca="1" si="9"/>
        <v>13.145090079277221</v>
      </c>
      <c r="G47" s="61">
        <f t="shared" ca="1" si="9"/>
        <v>78.65931855997006</v>
      </c>
      <c r="H47" s="60">
        <f t="shared" ca="1" si="9"/>
        <v>3.6899846167880578E-2</v>
      </c>
      <c r="I47" s="62">
        <f t="shared" ca="1" si="9"/>
        <v>38081.279999999999</v>
      </c>
      <c r="L47" s="482">
        <f t="shared" ca="1" si="8"/>
        <v>89</v>
      </c>
    </row>
    <row r="48" spans="2:12">
      <c r="D48" s="55"/>
      <c r="E48" s="60"/>
      <c r="F48" s="61"/>
      <c r="G48" s="61"/>
      <c r="H48" s="60"/>
      <c r="I48" s="62"/>
    </row>
    <row r="49" spans="4:9">
      <c r="D49" s="55"/>
      <c r="E49" s="60"/>
      <c r="F49" s="61"/>
      <c r="G49" s="61"/>
      <c r="H49" s="60"/>
      <c r="I49" s="62"/>
    </row>
    <row r="50" spans="4:9">
      <c r="D50" s="55"/>
      <c r="E50" s="60"/>
      <c r="F50" s="61"/>
      <c r="G50" s="61"/>
      <c r="H50" s="60"/>
      <c r="I50" s="62"/>
    </row>
    <row r="51" spans="4:9">
      <c r="F51" s="372"/>
    </row>
    <row r="52" spans="4:9">
      <c r="E52" s="67"/>
      <c r="F52" s="372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5">
    <tabColor theme="0" tint="-0.249977111117893"/>
    <outlinePr summaryBelow="0" summaryRight="0"/>
  </sheetPr>
  <dimension ref="B2:F100"/>
  <sheetViews>
    <sheetView zoomScaleNormal="100" workbookViewId="0"/>
  </sheetViews>
  <sheetFormatPr defaultColWidth="9.140625" defaultRowHeight="12.75"/>
  <cols>
    <col min="1" max="1" width="3.5703125" style="135" customWidth="1"/>
    <col min="2" max="2" width="9.28515625" style="136" customWidth="1"/>
    <col min="3" max="3" width="37.140625" style="135" customWidth="1"/>
    <col min="4" max="4" width="9" style="136" customWidth="1"/>
    <col min="5" max="5" width="13.7109375" style="136" customWidth="1"/>
    <col min="6" max="6" width="3.5703125" style="135" customWidth="1"/>
    <col min="7" max="16384" width="9.140625" style="135"/>
  </cols>
  <sheetData>
    <row r="2" spans="2:6" s="142" customFormat="1">
      <c r="B2" s="141"/>
      <c r="D2" s="141"/>
      <c r="E2" s="389"/>
      <c r="F2" s="389"/>
    </row>
    <row r="3" spans="2:6" s="142" customFormat="1">
      <c r="B3" s="141"/>
      <c r="D3" s="141"/>
      <c r="E3" s="141"/>
      <c r="F3" s="141"/>
    </row>
    <row r="4" spans="2:6" s="142" customFormat="1">
      <c r="B4" s="141"/>
      <c r="D4" s="141"/>
      <c r="E4" s="141"/>
      <c r="F4" s="141"/>
    </row>
    <row r="5" spans="2:6" s="142" customFormat="1" collapsed="1">
      <c r="B5" s="141" t="s">
        <v>61</v>
      </c>
      <c r="C5" s="142" t="s">
        <v>337</v>
      </c>
      <c r="D5" s="141" t="s">
        <v>292</v>
      </c>
      <c r="E5" s="389" t="s">
        <v>338</v>
      </c>
      <c r="F5" s="141"/>
    </row>
    <row r="6" spans="2:6" s="142" customFormat="1">
      <c r="B6" s="141"/>
      <c r="D6" s="141"/>
      <c r="E6" s="389"/>
      <c r="F6" s="141"/>
    </row>
    <row r="7" spans="2:6" s="142" customFormat="1">
      <c r="B7" s="141"/>
      <c r="D7" s="141"/>
      <c r="E7" s="389"/>
      <c r="F7" s="141"/>
    </row>
    <row r="8" spans="2:6" s="142" customFormat="1">
      <c r="B8" s="141"/>
      <c r="D8" s="141"/>
      <c r="E8" s="389"/>
      <c r="F8" s="141"/>
    </row>
    <row r="10" spans="2:6" collapsed="1">
      <c r="B10" s="375">
        <v>1</v>
      </c>
      <c r="C10" s="377" t="s">
        <v>172</v>
      </c>
      <c r="D10" s="375" t="s">
        <v>40</v>
      </c>
      <c r="E10" s="561">
        <v>4022309</v>
      </c>
      <c r="F10" s="151"/>
    </row>
    <row r="11" spans="2:6">
      <c r="B11" s="476">
        <f ca="1">OFFSET(B11,-1,0)+1</f>
        <v>2</v>
      </c>
      <c r="C11" s="377" t="s">
        <v>173</v>
      </c>
      <c r="D11" s="375" t="s">
        <v>32</v>
      </c>
      <c r="E11" s="561">
        <v>4057038</v>
      </c>
      <c r="F11" s="151"/>
    </row>
    <row r="12" spans="2:6">
      <c r="B12" s="476">
        <f t="shared" ref="B12:B47" ca="1" si="0">OFFSET(B12,-1,0)+1</f>
        <v>3</v>
      </c>
      <c r="C12" s="377" t="s">
        <v>185</v>
      </c>
      <c r="D12" s="375" t="s">
        <v>21</v>
      </c>
      <c r="E12" s="561">
        <v>4007308</v>
      </c>
      <c r="F12" s="151"/>
    </row>
    <row r="13" spans="2:6">
      <c r="B13" s="476">
        <f t="shared" ca="1" si="0"/>
        <v>4</v>
      </c>
      <c r="C13" s="377" t="s">
        <v>176</v>
      </c>
      <c r="D13" s="375" t="s">
        <v>17</v>
      </c>
      <c r="E13" s="561">
        <v>4006321</v>
      </c>
      <c r="F13" s="151"/>
    </row>
    <row r="14" spans="2:6">
      <c r="B14" s="476">
        <f t="shared" ca="1" si="0"/>
        <v>5</v>
      </c>
      <c r="C14" s="377" t="s">
        <v>167</v>
      </c>
      <c r="D14" s="375" t="s">
        <v>44</v>
      </c>
      <c r="E14" s="561">
        <v>4057075</v>
      </c>
      <c r="F14" s="151"/>
    </row>
    <row r="15" spans="2:6">
      <c r="B15" s="476">
        <f t="shared" ca="1" si="0"/>
        <v>6</v>
      </c>
      <c r="C15" s="377" t="s">
        <v>186</v>
      </c>
      <c r="D15" s="375" t="s">
        <v>38</v>
      </c>
      <c r="E15" s="561">
        <v>4010420</v>
      </c>
      <c r="F15" s="151"/>
    </row>
    <row r="16" spans="2:6">
      <c r="B16" s="476">
        <f t="shared" ca="1" si="0"/>
        <v>7</v>
      </c>
      <c r="C16" s="377" t="s">
        <v>177</v>
      </c>
      <c r="D16" s="375" t="s">
        <v>27</v>
      </c>
      <c r="E16" s="561">
        <v>4074390</v>
      </c>
      <c r="F16" s="151"/>
    </row>
    <row r="17" spans="2:6">
      <c r="B17" s="476">
        <f t="shared" ca="1" si="0"/>
        <v>8</v>
      </c>
      <c r="C17" s="377" t="s">
        <v>187</v>
      </c>
      <c r="D17" s="375" t="s">
        <v>75</v>
      </c>
      <c r="E17" s="561">
        <v>4004172</v>
      </c>
      <c r="F17" s="151"/>
    </row>
    <row r="18" spans="2:6">
      <c r="B18" s="476">
        <f t="shared" ca="1" si="0"/>
        <v>9</v>
      </c>
      <c r="C18" s="377" t="s">
        <v>170</v>
      </c>
      <c r="D18" s="375" t="s">
        <v>101</v>
      </c>
      <c r="E18" s="561">
        <v>4057041</v>
      </c>
      <c r="F18" s="151"/>
    </row>
    <row r="19" spans="2:6">
      <c r="B19" s="476">
        <f t="shared" ca="1" si="0"/>
        <v>10</v>
      </c>
      <c r="C19" s="377" t="s">
        <v>561</v>
      </c>
      <c r="D19" s="375" t="s">
        <v>10</v>
      </c>
      <c r="E19" s="561">
        <v>4001616</v>
      </c>
      <c r="F19" s="151"/>
    </row>
    <row r="20" spans="2:6">
      <c r="B20" s="476">
        <f t="shared" ca="1" si="0"/>
        <v>11</v>
      </c>
      <c r="C20" s="377" t="s">
        <v>178</v>
      </c>
      <c r="D20" s="375" t="s">
        <v>22</v>
      </c>
      <c r="E20" s="561">
        <v>4057044</v>
      </c>
      <c r="F20" s="151"/>
    </row>
    <row r="21" spans="2:6">
      <c r="B21" s="476">
        <f t="shared" ca="1" si="0"/>
        <v>12</v>
      </c>
      <c r="C21" s="377" t="s">
        <v>171</v>
      </c>
      <c r="D21" s="375" t="s">
        <v>11</v>
      </c>
      <c r="E21" s="561">
        <v>4121470</v>
      </c>
      <c r="F21" s="151"/>
    </row>
    <row r="22" spans="2:6">
      <c r="B22" s="476">
        <f t="shared" ca="1" si="0"/>
        <v>13</v>
      </c>
      <c r="C22" s="377" t="s">
        <v>74</v>
      </c>
      <c r="D22" s="375" t="s">
        <v>15</v>
      </c>
      <c r="E22" s="561">
        <v>4056943</v>
      </c>
      <c r="F22" s="151"/>
    </row>
    <row r="23" spans="2:6">
      <c r="B23" s="476">
        <f t="shared" ca="1" si="0"/>
        <v>14</v>
      </c>
      <c r="C23" s="377" t="s">
        <v>179</v>
      </c>
      <c r="D23" s="375" t="s">
        <v>14</v>
      </c>
      <c r="E23" s="561">
        <v>4007889</v>
      </c>
      <c r="F23" s="151"/>
    </row>
    <row r="24" spans="2:6">
      <c r="B24" s="476">
        <f t="shared" ca="1" si="0"/>
        <v>15</v>
      </c>
      <c r="C24" s="377" t="s">
        <v>559</v>
      </c>
      <c r="D24" s="375" t="s">
        <v>558</v>
      </c>
      <c r="E24" s="561">
        <v>8603803</v>
      </c>
      <c r="F24" s="151"/>
    </row>
    <row r="25" spans="2:6">
      <c r="B25" s="476">
        <f t="shared" ca="1" si="0"/>
        <v>16</v>
      </c>
      <c r="C25" s="377" t="s">
        <v>521</v>
      </c>
      <c r="D25" s="375" t="s">
        <v>522</v>
      </c>
      <c r="E25" s="561">
        <v>4057052</v>
      </c>
      <c r="F25" s="151"/>
    </row>
    <row r="26" spans="2:6">
      <c r="B26" s="476">
        <f t="shared" ca="1" si="0"/>
        <v>17</v>
      </c>
      <c r="C26" s="377" t="s">
        <v>180</v>
      </c>
      <c r="D26" s="375" t="s">
        <v>9</v>
      </c>
      <c r="E26" s="561">
        <v>4057056</v>
      </c>
      <c r="F26" s="151"/>
    </row>
    <row r="27" spans="2:6">
      <c r="B27" s="476">
        <f t="shared" ca="1" si="0"/>
        <v>18</v>
      </c>
      <c r="C27" s="377" t="s">
        <v>76</v>
      </c>
      <c r="D27" s="375" t="s">
        <v>13</v>
      </c>
      <c r="E27" s="561">
        <v>4056944</v>
      </c>
      <c r="F27" s="151"/>
    </row>
    <row r="28" spans="2:6">
      <c r="B28" s="476">
        <f t="shared" ca="1" si="0"/>
        <v>19</v>
      </c>
      <c r="C28" s="377" t="s">
        <v>163</v>
      </c>
      <c r="D28" s="375" t="s">
        <v>35</v>
      </c>
      <c r="E28" s="561">
        <v>1031123</v>
      </c>
      <c r="F28" s="151"/>
    </row>
    <row r="29" spans="2:6">
      <c r="B29" s="476">
        <f t="shared" ca="1" si="0"/>
        <v>20</v>
      </c>
      <c r="C29" s="377" t="s">
        <v>181</v>
      </c>
      <c r="D29" s="375" t="s">
        <v>39</v>
      </c>
      <c r="E29" s="561">
        <v>4056949</v>
      </c>
      <c r="F29" s="151"/>
    </row>
    <row r="30" spans="2:6">
      <c r="B30" s="476">
        <f t="shared" ca="1" si="0"/>
        <v>21</v>
      </c>
      <c r="C30" s="377" t="s">
        <v>174</v>
      </c>
      <c r="D30" s="375" t="s">
        <v>30</v>
      </c>
      <c r="E30" s="561">
        <v>4010692</v>
      </c>
      <c r="F30" s="151"/>
    </row>
    <row r="31" spans="2:6">
      <c r="B31" s="476">
        <f t="shared" ca="1" si="0"/>
        <v>22</v>
      </c>
      <c r="C31" s="377" t="s">
        <v>165</v>
      </c>
      <c r="D31" s="375" t="s">
        <v>47</v>
      </c>
      <c r="E31" s="561">
        <v>4072883</v>
      </c>
      <c r="F31" s="151"/>
    </row>
    <row r="32" spans="2:6">
      <c r="B32" s="476">
        <f t="shared" ca="1" si="0"/>
        <v>23</v>
      </c>
      <c r="C32" s="377" t="s">
        <v>199</v>
      </c>
      <c r="D32" s="375" t="s">
        <v>198</v>
      </c>
      <c r="E32" s="561">
        <v>3010401</v>
      </c>
      <c r="F32" s="151"/>
    </row>
    <row r="33" spans="2:6">
      <c r="B33" s="476">
        <f t="shared" ca="1" si="0"/>
        <v>24</v>
      </c>
      <c r="C33" s="377" t="s">
        <v>188</v>
      </c>
      <c r="D33" s="375" t="s">
        <v>24</v>
      </c>
      <c r="E33" s="561">
        <v>4057051</v>
      </c>
      <c r="F33" s="151"/>
    </row>
    <row r="34" spans="2:6">
      <c r="B34" s="476">
        <f t="shared" ca="1" si="0"/>
        <v>25</v>
      </c>
      <c r="C34" s="377" t="s">
        <v>182</v>
      </c>
      <c r="D34" s="375" t="s">
        <v>162</v>
      </c>
      <c r="E34" s="561">
        <v>4057053</v>
      </c>
      <c r="F34" s="151"/>
    </row>
    <row r="35" spans="2:6">
      <c r="B35" s="476">
        <f t="shared" ca="1" si="0"/>
        <v>26</v>
      </c>
      <c r="C35" s="377" t="s">
        <v>78</v>
      </c>
      <c r="D35" s="375" t="s">
        <v>34</v>
      </c>
      <c r="E35" s="561">
        <v>4057055</v>
      </c>
      <c r="F35" s="151"/>
    </row>
    <row r="36" spans="2:6">
      <c r="B36" s="476">
        <f t="shared" ca="1" si="0"/>
        <v>27</v>
      </c>
      <c r="C36" s="377" t="s">
        <v>189</v>
      </c>
      <c r="D36" s="375" t="s">
        <v>45</v>
      </c>
      <c r="E36" s="561">
        <v>4057017</v>
      </c>
      <c r="F36" s="151"/>
    </row>
    <row r="37" spans="2:6">
      <c r="B37" s="476">
        <f t="shared" ca="1" si="0"/>
        <v>28</v>
      </c>
      <c r="C37" s="377" t="s">
        <v>166</v>
      </c>
      <c r="D37" s="375" t="s">
        <v>102</v>
      </c>
      <c r="E37" s="561">
        <v>4057057</v>
      </c>
      <c r="F37" s="151"/>
    </row>
    <row r="38" spans="2:6">
      <c r="B38" s="476">
        <f t="shared" ca="1" si="0"/>
        <v>29</v>
      </c>
      <c r="C38" s="377" t="s">
        <v>190</v>
      </c>
      <c r="D38" s="375" t="s">
        <v>29</v>
      </c>
      <c r="E38" s="561">
        <v>4056951</v>
      </c>
      <c r="F38" s="151"/>
    </row>
    <row r="39" spans="2:6">
      <c r="B39" s="476">
        <f t="shared" ca="1" si="0"/>
        <v>30</v>
      </c>
      <c r="C39" s="377" t="s">
        <v>656</v>
      </c>
      <c r="D39" s="375" t="s">
        <v>655</v>
      </c>
      <c r="E39" s="561">
        <v>4006880</v>
      </c>
      <c r="F39" s="151"/>
    </row>
    <row r="40" spans="2:6">
      <c r="B40" s="476">
        <f t="shared" ca="1" si="0"/>
        <v>31</v>
      </c>
      <c r="C40" s="377" t="s">
        <v>175</v>
      </c>
      <c r="D40" s="375" t="s">
        <v>79</v>
      </c>
      <c r="E40" s="561">
        <v>4057019</v>
      </c>
      <c r="F40" s="151"/>
    </row>
    <row r="41" spans="2:6">
      <c r="B41" s="476">
        <f t="shared" ca="1" si="0"/>
        <v>32</v>
      </c>
      <c r="C41" s="377" t="s">
        <v>183</v>
      </c>
      <c r="D41" s="375" t="s">
        <v>70</v>
      </c>
      <c r="E41" s="561">
        <v>4057058</v>
      </c>
      <c r="F41" s="151"/>
    </row>
    <row r="42" spans="2:6">
      <c r="B42" s="476">
        <f t="shared" ca="1" si="0"/>
        <v>33</v>
      </c>
      <c r="C42" s="377" t="s">
        <v>184</v>
      </c>
      <c r="D42" s="375" t="s">
        <v>16</v>
      </c>
      <c r="E42" s="561">
        <v>4050911</v>
      </c>
      <c r="F42" s="151"/>
    </row>
    <row r="43" spans="2:6">
      <c r="B43" s="476">
        <f t="shared" ca="1" si="0"/>
        <v>34</v>
      </c>
      <c r="C43" s="377" t="s">
        <v>657</v>
      </c>
      <c r="D43" s="375" t="s">
        <v>18</v>
      </c>
      <c r="E43" s="561">
        <v>4057062</v>
      </c>
      <c r="F43" s="151"/>
    </row>
    <row r="44" spans="2:6">
      <c r="B44" s="476">
        <f t="shared" ca="1" si="0"/>
        <v>35</v>
      </c>
      <c r="C44" s="377" t="s">
        <v>164</v>
      </c>
      <c r="D44" s="375" t="s">
        <v>12</v>
      </c>
      <c r="E44" s="561">
        <v>4004298</v>
      </c>
      <c r="F44" s="151"/>
    </row>
    <row r="45" spans="2:6">
      <c r="B45" s="476">
        <f t="shared" ca="1" si="0"/>
        <v>36</v>
      </c>
      <c r="C45" s="377" t="s">
        <v>191</v>
      </c>
      <c r="D45" s="375" t="s">
        <v>49</v>
      </c>
      <c r="E45" s="561">
        <v>4056953</v>
      </c>
      <c r="F45" s="151"/>
    </row>
    <row r="46" spans="2:6">
      <c r="B46" s="476">
        <f t="shared" ca="1" si="0"/>
        <v>37</v>
      </c>
      <c r="C46" s="377" t="s">
        <v>527</v>
      </c>
      <c r="D46" s="375" t="s">
        <v>26</v>
      </c>
      <c r="E46" s="561">
        <v>4009725</v>
      </c>
      <c r="F46" s="151"/>
    </row>
    <row r="47" spans="2:6">
      <c r="B47" s="476">
        <f t="shared" ca="1" si="0"/>
        <v>38</v>
      </c>
      <c r="C47" s="377" t="s">
        <v>77</v>
      </c>
      <c r="D47" s="375" t="s">
        <v>23</v>
      </c>
      <c r="E47" s="561">
        <v>4025308</v>
      </c>
      <c r="F47" s="151"/>
    </row>
    <row r="48" spans="2:6">
      <c r="B48" s="476"/>
      <c r="D48" s="135"/>
      <c r="F48" s="151"/>
    </row>
    <row r="49" spans="2:6">
      <c r="B49" s="476"/>
      <c r="C49" s="476"/>
      <c r="D49" s="476"/>
      <c r="E49" s="476"/>
      <c r="F49" s="151"/>
    </row>
    <row r="50" spans="2:6">
      <c r="B50" s="476"/>
      <c r="C50" s="476"/>
      <c r="D50" s="476"/>
      <c r="E50" s="476"/>
      <c r="F50" s="151"/>
    </row>
    <row r="51" spans="2:6">
      <c r="B51" s="476"/>
      <c r="C51" s="377"/>
      <c r="D51" s="375"/>
      <c r="E51" s="561"/>
      <c r="F51" s="151"/>
    </row>
    <row r="52" spans="2:6">
      <c r="B52" s="476"/>
      <c r="C52" s="377"/>
      <c r="D52" s="375"/>
      <c r="E52" s="561"/>
      <c r="F52" s="151"/>
    </row>
    <row r="53" spans="2:6">
      <c r="C53" s="136"/>
      <c r="F53" s="151"/>
    </row>
    <row r="54" spans="2:6">
      <c r="C54" s="150"/>
      <c r="E54" s="562"/>
      <c r="F54" s="151"/>
    </row>
    <row r="55" spans="2:6">
      <c r="C55" s="150"/>
      <c r="E55" s="562"/>
      <c r="F55" s="151"/>
    </row>
    <row r="56" spans="2:6">
      <c r="C56" s="150"/>
      <c r="E56" s="562"/>
      <c r="F56" s="152"/>
    </row>
    <row r="57" spans="2:6">
      <c r="C57" s="150"/>
      <c r="E57" s="562"/>
      <c r="F57" s="152"/>
    </row>
    <row r="58" spans="2:6">
      <c r="C58" s="150"/>
      <c r="E58" s="562"/>
      <c r="F58" s="151"/>
    </row>
    <row r="59" spans="2:6">
      <c r="C59" s="150"/>
      <c r="E59" s="562"/>
      <c r="F59" s="152"/>
    </row>
    <row r="60" spans="2:6">
      <c r="C60" s="150"/>
      <c r="E60" s="562"/>
      <c r="F60" s="152"/>
    </row>
    <row r="61" spans="2:6">
      <c r="C61" s="150"/>
      <c r="E61" s="562"/>
      <c r="F61" s="152"/>
    </row>
    <row r="62" spans="2:6">
      <c r="C62" s="150"/>
      <c r="E62" s="562"/>
      <c r="F62" s="152"/>
    </row>
    <row r="63" spans="2:6">
      <c r="C63" s="150"/>
      <c r="E63" s="562"/>
      <c r="F63" s="152"/>
    </row>
    <row r="64" spans="2:6">
      <c r="C64" s="150"/>
      <c r="E64" s="562"/>
      <c r="F64" s="151"/>
    </row>
    <row r="65" spans="3:6">
      <c r="C65" s="150"/>
      <c r="E65" s="562"/>
      <c r="F65" s="151"/>
    </row>
    <row r="66" spans="3:6">
      <c r="C66" s="150"/>
      <c r="E66" s="562"/>
      <c r="F66" s="151"/>
    </row>
    <row r="67" spans="3:6">
      <c r="C67" s="150"/>
      <c r="E67" s="562"/>
      <c r="F67" s="151"/>
    </row>
    <row r="68" spans="3:6">
      <c r="C68" s="150"/>
      <c r="E68" s="562"/>
      <c r="F68" s="151"/>
    </row>
    <row r="69" spans="3:6">
      <c r="C69" s="150"/>
      <c r="E69" s="562"/>
      <c r="F69" s="151"/>
    </row>
    <row r="70" spans="3:6">
      <c r="C70" s="150"/>
      <c r="E70" s="562"/>
      <c r="F70" s="151"/>
    </row>
    <row r="71" spans="3:6">
      <c r="C71" s="150"/>
      <c r="E71" s="562"/>
      <c r="F71" s="151"/>
    </row>
    <row r="72" spans="3:6">
      <c r="C72" s="150"/>
      <c r="E72" s="562"/>
      <c r="F72" s="151"/>
    </row>
    <row r="73" spans="3:6">
      <c r="C73" s="150"/>
      <c r="E73" s="562"/>
      <c r="F73" s="151"/>
    </row>
    <row r="74" spans="3:6">
      <c r="C74" s="150"/>
      <c r="E74" s="562"/>
      <c r="F74" s="151"/>
    </row>
    <row r="75" spans="3:6">
      <c r="C75" s="150"/>
      <c r="E75" s="562"/>
      <c r="F75" s="151"/>
    </row>
    <row r="76" spans="3:6">
      <c r="C76" s="150"/>
      <c r="E76" s="562"/>
      <c r="F76" s="151"/>
    </row>
    <row r="77" spans="3:6">
      <c r="C77" s="150"/>
      <c r="E77" s="562"/>
      <c r="F77" s="151"/>
    </row>
    <row r="78" spans="3:6">
      <c r="C78" s="150"/>
      <c r="E78" s="562"/>
      <c r="F78" s="151"/>
    </row>
    <row r="79" spans="3:6">
      <c r="C79" s="150"/>
      <c r="E79" s="562"/>
      <c r="F79" s="151"/>
    </row>
    <row r="80" spans="3:6">
      <c r="C80" s="150"/>
      <c r="E80" s="562"/>
      <c r="F80" s="151"/>
    </row>
    <row r="81" spans="3:6">
      <c r="C81" s="150"/>
      <c r="E81" s="562"/>
      <c r="F81" s="151"/>
    </row>
    <row r="82" spans="3:6">
      <c r="C82" s="150"/>
      <c r="E82" s="562"/>
      <c r="F82" s="151"/>
    </row>
    <row r="83" spans="3:6">
      <c r="C83" s="150"/>
      <c r="E83" s="562"/>
      <c r="F83" s="151"/>
    </row>
    <row r="84" spans="3:6">
      <c r="C84" s="150"/>
      <c r="E84" s="562"/>
      <c r="F84" s="151"/>
    </row>
    <row r="85" spans="3:6">
      <c r="C85" s="150"/>
      <c r="E85" s="562"/>
      <c r="F85" s="151"/>
    </row>
    <row r="86" spans="3:6">
      <c r="C86" s="150"/>
      <c r="E86" s="562"/>
      <c r="F86" s="151"/>
    </row>
    <row r="87" spans="3:6">
      <c r="C87" s="150"/>
      <c r="E87" s="562"/>
      <c r="F87" s="151"/>
    </row>
    <row r="88" spans="3:6">
      <c r="C88" s="150"/>
      <c r="E88" s="562"/>
      <c r="F88" s="151"/>
    </row>
    <row r="89" spans="3:6">
      <c r="C89" s="150"/>
      <c r="E89" s="562"/>
      <c r="F89" s="151"/>
    </row>
    <row r="90" spans="3:6">
      <c r="C90" s="150"/>
      <c r="E90" s="562"/>
      <c r="F90" s="151"/>
    </row>
    <row r="91" spans="3:6">
      <c r="C91" s="150"/>
      <c r="E91" s="562"/>
      <c r="F91" s="151"/>
    </row>
    <row r="92" spans="3:6">
      <c r="C92" s="150"/>
      <c r="E92" s="562"/>
      <c r="F92" s="151"/>
    </row>
    <row r="93" spans="3:6">
      <c r="C93" s="150"/>
      <c r="E93" s="562"/>
      <c r="F93" s="151"/>
    </row>
    <row r="94" spans="3:6">
      <c r="C94" s="150"/>
      <c r="E94" s="562"/>
      <c r="F94" s="151"/>
    </row>
    <row r="95" spans="3:6">
      <c r="C95" s="150"/>
      <c r="E95" s="562"/>
      <c r="F95" s="151"/>
    </row>
    <row r="96" spans="3:6">
      <c r="C96" s="150"/>
      <c r="E96" s="562"/>
      <c r="F96" s="151"/>
    </row>
    <row r="97" spans="3:6">
      <c r="C97" s="150"/>
      <c r="E97" s="562"/>
      <c r="F97" s="151"/>
    </row>
    <row r="98" spans="3:6">
      <c r="C98" s="150"/>
      <c r="E98" s="562"/>
      <c r="F98" s="151"/>
    </row>
    <row r="99" spans="3:6">
      <c r="C99" s="150"/>
      <c r="E99" s="562"/>
      <c r="F99" s="151"/>
    </row>
    <row r="100" spans="3:6">
      <c r="C100" s="150"/>
      <c r="E100" s="562"/>
    </row>
  </sheetData>
  <pageMargins left="0.33" right="0.26" top="0.32" bottom="0.26" header="0.2" footer="0.2"/>
  <pageSetup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theme="0" tint="-0.249977111117893"/>
    <outlinePr summaryBelow="0" summaryRight="0"/>
  </sheetPr>
  <dimension ref="A1:K64"/>
  <sheetViews>
    <sheetView zoomScaleNormal="100" workbookViewId="0"/>
  </sheetViews>
  <sheetFormatPr defaultColWidth="9.140625" defaultRowHeight="11.1" customHeight="1"/>
  <cols>
    <col min="1" max="1" width="2.7109375" style="135" customWidth="1"/>
    <col min="2" max="2" width="6.7109375" style="135" customWidth="1"/>
    <col min="3" max="3" width="40.7109375" style="135" customWidth="1"/>
    <col min="4" max="5" width="10.7109375" style="136" customWidth="1"/>
    <col min="6" max="6" width="20.7109375" style="136" customWidth="1"/>
    <col min="7" max="7" width="9.140625" style="135"/>
    <col min="8" max="8" width="10.42578125" style="135" bestFit="1" customWidth="1"/>
    <col min="9" max="16384" width="9.140625" style="135"/>
  </cols>
  <sheetData>
    <row r="1" spans="1:11" ht="11.1" customHeight="1">
      <c r="A1" s="135" t="s">
        <v>96</v>
      </c>
      <c r="C1" s="378"/>
      <c r="E1" s="379"/>
    </row>
    <row r="3" spans="1:11" ht="11.1" customHeight="1">
      <c r="F3" s="380">
        <v>45291</v>
      </c>
      <c r="H3" s="381"/>
    </row>
    <row r="5" spans="1:11" ht="11.1" customHeight="1">
      <c r="C5" s="142" t="s">
        <v>337</v>
      </c>
      <c r="D5" s="141" t="s">
        <v>292</v>
      </c>
      <c r="E5" s="389" t="s">
        <v>338</v>
      </c>
      <c r="F5" s="389" t="s">
        <v>355</v>
      </c>
    </row>
    <row r="6" spans="1:11" ht="11.1" customHeight="1">
      <c r="F6" s="382"/>
    </row>
    <row r="7" spans="1:11" ht="11.1" customHeight="1">
      <c r="F7" s="382"/>
    </row>
    <row r="8" spans="1:11" ht="11.1" customHeight="1">
      <c r="F8" s="382"/>
    </row>
    <row r="9" spans="1:11" ht="11.1" customHeight="1" collapsed="1">
      <c r="F9" s="382"/>
    </row>
    <row r="10" spans="1:11" ht="11.1" customHeight="1">
      <c r="B10" s="136"/>
      <c r="C10" s="142" t="s">
        <v>356</v>
      </c>
      <c r="D10" s="135"/>
      <c r="E10" s="136" t="s">
        <v>95</v>
      </c>
      <c r="F10" s="136">
        <f>COUNTIF( $F$16:$F$62, E10 )</f>
        <v>33</v>
      </c>
    </row>
    <row r="11" spans="1:11" ht="11.1" customHeight="1">
      <c r="B11" s="136"/>
      <c r="D11" s="135"/>
      <c r="E11" s="136" t="s">
        <v>192</v>
      </c>
      <c r="F11" s="136">
        <f>COUNTIF( $F$16:$F$62, E11 )</f>
        <v>5</v>
      </c>
    </row>
    <row r="12" spans="1:11" ht="11.1" customHeight="1">
      <c r="B12" s="136"/>
      <c r="D12" s="135"/>
      <c r="E12" s="136" t="s">
        <v>10</v>
      </c>
      <c r="F12" s="136">
        <f>COUNTIF( $F$16:$F$62, E12 )</f>
        <v>0</v>
      </c>
    </row>
    <row r="13" spans="1:11" s="142" customFormat="1" ht="11.1" customHeight="1">
      <c r="B13" s="141"/>
      <c r="E13" s="141" t="s">
        <v>73</v>
      </c>
      <c r="F13" s="141">
        <f>SUM(F10:F12)</f>
        <v>38</v>
      </c>
    </row>
    <row r="14" spans="1:11" ht="11.1" customHeight="1">
      <c r="B14" s="375"/>
      <c r="C14" s="383"/>
      <c r="D14" s="375"/>
      <c r="E14" s="375"/>
      <c r="F14" s="384"/>
    </row>
    <row r="15" spans="1:11" ht="11.1" customHeight="1">
      <c r="B15" s="375"/>
      <c r="C15" s="383"/>
      <c r="D15" s="375"/>
      <c r="E15" s="375"/>
      <c r="F15" s="384"/>
    </row>
    <row r="16" spans="1:11" ht="11.1" customHeight="1">
      <c r="B16" s="375">
        <v>1</v>
      </c>
      <c r="C16" s="383" t="s">
        <v>172</v>
      </c>
      <c r="D16" s="375" t="s">
        <v>40</v>
      </c>
      <c r="E16" s="375"/>
      <c r="F16" s="385" t="s">
        <v>192</v>
      </c>
      <c r="I16" s="386"/>
      <c r="J16" s="387"/>
      <c r="K16" s="388"/>
    </row>
    <row r="17" spans="2:11" ht="11.1" customHeight="1">
      <c r="B17" s="136">
        <f>B16+1</f>
        <v>2</v>
      </c>
      <c r="C17" s="383" t="s">
        <v>173</v>
      </c>
      <c r="D17" s="375" t="s">
        <v>32</v>
      </c>
      <c r="E17" s="375"/>
      <c r="F17" s="384" t="s">
        <v>95</v>
      </c>
      <c r="I17" s="386"/>
      <c r="J17" s="387"/>
      <c r="K17" s="388"/>
    </row>
    <row r="18" spans="2:11" ht="11.1" customHeight="1">
      <c r="B18" s="136">
        <f t="shared" ref="B18:B53" si="0">B17+1</f>
        <v>3</v>
      </c>
      <c r="C18" s="383" t="s">
        <v>185</v>
      </c>
      <c r="D18" s="375" t="s">
        <v>21</v>
      </c>
      <c r="E18" s="375"/>
      <c r="F18" s="384" t="s">
        <v>95</v>
      </c>
      <c r="I18" s="386"/>
      <c r="J18" s="387"/>
      <c r="K18" s="388"/>
    </row>
    <row r="19" spans="2:11" ht="11.1" customHeight="1">
      <c r="B19" s="136">
        <f t="shared" si="0"/>
        <v>4</v>
      </c>
      <c r="C19" s="383" t="s">
        <v>176</v>
      </c>
      <c r="D19" s="375" t="s">
        <v>17</v>
      </c>
      <c r="E19" s="375"/>
      <c r="F19" s="384" t="s">
        <v>95</v>
      </c>
      <c r="I19" s="386"/>
      <c r="J19" s="387"/>
      <c r="K19" s="388"/>
    </row>
    <row r="20" spans="2:11" ht="11.1" customHeight="1">
      <c r="B20" s="136">
        <f t="shared" si="0"/>
        <v>5</v>
      </c>
      <c r="C20" s="383" t="s">
        <v>167</v>
      </c>
      <c r="D20" s="375" t="s">
        <v>44</v>
      </c>
      <c r="E20" s="375"/>
      <c r="F20" s="384" t="s">
        <v>95</v>
      </c>
      <c r="I20" s="386"/>
      <c r="J20" s="387"/>
      <c r="K20" s="388"/>
    </row>
    <row r="21" spans="2:11" ht="11.1" customHeight="1">
      <c r="B21" s="136">
        <f t="shared" si="0"/>
        <v>6</v>
      </c>
      <c r="C21" s="383" t="s">
        <v>186</v>
      </c>
      <c r="D21" s="375" t="s">
        <v>38</v>
      </c>
      <c r="E21" s="375"/>
      <c r="F21" s="384" t="s">
        <v>95</v>
      </c>
      <c r="I21" s="386"/>
      <c r="J21" s="387"/>
      <c r="K21" s="388"/>
    </row>
    <row r="22" spans="2:11" ht="11.1" customHeight="1">
      <c r="B22" s="136">
        <f t="shared" si="0"/>
        <v>7</v>
      </c>
      <c r="C22" s="383" t="s">
        <v>177</v>
      </c>
      <c r="D22" s="375" t="s">
        <v>27</v>
      </c>
      <c r="E22" s="375"/>
      <c r="F22" s="384" t="s">
        <v>95</v>
      </c>
      <c r="I22" s="386"/>
      <c r="J22" s="387"/>
      <c r="K22" s="388"/>
    </row>
    <row r="23" spans="2:11" ht="11.1" customHeight="1">
      <c r="B23" s="136">
        <f t="shared" si="0"/>
        <v>8</v>
      </c>
      <c r="C23" s="383" t="s">
        <v>187</v>
      </c>
      <c r="D23" s="375" t="s">
        <v>75</v>
      </c>
      <c r="E23" s="375"/>
      <c r="F23" s="384" t="s">
        <v>95</v>
      </c>
      <c r="I23" s="386"/>
      <c r="J23" s="387"/>
      <c r="K23" s="388"/>
    </row>
    <row r="24" spans="2:11" ht="11.1" customHeight="1">
      <c r="B24" s="136">
        <f t="shared" si="0"/>
        <v>9</v>
      </c>
      <c r="C24" s="383" t="s">
        <v>170</v>
      </c>
      <c r="D24" s="375" t="s">
        <v>101</v>
      </c>
      <c r="E24" s="375"/>
      <c r="F24" s="384" t="s">
        <v>95</v>
      </c>
      <c r="I24" s="386"/>
      <c r="J24" s="387"/>
      <c r="K24" s="388"/>
    </row>
    <row r="25" spans="2:11" ht="11.1" customHeight="1">
      <c r="B25" s="136">
        <f t="shared" si="0"/>
        <v>10</v>
      </c>
      <c r="C25" s="383" t="s">
        <v>561</v>
      </c>
      <c r="D25" s="375" t="s">
        <v>10</v>
      </c>
      <c r="E25" s="375"/>
      <c r="F25" s="384" t="s">
        <v>95</v>
      </c>
      <c r="I25" s="386"/>
      <c r="J25" s="387"/>
      <c r="K25" s="388"/>
    </row>
    <row r="26" spans="2:11" ht="11.1" customHeight="1">
      <c r="B26" s="136">
        <f t="shared" si="0"/>
        <v>11</v>
      </c>
      <c r="C26" s="383" t="s">
        <v>178</v>
      </c>
      <c r="D26" s="375" t="s">
        <v>22</v>
      </c>
      <c r="E26" s="375"/>
      <c r="F26" s="384" t="s">
        <v>95</v>
      </c>
      <c r="I26" s="386"/>
      <c r="J26" s="387"/>
      <c r="K26" s="388"/>
    </row>
    <row r="27" spans="2:11" ht="11.1" customHeight="1">
      <c r="B27" s="136">
        <f t="shared" si="0"/>
        <v>12</v>
      </c>
      <c r="C27" s="383" t="s">
        <v>171</v>
      </c>
      <c r="D27" s="375" t="s">
        <v>11</v>
      </c>
      <c r="E27" s="375"/>
      <c r="F27" s="384" t="s">
        <v>95</v>
      </c>
      <c r="I27" s="386"/>
      <c r="J27" s="387"/>
      <c r="K27" s="388"/>
    </row>
    <row r="28" spans="2:11" ht="11.1" customHeight="1">
      <c r="B28" s="136">
        <f t="shared" si="0"/>
        <v>13</v>
      </c>
      <c r="C28" s="383" t="s">
        <v>74</v>
      </c>
      <c r="D28" s="375" t="s">
        <v>15</v>
      </c>
      <c r="E28" s="375"/>
      <c r="F28" s="384" t="s">
        <v>95</v>
      </c>
      <c r="I28" s="386"/>
      <c r="J28" s="387"/>
      <c r="K28" s="388"/>
    </row>
    <row r="29" spans="2:11" ht="11.1" customHeight="1">
      <c r="B29" s="136">
        <f t="shared" si="0"/>
        <v>14</v>
      </c>
      <c r="C29" s="383" t="s">
        <v>179</v>
      </c>
      <c r="D29" s="375" t="s">
        <v>14</v>
      </c>
      <c r="E29" s="375"/>
      <c r="F29" s="384" t="s">
        <v>95</v>
      </c>
      <c r="I29" s="386"/>
      <c r="J29" s="387"/>
      <c r="K29" s="388"/>
    </row>
    <row r="30" spans="2:11" ht="11.1" customHeight="1">
      <c r="B30" s="136">
        <f t="shared" si="0"/>
        <v>15</v>
      </c>
      <c r="C30" s="383" t="s">
        <v>559</v>
      </c>
      <c r="D30" s="375" t="s">
        <v>558</v>
      </c>
      <c r="E30" s="375"/>
      <c r="F30" s="384" t="s">
        <v>95</v>
      </c>
      <c r="I30" s="386"/>
      <c r="J30" s="387"/>
      <c r="K30" s="388"/>
    </row>
    <row r="31" spans="2:11" ht="11.1" customHeight="1">
      <c r="B31" s="136">
        <f t="shared" si="0"/>
        <v>16</v>
      </c>
      <c r="C31" s="383" t="s">
        <v>521</v>
      </c>
      <c r="D31" s="375" t="s">
        <v>522</v>
      </c>
      <c r="E31" s="375"/>
      <c r="F31" s="384" t="s">
        <v>95</v>
      </c>
      <c r="I31" s="386"/>
      <c r="J31" s="387"/>
      <c r="K31" s="388"/>
    </row>
    <row r="32" spans="2:11" ht="11.1" customHeight="1">
      <c r="B32" s="136">
        <f t="shared" si="0"/>
        <v>17</v>
      </c>
      <c r="C32" s="383" t="s">
        <v>180</v>
      </c>
      <c r="D32" s="375" t="s">
        <v>9</v>
      </c>
      <c r="E32" s="375"/>
      <c r="F32" s="384" t="s">
        <v>95</v>
      </c>
      <c r="I32" s="386"/>
      <c r="J32" s="387"/>
      <c r="K32" s="388"/>
    </row>
    <row r="33" spans="2:11" ht="11.1" customHeight="1">
      <c r="B33" s="136">
        <f t="shared" si="0"/>
        <v>18</v>
      </c>
      <c r="C33" s="383" t="s">
        <v>76</v>
      </c>
      <c r="D33" s="375" t="s">
        <v>13</v>
      </c>
      <c r="E33" s="375"/>
      <c r="F33" s="384" t="s">
        <v>95</v>
      </c>
      <c r="I33" s="386"/>
      <c r="J33" s="387"/>
      <c r="K33" s="388"/>
    </row>
    <row r="34" spans="2:11" ht="11.1" customHeight="1">
      <c r="B34" s="136">
        <f t="shared" si="0"/>
        <v>19</v>
      </c>
      <c r="C34" s="383" t="s">
        <v>163</v>
      </c>
      <c r="D34" s="375" t="s">
        <v>35</v>
      </c>
      <c r="E34" s="375"/>
      <c r="F34" s="385" t="s">
        <v>192</v>
      </c>
      <c r="I34" s="386"/>
      <c r="J34" s="387"/>
      <c r="K34" s="388"/>
    </row>
    <row r="35" spans="2:11" ht="11.1" customHeight="1">
      <c r="B35" s="136">
        <f t="shared" si="0"/>
        <v>20</v>
      </c>
      <c r="C35" s="383" t="s">
        <v>181</v>
      </c>
      <c r="D35" s="375" t="s">
        <v>39</v>
      </c>
      <c r="E35" s="375"/>
      <c r="F35" s="384" t="s">
        <v>95</v>
      </c>
      <c r="I35" s="386"/>
      <c r="J35" s="387"/>
      <c r="K35" s="388"/>
    </row>
    <row r="36" spans="2:11" ht="11.1" customHeight="1">
      <c r="B36" s="136">
        <f t="shared" si="0"/>
        <v>21</v>
      </c>
      <c r="C36" s="383" t="s">
        <v>174</v>
      </c>
      <c r="D36" s="375" t="s">
        <v>30</v>
      </c>
      <c r="E36" s="375"/>
      <c r="F36" s="385" t="s">
        <v>192</v>
      </c>
      <c r="I36" s="386"/>
      <c r="J36" s="387"/>
      <c r="K36" s="388"/>
    </row>
    <row r="37" spans="2:11" ht="11.1" customHeight="1">
      <c r="B37" s="136">
        <f t="shared" si="0"/>
        <v>22</v>
      </c>
      <c r="C37" s="383" t="s">
        <v>165</v>
      </c>
      <c r="D37" s="375" t="s">
        <v>47</v>
      </c>
      <c r="E37" s="375"/>
      <c r="F37" s="384" t="s">
        <v>95</v>
      </c>
      <c r="I37" s="386"/>
      <c r="J37" s="387"/>
      <c r="K37" s="388"/>
    </row>
    <row r="38" spans="2:11" ht="11.1" customHeight="1">
      <c r="B38" s="136">
        <f t="shared" si="0"/>
        <v>23</v>
      </c>
      <c r="C38" s="383" t="s">
        <v>199</v>
      </c>
      <c r="D38" s="375" t="s">
        <v>198</v>
      </c>
      <c r="E38" s="375"/>
      <c r="F38" s="385" t="s">
        <v>192</v>
      </c>
      <c r="I38" s="386"/>
      <c r="J38" s="387"/>
      <c r="K38" s="388"/>
    </row>
    <row r="39" spans="2:11" ht="11.1" customHeight="1">
      <c r="B39" s="136">
        <f t="shared" si="0"/>
        <v>24</v>
      </c>
      <c r="C39" s="383" t="s">
        <v>188</v>
      </c>
      <c r="D39" s="375" t="s">
        <v>24</v>
      </c>
      <c r="E39" s="375"/>
      <c r="F39" s="384" t="s">
        <v>95</v>
      </c>
      <c r="I39" s="386"/>
      <c r="J39" s="387"/>
      <c r="K39" s="388"/>
    </row>
    <row r="40" spans="2:11" ht="11.1" customHeight="1">
      <c r="B40" s="136">
        <f t="shared" si="0"/>
        <v>25</v>
      </c>
      <c r="C40" s="383" t="s">
        <v>182</v>
      </c>
      <c r="D40" s="375" t="s">
        <v>162</v>
      </c>
      <c r="E40" s="375"/>
      <c r="F40" s="384" t="s">
        <v>95</v>
      </c>
      <c r="I40" s="386"/>
      <c r="J40" s="387"/>
      <c r="K40" s="388"/>
    </row>
    <row r="41" spans="2:11" ht="11.1" customHeight="1">
      <c r="B41" s="136">
        <f t="shared" si="0"/>
        <v>26</v>
      </c>
      <c r="C41" s="383" t="s">
        <v>78</v>
      </c>
      <c r="D41" s="375" t="s">
        <v>34</v>
      </c>
      <c r="E41" s="375"/>
      <c r="F41" s="384" t="s">
        <v>95</v>
      </c>
      <c r="I41" s="386"/>
      <c r="J41" s="387"/>
      <c r="K41" s="388"/>
    </row>
    <row r="42" spans="2:11" ht="11.1" customHeight="1">
      <c r="B42" s="136">
        <f t="shared" si="0"/>
        <v>27</v>
      </c>
      <c r="C42" s="383" t="s">
        <v>189</v>
      </c>
      <c r="D42" s="375" t="s">
        <v>45</v>
      </c>
      <c r="E42" s="375"/>
      <c r="F42" s="385" t="s">
        <v>192</v>
      </c>
      <c r="I42" s="386"/>
      <c r="J42" s="387"/>
      <c r="K42" s="388"/>
    </row>
    <row r="43" spans="2:11" ht="11.1" customHeight="1">
      <c r="B43" s="136">
        <f t="shared" si="0"/>
        <v>28</v>
      </c>
      <c r="C43" s="383" t="s">
        <v>166</v>
      </c>
      <c r="D43" s="375" t="s">
        <v>102</v>
      </c>
      <c r="E43" s="375"/>
      <c r="F43" s="384" t="s">
        <v>95</v>
      </c>
      <c r="I43" s="386"/>
      <c r="J43" s="387"/>
      <c r="K43" s="388"/>
    </row>
    <row r="44" spans="2:11" ht="11.1" customHeight="1">
      <c r="B44" s="136">
        <f t="shared" si="0"/>
        <v>29</v>
      </c>
      <c r="C44" s="383" t="s">
        <v>190</v>
      </c>
      <c r="D44" s="375" t="s">
        <v>29</v>
      </c>
      <c r="E44" s="375"/>
      <c r="F44" s="384" t="s">
        <v>95</v>
      </c>
      <c r="I44" s="386"/>
      <c r="J44" s="387"/>
      <c r="K44" s="388"/>
    </row>
    <row r="45" spans="2:11" ht="11.1" customHeight="1">
      <c r="B45" s="136">
        <f t="shared" si="0"/>
        <v>30</v>
      </c>
      <c r="C45" s="383" t="s">
        <v>656</v>
      </c>
      <c r="D45" s="375" t="s">
        <v>655</v>
      </c>
      <c r="E45" s="375"/>
      <c r="F45" s="384" t="s">
        <v>95</v>
      </c>
      <c r="I45" s="386"/>
      <c r="J45" s="387"/>
      <c r="K45" s="388"/>
    </row>
    <row r="46" spans="2:11" ht="11.1" customHeight="1">
      <c r="B46" s="136">
        <f t="shared" si="0"/>
        <v>31</v>
      </c>
      <c r="C46" s="383" t="s">
        <v>175</v>
      </c>
      <c r="D46" s="375" t="s">
        <v>79</v>
      </c>
      <c r="E46" s="375"/>
      <c r="F46" s="384" t="s">
        <v>95</v>
      </c>
      <c r="I46" s="386"/>
      <c r="J46" s="387"/>
      <c r="K46" s="388"/>
    </row>
    <row r="47" spans="2:11" ht="11.1" customHeight="1">
      <c r="B47" s="136">
        <f t="shared" si="0"/>
        <v>32</v>
      </c>
      <c r="C47" s="383" t="s">
        <v>183</v>
      </c>
      <c r="D47" s="375" t="s">
        <v>70</v>
      </c>
      <c r="E47" s="375"/>
      <c r="F47" s="384" t="s">
        <v>95</v>
      </c>
      <c r="I47" s="386"/>
      <c r="J47" s="387"/>
      <c r="K47" s="388"/>
    </row>
    <row r="48" spans="2:11" ht="11.1" customHeight="1">
      <c r="B48" s="136">
        <f t="shared" si="0"/>
        <v>33</v>
      </c>
      <c r="C48" s="383" t="s">
        <v>184</v>
      </c>
      <c r="D48" s="375" t="s">
        <v>16</v>
      </c>
      <c r="E48" s="375"/>
      <c r="F48" s="384" t="s">
        <v>95</v>
      </c>
      <c r="I48" s="386"/>
      <c r="J48" s="387"/>
      <c r="K48" s="388"/>
    </row>
    <row r="49" spans="2:11" ht="11.1" customHeight="1">
      <c r="B49" s="136">
        <f t="shared" si="0"/>
        <v>34</v>
      </c>
      <c r="C49" s="383" t="s">
        <v>657</v>
      </c>
      <c r="D49" s="375" t="s">
        <v>18</v>
      </c>
      <c r="E49" s="375"/>
      <c r="F49" s="384" t="s">
        <v>95</v>
      </c>
      <c r="I49" s="386"/>
      <c r="J49" s="387"/>
      <c r="K49" s="388"/>
    </row>
    <row r="50" spans="2:11" ht="11.1" customHeight="1">
      <c r="B50" s="136">
        <f t="shared" si="0"/>
        <v>35</v>
      </c>
      <c r="C50" s="383" t="s">
        <v>164</v>
      </c>
      <c r="D50" s="375" t="s">
        <v>12</v>
      </c>
      <c r="E50" s="375"/>
      <c r="F50" s="384" t="s">
        <v>95</v>
      </c>
      <c r="I50" s="386"/>
      <c r="J50" s="387"/>
      <c r="K50" s="388"/>
    </row>
    <row r="51" spans="2:11" ht="11.1" customHeight="1">
      <c r="B51" s="136">
        <f t="shared" si="0"/>
        <v>36</v>
      </c>
      <c r="C51" s="383" t="s">
        <v>191</v>
      </c>
      <c r="D51" s="375" t="s">
        <v>49</v>
      </c>
      <c r="E51" s="375"/>
      <c r="F51" s="384" t="s">
        <v>95</v>
      </c>
      <c r="I51" s="386"/>
      <c r="J51" s="387"/>
      <c r="K51" s="388"/>
    </row>
    <row r="52" spans="2:11" ht="11.1" customHeight="1">
      <c r="B52" s="136">
        <f t="shared" si="0"/>
        <v>37</v>
      </c>
      <c r="C52" s="383" t="s">
        <v>536</v>
      </c>
      <c r="D52" s="375" t="s">
        <v>26</v>
      </c>
      <c r="E52" s="375"/>
      <c r="F52" s="384" t="s">
        <v>95</v>
      </c>
      <c r="I52" s="386"/>
      <c r="J52" s="387"/>
      <c r="K52" s="388"/>
    </row>
    <row r="53" spans="2:11" ht="11.1" customHeight="1">
      <c r="B53" s="136">
        <f t="shared" si="0"/>
        <v>38</v>
      </c>
      <c r="C53" s="383" t="s">
        <v>77</v>
      </c>
      <c r="D53" s="375" t="s">
        <v>23</v>
      </c>
      <c r="E53" s="375"/>
      <c r="F53" s="384" t="s">
        <v>95</v>
      </c>
      <c r="I53" s="386"/>
      <c r="J53" s="387"/>
      <c r="K53" s="388"/>
    </row>
    <row r="54" spans="2:11" ht="11.1" customHeight="1">
      <c r="B54" s="136"/>
      <c r="D54" s="135"/>
      <c r="E54" s="135"/>
      <c r="F54" s="384"/>
      <c r="I54" s="386"/>
      <c r="J54" s="387"/>
      <c r="K54" s="388"/>
    </row>
    <row r="55" spans="2:11" ht="11.1" customHeight="1">
      <c r="B55" s="136"/>
      <c r="C55" s="383"/>
      <c r="D55" s="375"/>
      <c r="E55" s="375"/>
      <c r="F55" s="384"/>
      <c r="I55" s="386"/>
      <c r="J55" s="387"/>
      <c r="K55" s="388"/>
    </row>
    <row r="56" spans="2:11" ht="11.1" customHeight="1">
      <c r="B56" s="136"/>
      <c r="C56" s="383"/>
      <c r="D56" s="375"/>
      <c r="E56" s="375"/>
      <c r="F56" s="384"/>
      <c r="I56" s="386"/>
      <c r="J56" s="387"/>
      <c r="K56" s="388"/>
    </row>
    <row r="57" spans="2:11" ht="11.1" customHeight="1">
      <c r="B57" s="136"/>
      <c r="C57" s="383"/>
      <c r="D57" s="375"/>
      <c r="E57" s="375"/>
      <c r="F57" s="384"/>
      <c r="I57" s="386"/>
      <c r="J57" s="387"/>
      <c r="K57" s="388"/>
    </row>
    <row r="58" spans="2:11" ht="11.1" customHeight="1">
      <c r="B58" s="136"/>
      <c r="C58" s="383"/>
      <c r="D58" s="375"/>
      <c r="E58" s="375"/>
      <c r="F58" s="384"/>
      <c r="I58" s="386"/>
      <c r="J58" s="387"/>
      <c r="K58" s="388"/>
    </row>
    <row r="59" spans="2:11" ht="11.1" customHeight="1">
      <c r="B59" s="136"/>
      <c r="C59" s="383"/>
      <c r="D59" s="375"/>
      <c r="E59" s="375"/>
      <c r="F59" s="384"/>
      <c r="I59" s="386"/>
      <c r="J59" s="387"/>
      <c r="K59" s="388"/>
    </row>
    <row r="60" spans="2:11" ht="11.1" customHeight="1">
      <c r="B60" s="136"/>
      <c r="C60" s="383"/>
      <c r="D60" s="375"/>
      <c r="E60" s="375"/>
      <c r="F60" s="384"/>
      <c r="I60" s="386"/>
      <c r="J60" s="387"/>
      <c r="K60" s="388"/>
    </row>
    <row r="61" spans="2:11" ht="11.1" customHeight="1">
      <c r="B61" s="136"/>
      <c r="C61" s="383"/>
      <c r="D61" s="375"/>
      <c r="E61" s="375"/>
      <c r="F61" s="384"/>
    </row>
    <row r="62" spans="2:11" ht="11.1" customHeight="1">
      <c r="B62" s="136"/>
      <c r="C62" s="383"/>
      <c r="D62" s="375"/>
      <c r="E62" s="375"/>
      <c r="F62" s="384"/>
    </row>
    <row r="63" spans="2:11" ht="11.1" customHeight="1">
      <c r="B63" s="136"/>
      <c r="C63" s="383"/>
      <c r="D63" s="375"/>
      <c r="E63" s="375"/>
      <c r="F63" s="384"/>
    </row>
    <row r="64" spans="2:11" ht="11.1" customHeight="1">
      <c r="B64" s="136"/>
      <c r="F64" s="382"/>
    </row>
  </sheetData>
  <pageMargins left="0.21" right="0.75" top="0.27" bottom="0.28999999999999998" header="0.2" footer="0.21"/>
  <pageSetup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AB3-098D-42A5-B34D-BD0B39940B25}">
  <sheetPr>
    <tabColor rgb="FFFFFF00"/>
  </sheetPr>
  <dimension ref="B2:L22"/>
  <sheetViews>
    <sheetView showGridLines="0" zoomScaleNormal="100" workbookViewId="0"/>
  </sheetViews>
  <sheetFormatPr defaultColWidth="8.85546875" defaultRowHeight="18" customHeight="1"/>
  <cols>
    <col min="1" max="1" width="2.7109375" style="331" customWidth="1"/>
    <col min="2" max="2" width="26.7109375" style="331" customWidth="1"/>
    <col min="3" max="3" width="20.7109375" style="331" customWidth="1"/>
    <col min="4" max="4" width="2.7109375" style="331" customWidth="1"/>
    <col min="5" max="5" width="26.7109375" style="331" customWidth="1"/>
    <col min="6" max="6" width="20.7109375" style="331" customWidth="1"/>
    <col min="7" max="7" width="2.7109375" style="331" customWidth="1"/>
    <col min="8" max="8" width="26.7109375" style="331" customWidth="1"/>
    <col min="9" max="9" width="20.7109375" style="331" customWidth="1"/>
    <col min="10" max="10" width="2.7109375" style="331" customWidth="1"/>
    <col min="11" max="11" width="26.7109375" style="331" customWidth="1"/>
    <col min="12" max="12" width="20.7109375" style="331" customWidth="1"/>
    <col min="13" max="13" width="2.7109375" style="331" customWidth="1"/>
    <col min="14" max="16384" width="8.85546875" style="331"/>
  </cols>
  <sheetData>
    <row r="2" spans="2:12" ht="18" customHeight="1">
      <c r="B2" s="621" t="s">
        <v>622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4" spans="2:12" ht="18" customHeight="1">
      <c r="B4" s="623" t="s">
        <v>623</v>
      </c>
      <c r="C4" s="623"/>
      <c r="E4" s="623" t="s">
        <v>624</v>
      </c>
      <c r="F4" s="623"/>
      <c r="H4" s="624" t="s">
        <v>625</v>
      </c>
      <c r="I4" s="624"/>
      <c r="K4" s="625" t="s">
        <v>626</v>
      </c>
      <c r="L4" s="625"/>
    </row>
    <row r="6" spans="2:12" ht="18" customHeight="1">
      <c r="B6" s="487" t="s">
        <v>627</v>
      </c>
      <c r="C6" s="488" t="s">
        <v>646</v>
      </c>
      <c r="E6" s="487" t="s">
        <v>628</v>
      </c>
      <c r="F6" s="489">
        <v>45657</v>
      </c>
      <c r="H6" s="487" t="s">
        <v>629</v>
      </c>
      <c r="I6" s="490" t="str">
        <f>IF(Month_EOP_Current="12","Q4",IF(Month_EOP_Current="9","Q3",IF(Month_EOP_Current="6","Q2",IF(Month_EOP_Current="3","Q1",""))))</f>
        <v>Q4</v>
      </c>
      <c r="K6" s="487" t="s">
        <v>630</v>
      </c>
      <c r="L6" s="491" t="s">
        <v>645</v>
      </c>
    </row>
    <row r="7" spans="2:12" ht="18" customHeight="1">
      <c r="B7" s="487" t="s">
        <v>631</v>
      </c>
      <c r="C7" s="489">
        <v>45291</v>
      </c>
      <c r="H7" s="487" t="s">
        <v>632</v>
      </c>
      <c r="I7" s="492" t="str">
        <f>Date_Current_Year&amp;" "&amp;Quarter_EOP_Current</f>
        <v>2024 Q4</v>
      </c>
    </row>
    <row r="8" spans="2:12" ht="18" customHeight="1">
      <c r="E8" s="497"/>
      <c r="F8" s="497"/>
      <c r="K8" s="487" t="s">
        <v>633</v>
      </c>
      <c r="L8" s="493" t="s">
        <v>611</v>
      </c>
    </row>
    <row r="9" spans="2:12" ht="18" customHeight="1">
      <c r="E9" s="497"/>
      <c r="F9" s="497"/>
      <c r="H9" s="487" t="s">
        <v>634</v>
      </c>
      <c r="I9" s="492" t="str">
        <f>TEXT(Date_EOP_Current,"M")</f>
        <v>12</v>
      </c>
      <c r="L9" s="494" t="s">
        <v>610</v>
      </c>
    </row>
    <row r="10" spans="2:12" ht="18" customHeight="1">
      <c r="L10" s="494" t="s">
        <v>358</v>
      </c>
    </row>
    <row r="11" spans="2:12" ht="18" customHeight="1">
      <c r="H11" s="487" t="s">
        <v>637</v>
      </c>
      <c r="I11" s="492" t="str">
        <f>Date_Current_Year&amp;"."&amp;IF(Month_EOP_Current="12","4",IF(Month_EOP_Current="9","3",IF(Month_EOP_Current="6","2",IF(Month_EOP_Current="3","1",""))))</f>
        <v>2024.4</v>
      </c>
      <c r="L11" s="495"/>
    </row>
    <row r="12" spans="2:12" ht="18" customHeight="1">
      <c r="L12" s="496"/>
    </row>
    <row r="14" spans="2:12" ht="18" customHeight="1">
      <c r="K14" s="487" t="s">
        <v>635</v>
      </c>
      <c r="L14" s="493" t="s">
        <v>357</v>
      </c>
    </row>
    <row r="15" spans="2:12" ht="18" customHeight="1">
      <c r="L15" s="494" t="s">
        <v>362</v>
      </c>
    </row>
    <row r="16" spans="2:12" ht="18" customHeight="1">
      <c r="L16" s="494" t="s">
        <v>361</v>
      </c>
    </row>
    <row r="17" spans="2:12" ht="18" customHeight="1">
      <c r="L17" s="494" t="s">
        <v>363</v>
      </c>
    </row>
    <row r="18" spans="2:12" ht="18" customHeight="1">
      <c r="B18" s="498"/>
      <c r="L18" s="494" t="s">
        <v>360</v>
      </c>
    </row>
    <row r="19" spans="2:12" ht="18" customHeight="1">
      <c r="L19" s="494" t="s">
        <v>364</v>
      </c>
    </row>
    <row r="20" spans="2:12" ht="18" customHeight="1">
      <c r="L20" s="499" t="s">
        <v>359</v>
      </c>
    </row>
    <row r="22" spans="2:12" ht="18" customHeight="1">
      <c r="K22" s="620" t="s">
        <v>636</v>
      </c>
      <c r="L22" s="620"/>
    </row>
  </sheetData>
  <sortState xmlns:xlrd2="http://schemas.microsoft.com/office/spreadsheetml/2017/richdata2" ref="L15:L20">
    <sortCondition ref="L15:L20"/>
  </sortState>
  <mergeCells count="6">
    <mergeCell ref="K22:L22"/>
    <mergeCell ref="B2:L2"/>
    <mergeCell ref="B4:C4"/>
    <mergeCell ref="E4:F4"/>
    <mergeCell ref="H4:I4"/>
    <mergeCell ref="K4:L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>
    <tabColor rgb="FFFFC000"/>
    <outlinePr summaryBelow="0" summaryRight="0"/>
  </sheetPr>
  <dimension ref="A1:D1"/>
  <sheetViews>
    <sheetView showGridLines="0" showRowColHeaders="0" workbookViewId="0">
      <selection sqref="A1:B1"/>
    </sheetView>
  </sheetViews>
  <sheetFormatPr defaultColWidth="9.140625" defaultRowHeight="12.75"/>
  <cols>
    <col min="1" max="16384" width="9.140625" style="103"/>
  </cols>
  <sheetData>
    <row r="1" spans="1:4" ht="15.75">
      <c r="A1" s="626" t="s">
        <v>346</v>
      </c>
      <c r="B1" s="627"/>
      <c r="C1" s="626"/>
      <c r="D1" s="627"/>
    </row>
  </sheetData>
  <mergeCells count="2">
    <mergeCell ref="A1:B1"/>
    <mergeCell ref="C1:D1"/>
  </mergeCells>
  <hyperlinks>
    <hyperlink ref="A1" location="Index!A1" display="Return to Index" xr:uid="{00000000-0004-0000-1900-000000000000}"/>
    <hyperlink ref="A1:B1" location="Contents!A1" display="Go to Contents" xr:uid="{00000000-0004-0000-19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outlinePr summaryBelow="0" summaryRight="0"/>
  </sheetPr>
  <dimension ref="A1:I26"/>
  <sheetViews>
    <sheetView showGridLines="0" zoomScaleNormal="100" workbookViewId="0">
      <selection sqref="A1:C1"/>
    </sheetView>
  </sheetViews>
  <sheetFormatPr defaultColWidth="9.140625" defaultRowHeight="12.75"/>
  <cols>
    <col min="1" max="1" width="3.28515625" style="9" customWidth="1"/>
    <col min="2" max="2" width="7.5703125" style="9" customWidth="1"/>
    <col min="3" max="3" width="29.28515625" style="9" customWidth="1"/>
    <col min="4" max="4" width="18" style="9" customWidth="1"/>
    <col min="5" max="16384" width="9.140625" style="9"/>
  </cols>
  <sheetData>
    <row r="1" spans="1:9">
      <c r="A1" s="594" t="s">
        <v>346</v>
      </c>
      <c r="B1" s="596"/>
      <c r="C1" s="597"/>
    </row>
    <row r="2" spans="1:9" ht="18.75">
      <c r="B2" s="104" t="s">
        <v>87</v>
      </c>
    </row>
    <row r="3" spans="1:9">
      <c r="B3" s="105"/>
      <c r="C3" s="105" t="str">
        <f>"Periods ending "&amp;TEXT(Date_EOP_Current,"m/dd/yyyy")</f>
        <v>Periods ending 12/31/2024</v>
      </c>
    </row>
    <row r="4" spans="1:9">
      <c r="B4" s="35"/>
    </row>
    <row r="6" spans="1:9" ht="15.75">
      <c r="C6" s="595" t="s">
        <v>376</v>
      </c>
      <c r="D6" s="595"/>
      <c r="F6"/>
    </row>
    <row r="7" spans="1:9">
      <c r="C7" s="286" t="s">
        <v>61</v>
      </c>
      <c r="D7" s="287" t="s">
        <v>5</v>
      </c>
    </row>
    <row r="8" spans="1:9">
      <c r="C8" s="288" t="s">
        <v>2</v>
      </c>
      <c r="D8" s="321">
        <v>19.100000000000001</v>
      </c>
    </row>
    <row r="9" spans="1:9">
      <c r="C9" s="71" t="s">
        <v>194</v>
      </c>
      <c r="D9" s="322">
        <v>14.99</v>
      </c>
    </row>
    <row r="10" spans="1:9">
      <c r="C10" s="71" t="s">
        <v>6</v>
      </c>
      <c r="D10" s="322">
        <v>25.02</v>
      </c>
    </row>
    <row r="11" spans="1:9">
      <c r="C11" s="249" t="s">
        <v>54</v>
      </c>
      <c r="D11" s="323">
        <v>28.64</v>
      </c>
      <c r="I11"/>
    </row>
    <row r="15" spans="1:9" ht="15.75">
      <c r="C15" s="595" t="s">
        <v>322</v>
      </c>
      <c r="D15" s="595"/>
    </row>
    <row r="16" spans="1:9">
      <c r="C16" s="286" t="s">
        <v>61</v>
      </c>
      <c r="D16" s="287" t="s">
        <v>5</v>
      </c>
    </row>
    <row r="17" spans="3:4">
      <c r="C17" s="288" t="s">
        <v>2</v>
      </c>
      <c r="D17" s="321">
        <v>19.100000000000001</v>
      </c>
    </row>
    <row r="18" spans="3:4">
      <c r="C18" s="71" t="s">
        <v>194</v>
      </c>
      <c r="D18" s="322">
        <v>14.99</v>
      </c>
    </row>
    <row r="19" spans="3:4">
      <c r="C19" s="71" t="s">
        <v>6</v>
      </c>
      <c r="D19" s="322">
        <v>25.02</v>
      </c>
    </row>
    <row r="20" spans="3:4">
      <c r="C20" s="249" t="s">
        <v>54</v>
      </c>
      <c r="D20" s="323">
        <v>28.64</v>
      </c>
    </row>
    <row r="23" spans="3:4">
      <c r="C23" s="13" t="s">
        <v>99</v>
      </c>
    </row>
    <row r="24" spans="3:4">
      <c r="C24" s="13" t="s">
        <v>545</v>
      </c>
    </row>
    <row r="26" spans="3:4">
      <c r="C26" s="9" t="s">
        <v>96</v>
      </c>
    </row>
  </sheetData>
  <mergeCells count="3">
    <mergeCell ref="C6:D6"/>
    <mergeCell ref="C15:D15"/>
    <mergeCell ref="A1:C1"/>
  </mergeCells>
  <phoneticPr fontId="6" type="noConversion"/>
  <hyperlinks>
    <hyperlink ref="A1" location="Index!A1" display="Return to Index" xr:uid="{00000000-0004-0000-0200-000000000000}"/>
    <hyperlink ref="A1:B1" location="Contents!A1" display="Go to Contents" xr:uid="{00000000-0004-0000-0200-000001000000}"/>
  </hyperlinks>
  <pageMargins left="0.75" right="0.75" top="1" bottom="1" header="0.5" footer="0.5"/>
  <pageSetup orientation="portrait" horizont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outlinePr summaryBelow="0" summaryRight="0"/>
  </sheetPr>
  <dimension ref="A1:F36"/>
  <sheetViews>
    <sheetView showGridLines="0" zoomScaleNormal="100" workbookViewId="0">
      <selection sqref="A1:C1"/>
    </sheetView>
  </sheetViews>
  <sheetFormatPr defaultColWidth="9.140625" defaultRowHeight="12.75" outlineLevelRow="1"/>
  <cols>
    <col min="1" max="2" width="3.28515625" customWidth="1"/>
    <col min="3" max="3" width="24.7109375" customWidth="1"/>
    <col min="4" max="4" width="16.7109375" customWidth="1"/>
    <col min="5" max="5" width="13.28515625" customWidth="1"/>
    <col min="6" max="6" width="9.140625" customWidth="1"/>
  </cols>
  <sheetData>
    <row r="1" spans="1:6">
      <c r="A1" s="594" t="s">
        <v>346</v>
      </c>
      <c r="B1" s="596"/>
      <c r="C1" s="597"/>
    </row>
    <row r="2" spans="1:6" ht="18.75">
      <c r="B2" s="106" t="s">
        <v>88</v>
      </c>
      <c r="C2" s="9"/>
      <c r="D2" s="9"/>
      <c r="E2" s="9"/>
      <c r="F2" s="9"/>
    </row>
    <row r="3" spans="1:6">
      <c r="C3" s="105" t="str">
        <f>"Period ending "&amp;TEXT(Date_EOP_Current,"m/dd/yyyy")</f>
        <v>Period ending 12/31/2024</v>
      </c>
      <c r="D3" s="9"/>
      <c r="E3" s="9"/>
      <c r="F3" s="9"/>
    </row>
    <row r="4" spans="1:6">
      <c r="C4" s="9"/>
      <c r="D4" s="9"/>
      <c r="E4" s="9"/>
      <c r="F4" s="9"/>
    </row>
    <row r="5" spans="1:6" ht="15.75">
      <c r="C5" s="595" t="s">
        <v>376</v>
      </c>
      <c r="D5" s="595"/>
      <c r="E5" s="16"/>
      <c r="F5" s="16"/>
    </row>
    <row r="6" spans="1:6">
      <c r="C6" s="286" t="s">
        <v>1</v>
      </c>
      <c r="D6" s="287" t="s">
        <v>5</v>
      </c>
      <c r="E6" s="10"/>
      <c r="F6" s="10"/>
    </row>
    <row r="7" spans="1:6">
      <c r="C7" s="288" t="s">
        <v>2</v>
      </c>
      <c r="D7" s="354">
        <f ca="1">D31</f>
        <v>17.91184382428742</v>
      </c>
      <c r="E7" s="15"/>
      <c r="F7" s="15"/>
    </row>
    <row r="8" spans="1:6">
      <c r="C8" s="71" t="s">
        <v>3</v>
      </c>
      <c r="D8" s="355">
        <f ca="1">D32</f>
        <v>18.741459607597559</v>
      </c>
      <c r="E8" s="15"/>
      <c r="F8" s="15"/>
    </row>
    <row r="9" spans="1:6">
      <c r="C9" s="249" t="s">
        <v>4</v>
      </c>
      <c r="D9" s="356">
        <f ca="1">D33</f>
        <v>12.436379654440485</v>
      </c>
      <c r="E9" s="15"/>
      <c r="F9" s="15"/>
    </row>
    <row r="10" spans="1:6">
      <c r="C10" s="12"/>
      <c r="D10" s="16"/>
      <c r="E10" s="16"/>
      <c r="F10" s="16"/>
    </row>
    <row r="11" spans="1:6">
      <c r="C11" s="12"/>
      <c r="D11" s="16"/>
      <c r="E11" s="16"/>
      <c r="F11" s="16"/>
    </row>
    <row r="12" spans="1:6">
      <c r="C12" s="17" t="s">
        <v>548</v>
      </c>
      <c r="D12" s="16"/>
      <c r="E12" s="16"/>
      <c r="F12" s="16"/>
    </row>
    <row r="13" spans="1:6">
      <c r="C13" s="17" t="s">
        <v>549</v>
      </c>
      <c r="D13" s="16"/>
      <c r="E13" s="16"/>
      <c r="F13" s="16"/>
    </row>
    <row r="14" spans="1:6">
      <c r="C14" s="9"/>
      <c r="D14" s="9"/>
      <c r="E14" s="9"/>
      <c r="F14" s="9"/>
    </row>
    <row r="15" spans="1:6">
      <c r="C15" s="17" t="s">
        <v>371</v>
      </c>
      <c r="D15" s="9"/>
      <c r="E15" s="9"/>
      <c r="F15" s="9"/>
    </row>
    <row r="16" spans="1:6">
      <c r="C16" s="13" t="s">
        <v>546</v>
      </c>
      <c r="D16" s="9"/>
      <c r="E16" s="9"/>
      <c r="F16" s="9"/>
    </row>
    <row r="17" spans="3:6">
      <c r="C17" s="13"/>
      <c r="D17" s="9"/>
      <c r="E17" s="9"/>
      <c r="F17" s="9"/>
    </row>
    <row r="18" spans="3:6">
      <c r="C18" s="13"/>
      <c r="D18" s="9"/>
      <c r="E18" s="9"/>
      <c r="F18" s="9"/>
    </row>
    <row r="19" spans="3:6">
      <c r="C19" s="13"/>
      <c r="D19" s="9"/>
      <c r="E19" s="9"/>
      <c r="F19" s="9"/>
    </row>
    <row r="20" spans="3:6">
      <c r="C20" s="13"/>
      <c r="D20" s="9"/>
      <c r="E20" s="9"/>
      <c r="F20" s="9"/>
    </row>
    <row r="21" spans="3:6">
      <c r="C21" s="13"/>
      <c r="D21" s="9"/>
      <c r="E21" s="9"/>
      <c r="F21" s="9"/>
    </row>
    <row r="22" spans="3:6" ht="13.5" thickBot="1">
      <c r="C22" s="13"/>
      <c r="D22" s="9"/>
      <c r="E22" s="9"/>
      <c r="F22" s="9"/>
    </row>
    <row r="23" spans="3:6" s="18" customFormat="1" collapsed="1">
      <c r="C23" s="29" t="s">
        <v>195</v>
      </c>
      <c r="D23" s="30"/>
      <c r="E23" s="30"/>
      <c r="F23" s="30"/>
    </row>
    <row r="24" spans="3:6" hidden="1" outlineLevel="1">
      <c r="C24" s="9" t="str">
        <f>"Segment data based on assets as of "&amp;TEXT(Date_Business_Segmentation,"mm/dd/yyyy")</f>
        <v>Segment data based on assets as of 12/31/2023</v>
      </c>
      <c r="D24" s="4"/>
      <c r="E24" s="4"/>
      <c r="F24" s="4"/>
    </row>
    <row r="25" spans="3:6" hidden="1" outlineLevel="1">
      <c r="C25" s="105" t="str">
        <f>"Period ending "&amp;TEXT(Date_EOP_Current,"m/dd/yyyy")</f>
        <v>Period ending 12/31/2024</v>
      </c>
      <c r="D25" s="2"/>
      <c r="E25" s="2"/>
      <c r="F25" s="2"/>
    </row>
    <row r="26" spans="3:6" hidden="1" outlineLevel="1">
      <c r="C26" s="599"/>
      <c r="D26" s="599"/>
      <c r="E26" s="8"/>
      <c r="F26" s="8"/>
    </row>
    <row r="27" spans="3:6" hidden="1" outlineLevel="1">
      <c r="C27" s="1"/>
      <c r="D27" s="1"/>
      <c r="E27" s="1"/>
      <c r="F27" s="1"/>
    </row>
    <row r="28" spans="3:6" ht="15.75" hidden="1" outlineLevel="1">
      <c r="C28" s="598" t="s">
        <v>0</v>
      </c>
      <c r="D28" s="598"/>
      <c r="E28" s="308"/>
      <c r="F28" s="308"/>
    </row>
    <row r="29" spans="3:6" hidden="1" outlineLevel="1">
      <c r="C29" s="309" t="str">
        <f>C3</f>
        <v>Period ending 12/31/2024</v>
      </c>
      <c r="D29" s="309"/>
      <c r="E29" s="310" t="s">
        <v>289</v>
      </c>
      <c r="F29" s="311" t="s">
        <v>290</v>
      </c>
    </row>
    <row r="30" spans="3:6" hidden="1" outlineLevel="1">
      <c r="C30" s="312" t="s">
        <v>1</v>
      </c>
      <c r="D30" s="312" t="s">
        <v>5</v>
      </c>
      <c r="E30" s="312" t="s">
        <v>387</v>
      </c>
      <c r="F30" s="313" t="s">
        <v>291</v>
      </c>
    </row>
    <row r="31" spans="3:6" hidden="1" outlineLevel="1">
      <c r="C31" s="314" t="s">
        <v>2</v>
      </c>
      <c r="D31" s="315">
        <f ca="1">Category_Calc!AC54</f>
        <v>17.91184382428742</v>
      </c>
      <c r="E31" s="316">
        <f ca="1">Category_Calc!AH54</f>
        <v>19.969310563147967</v>
      </c>
      <c r="F31" s="317"/>
    </row>
    <row r="32" spans="3:6" hidden="1" outlineLevel="1">
      <c r="C32" s="75" t="s">
        <v>3</v>
      </c>
      <c r="D32" s="252">
        <f ca="1">Category_Calc!AD54</f>
        <v>18.741459607597559</v>
      </c>
      <c r="E32" s="251">
        <f ca="1">Category_Calc!AI54</f>
        <v>19.710649243099894</v>
      </c>
      <c r="F32" s="250">
        <f ca="1">Category_Calc!$Y$53 / Category_Calc!$X$53</f>
        <v>0.8438484487076453</v>
      </c>
    </row>
    <row r="33" spans="3:6" hidden="1" outlineLevel="1">
      <c r="C33" s="77" t="s">
        <v>4</v>
      </c>
      <c r="D33" s="348">
        <f ca="1">Category_Calc!AE54</f>
        <v>12.436379654440485</v>
      </c>
      <c r="E33" s="254">
        <f ca="1">Category_Calc!AJ54</f>
        <v>21.367125390197501</v>
      </c>
      <c r="F33" s="255">
        <f ca="1">Category_Calc!$Z$53 / Category_Calc!$X$53</f>
        <v>0.15615155129235447</v>
      </c>
    </row>
    <row r="34" spans="3:6" hidden="1" outlineLevel="1"/>
    <row r="35" spans="3:6" hidden="1" outlineLevel="1">
      <c r="C35" s="260" t="s">
        <v>388</v>
      </c>
    </row>
    <row r="36" spans="3:6" hidden="1" outlineLevel="1">
      <c r="C36" s="261" t="s">
        <v>389</v>
      </c>
    </row>
  </sheetData>
  <mergeCells count="4">
    <mergeCell ref="C28:D28"/>
    <mergeCell ref="C26:D26"/>
    <mergeCell ref="A1:C1"/>
    <mergeCell ref="C5:D5"/>
  </mergeCells>
  <phoneticPr fontId="6" type="noConversion"/>
  <hyperlinks>
    <hyperlink ref="A1" location="Index!A1" display="Return to Index" xr:uid="{00000000-0004-0000-0300-000000000000}"/>
    <hyperlink ref="A1:B1" location="Contents!A1" display="Go to Contents" xr:uid="{00000000-0004-0000-0300-000001000000}"/>
  </hyperlinks>
  <pageMargins left="0.25" right="0.31" top="0.34" bottom="0.28000000000000003" header="0.2" footer="0.21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outlinePr summaryBelow="0" summaryRight="0"/>
  </sheetPr>
  <dimension ref="A1:K30"/>
  <sheetViews>
    <sheetView showGridLines="0" zoomScaleNormal="100" workbookViewId="0">
      <selection sqref="A1:C1"/>
    </sheetView>
  </sheetViews>
  <sheetFormatPr defaultColWidth="9.140625" defaultRowHeight="12.75"/>
  <cols>
    <col min="1" max="1" width="3.5703125" style="9" customWidth="1"/>
    <col min="2" max="2" width="5.5703125" style="9" customWidth="1"/>
    <col min="3" max="3" width="37.28515625" style="9" customWidth="1"/>
    <col min="4" max="9" width="9.7109375" style="9" customWidth="1"/>
    <col min="10" max="10" width="4.85546875" style="9" customWidth="1"/>
    <col min="11" max="11" width="9.140625" style="9" collapsed="1"/>
    <col min="12" max="16384" width="9.140625" style="9"/>
  </cols>
  <sheetData>
    <row r="1" spans="1:3">
      <c r="A1" s="594" t="s">
        <v>346</v>
      </c>
      <c r="B1" s="596"/>
      <c r="C1" s="597"/>
    </row>
    <row r="2" spans="1:3" ht="18.75">
      <c r="B2" s="106" t="s">
        <v>94</v>
      </c>
    </row>
    <row r="3" spans="1:3">
      <c r="C3" s="130" t="s">
        <v>614</v>
      </c>
    </row>
    <row r="20" spans="3:10">
      <c r="C20" s="126"/>
      <c r="D20" s="127">
        <v>2019</v>
      </c>
      <c r="E20" s="127">
        <v>2020</v>
      </c>
      <c r="F20" s="127">
        <v>2021</v>
      </c>
      <c r="G20" s="127">
        <v>2022</v>
      </c>
      <c r="H20" s="127">
        <v>2023</v>
      </c>
      <c r="I20" s="127">
        <v>2024</v>
      </c>
    </row>
    <row r="21" spans="3:10">
      <c r="C21" s="246" t="s">
        <v>55</v>
      </c>
      <c r="D21" s="247"/>
      <c r="E21" s="299">
        <v>-1.1599999999999999</v>
      </c>
      <c r="F21" s="299">
        <v>17.12</v>
      </c>
      <c r="G21" s="299">
        <v>1.1499999999999999</v>
      </c>
      <c r="H21" s="438">
        <v>-8.6999999999999993</v>
      </c>
      <c r="I21" s="299">
        <f>'I. Index'!$D$8</f>
        <v>19.100000000000001</v>
      </c>
      <c r="J21" s="19"/>
    </row>
    <row r="22" spans="3:10">
      <c r="C22" s="242" t="s">
        <v>56</v>
      </c>
      <c r="D22" s="300">
        <v>100</v>
      </c>
      <c r="E22" s="243">
        <f>D22*(1+(E21/100))</f>
        <v>98.839999999999989</v>
      </c>
      <c r="F22" s="243">
        <f>E22*(1+(F21/100))</f>
        <v>115.76140799999999</v>
      </c>
      <c r="G22" s="243">
        <f>F22*(1+(G21/100))</f>
        <v>117.092664192</v>
      </c>
      <c r="H22" s="243">
        <f>G22*(1+(H21/100))</f>
        <v>106.905602407296</v>
      </c>
      <c r="I22" s="243">
        <f>H22*(1+(I21/100))</f>
        <v>127.32457246708954</v>
      </c>
      <c r="J22" s="19"/>
    </row>
    <row r="23" spans="3:10">
      <c r="C23" s="244" t="s">
        <v>57</v>
      </c>
      <c r="D23" s="245"/>
      <c r="E23" s="302">
        <v>18.399999999999999</v>
      </c>
      <c r="F23" s="302">
        <v>28.71</v>
      </c>
      <c r="G23" s="302">
        <v>-18.32</v>
      </c>
      <c r="H23" s="439">
        <v>26.29</v>
      </c>
      <c r="I23" s="302">
        <f>'I. Index'!$D$10</f>
        <v>25.02</v>
      </c>
      <c r="J23" s="19"/>
    </row>
    <row r="24" spans="3:10">
      <c r="C24" s="242" t="s">
        <v>58</v>
      </c>
      <c r="D24" s="300">
        <v>100</v>
      </c>
      <c r="E24" s="243">
        <f>D24*(1+(E23/100))</f>
        <v>118.39999999999999</v>
      </c>
      <c r="F24" s="243">
        <f>E24*(1+(F23/100))</f>
        <v>152.39264</v>
      </c>
      <c r="G24" s="243">
        <f>F24*(1+(G23/100))</f>
        <v>124.47430835199999</v>
      </c>
      <c r="H24" s="243">
        <f>G24*(1+(H23/100))</f>
        <v>157.19860401774079</v>
      </c>
      <c r="I24" s="243">
        <f>H24*(1+(I23/100))</f>
        <v>196.52969474297953</v>
      </c>
      <c r="J24" s="19"/>
    </row>
    <row r="25" spans="3:10">
      <c r="C25" s="244" t="s">
        <v>59</v>
      </c>
      <c r="D25" s="245"/>
      <c r="E25" s="302">
        <v>9.7200000000000006</v>
      </c>
      <c r="F25" s="302">
        <v>20.95</v>
      </c>
      <c r="G25" s="302">
        <v>-7.02</v>
      </c>
      <c r="H25" s="439">
        <v>16.18</v>
      </c>
      <c r="I25" s="302">
        <f>'I. Index'!$D$9</f>
        <v>14.99</v>
      </c>
      <c r="J25" s="19"/>
    </row>
    <row r="26" spans="3:10">
      <c r="C26" s="248" t="s">
        <v>60</v>
      </c>
      <c r="D26" s="301">
        <v>100</v>
      </c>
      <c r="E26" s="243">
        <f>D26*(1+(E25/100))</f>
        <v>109.72</v>
      </c>
      <c r="F26" s="243">
        <f>E26*(1+(F25/100))</f>
        <v>132.70634000000001</v>
      </c>
      <c r="G26" s="243">
        <f>F26*(1+(G25/100))</f>
        <v>123.39035493200001</v>
      </c>
      <c r="H26" s="243">
        <f>G26*(1+(H25/100))</f>
        <v>143.35491435999759</v>
      </c>
      <c r="I26" s="243">
        <f>H26*(1+(I25/100))</f>
        <v>164.84381602256121</v>
      </c>
      <c r="J26" s="19"/>
    </row>
    <row r="27" spans="3:10">
      <c r="C27" s="19"/>
      <c r="D27" s="19"/>
      <c r="E27" s="19"/>
      <c r="F27" s="19"/>
      <c r="G27" s="19"/>
      <c r="H27" s="19"/>
      <c r="I27" s="19"/>
      <c r="J27" s="19"/>
    </row>
    <row r="28" spans="3:10">
      <c r="C28" s="19"/>
      <c r="D28" s="19"/>
      <c r="E28" s="19"/>
      <c r="F28" s="19"/>
      <c r="G28" s="19"/>
      <c r="H28" s="19"/>
      <c r="I28" s="19"/>
      <c r="J28" s="19"/>
    </row>
    <row r="29" spans="3:10">
      <c r="C29" s="19"/>
      <c r="D29" s="19"/>
      <c r="E29" s="19"/>
      <c r="F29" s="19"/>
      <c r="G29" s="19"/>
      <c r="H29" s="19"/>
      <c r="I29" s="19"/>
      <c r="J29" s="19"/>
    </row>
    <row r="30" spans="3:10">
      <c r="C30" s="13" t="s">
        <v>545</v>
      </c>
    </row>
  </sheetData>
  <mergeCells count="1">
    <mergeCell ref="A1:C1"/>
  </mergeCells>
  <phoneticPr fontId="6" type="noConversion"/>
  <hyperlinks>
    <hyperlink ref="A1" location="Index!A1" display="Return to Index" xr:uid="{00000000-0004-0000-0400-000000000000}"/>
    <hyperlink ref="A1:B1" location="Contents!A1" display="Go to Contents" xr:uid="{00000000-0004-0000-0400-000001000000}"/>
  </hyperlinks>
  <pageMargins left="0.25" right="0.25" top="0.36" bottom="0.38" header="0.2" footer="0.21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outlinePr summaryBelow="0" summaryRight="0"/>
  </sheetPr>
  <dimension ref="A1:F568"/>
  <sheetViews>
    <sheetView showGridLines="0" zoomScaleNormal="100" workbookViewId="0">
      <selection sqref="A1:B1"/>
    </sheetView>
  </sheetViews>
  <sheetFormatPr defaultColWidth="9.140625" defaultRowHeight="12.75"/>
  <cols>
    <col min="1" max="1" width="3.5703125" style="5" customWidth="1"/>
    <col min="2" max="2" width="10.42578125" style="5" bestFit="1" customWidth="1"/>
    <col min="3" max="3" width="9.28515625" style="5" bestFit="1" customWidth="1"/>
    <col min="4" max="4" width="12.140625" style="5" customWidth="1"/>
    <col min="5" max="16384" width="9.140625" style="5"/>
  </cols>
  <sheetData>
    <row r="1" spans="1:3">
      <c r="A1" s="594" t="s">
        <v>346</v>
      </c>
      <c r="B1" s="596"/>
    </row>
    <row r="2" spans="1:3" ht="18.75">
      <c r="B2" s="106" t="s">
        <v>89</v>
      </c>
      <c r="C2" s="32"/>
    </row>
    <row r="4" spans="1:3" ht="13.5">
      <c r="C4" s="9"/>
    </row>
    <row r="5" spans="1:3" ht="13.5">
      <c r="C5" s="9"/>
    </row>
    <row r="6" spans="1:3" ht="13.5">
      <c r="C6" s="9"/>
    </row>
    <row r="7" spans="1:3" ht="13.5">
      <c r="C7" s="9"/>
    </row>
    <row r="8" spans="1:3" ht="13.5">
      <c r="C8" s="9"/>
    </row>
    <row r="9" spans="1:3" ht="13.5">
      <c r="C9" s="9"/>
    </row>
    <row r="10" spans="1:3" ht="13.5">
      <c r="C10" s="9"/>
    </row>
    <row r="11" spans="1:3" ht="13.5">
      <c r="C11" s="9"/>
    </row>
    <row r="12" spans="1:3" ht="13.5">
      <c r="C12" s="9"/>
    </row>
    <row r="13" spans="1:3" ht="13.5">
      <c r="C13" s="9"/>
    </row>
    <row r="14" spans="1:3" ht="13.5">
      <c r="C14" s="9"/>
    </row>
    <row r="15" spans="1:3" ht="13.5">
      <c r="C15" s="9"/>
    </row>
    <row r="16" spans="1:3" ht="13.5">
      <c r="C16" s="9"/>
    </row>
    <row r="17" spans="2:6" ht="13.5">
      <c r="C17" s="9"/>
    </row>
    <row r="18" spans="2:6" ht="13.5">
      <c r="C18" s="9"/>
    </row>
    <row r="19" spans="2:6" ht="13.5">
      <c r="C19" s="9"/>
    </row>
    <row r="20" spans="2:6" ht="13.5">
      <c r="C20" s="9"/>
    </row>
    <row r="21" spans="2:6" ht="13.5">
      <c r="C21" s="9"/>
    </row>
    <row r="22" spans="2:6" ht="13.5">
      <c r="C22" s="9" t="s">
        <v>168</v>
      </c>
    </row>
    <row r="23" spans="2:6" ht="13.5">
      <c r="C23" s="68" t="s">
        <v>201</v>
      </c>
    </row>
    <row r="24" spans="2:6" ht="13.5">
      <c r="C24" s="9"/>
    </row>
    <row r="25" spans="2:6" ht="13.5">
      <c r="C25" s="9"/>
    </row>
    <row r="28" spans="2:6">
      <c r="B28" s="128" t="s">
        <v>293</v>
      </c>
      <c r="C28" s="129" t="s">
        <v>294</v>
      </c>
      <c r="D28" s="129" t="s">
        <v>295</v>
      </c>
    </row>
    <row r="29" spans="2:6" ht="13.5" collapsed="1">
      <c r="B29" s="440">
        <v>29221</v>
      </c>
      <c r="C29" s="122">
        <v>10.8</v>
      </c>
      <c r="D29" s="73">
        <f t="shared" ref="D29:D90" si="0">C29/100</f>
        <v>0.10800000000000001</v>
      </c>
      <c r="E29" s="9"/>
      <c r="F29" s="69"/>
    </row>
    <row r="30" spans="2:6" ht="13.5">
      <c r="B30" s="440">
        <v>29252</v>
      </c>
      <c r="C30" s="122">
        <v>12.41</v>
      </c>
      <c r="D30" s="73">
        <f t="shared" si="0"/>
        <v>0.1241</v>
      </c>
      <c r="E30" s="9"/>
      <c r="F30" s="69"/>
    </row>
    <row r="31" spans="2:6" ht="13.5">
      <c r="B31" s="440">
        <v>29281</v>
      </c>
      <c r="C31" s="122">
        <v>12.75</v>
      </c>
      <c r="D31" s="73">
        <f t="shared" si="0"/>
        <v>0.1275</v>
      </c>
      <c r="E31" s="9"/>
      <c r="F31" s="69"/>
    </row>
    <row r="32" spans="2:6" ht="13.5">
      <c r="B32" s="440">
        <v>29312</v>
      </c>
      <c r="C32" s="122">
        <v>11.47</v>
      </c>
      <c r="D32" s="73">
        <f t="shared" si="0"/>
        <v>0.11470000000000001</v>
      </c>
      <c r="E32" s="9"/>
      <c r="F32" s="69"/>
    </row>
    <row r="33" spans="2:6" ht="13.5">
      <c r="B33" s="440">
        <v>29342</v>
      </c>
      <c r="C33" s="122">
        <v>10.18</v>
      </c>
      <c r="D33" s="73">
        <f t="shared" si="0"/>
        <v>0.1018</v>
      </c>
      <c r="E33" s="9"/>
      <c r="F33" s="69"/>
    </row>
    <row r="34" spans="2:6" ht="13.5">
      <c r="B34" s="440">
        <v>29373</v>
      </c>
      <c r="C34" s="122">
        <v>9.7799999999999994</v>
      </c>
      <c r="D34" s="73">
        <f t="shared" si="0"/>
        <v>9.7799999999999998E-2</v>
      </c>
      <c r="E34" s="9"/>
      <c r="F34" s="69"/>
    </row>
    <row r="35" spans="2:6" ht="13.5">
      <c r="B35" s="440">
        <v>29403</v>
      </c>
      <c r="C35" s="122">
        <v>10.25</v>
      </c>
      <c r="D35" s="73">
        <f t="shared" si="0"/>
        <v>0.10249999999999999</v>
      </c>
      <c r="E35" s="9"/>
      <c r="F35" s="69"/>
    </row>
    <row r="36" spans="2:6" ht="13.5">
      <c r="B36" s="440">
        <v>29434</v>
      </c>
      <c r="C36" s="122">
        <v>11.1</v>
      </c>
      <c r="D36" s="73">
        <f t="shared" si="0"/>
        <v>0.111</v>
      </c>
      <c r="E36" s="9"/>
      <c r="F36" s="69"/>
    </row>
    <row r="37" spans="2:6" ht="13.5">
      <c r="B37" s="440">
        <v>29465</v>
      </c>
      <c r="C37" s="122">
        <v>11.51</v>
      </c>
      <c r="D37" s="73">
        <f t="shared" si="0"/>
        <v>0.11509999999999999</v>
      </c>
      <c r="E37" s="9"/>
      <c r="F37" s="69"/>
    </row>
    <row r="38" spans="2:6" ht="13.5">
      <c r="B38" s="440">
        <v>29495</v>
      </c>
      <c r="C38" s="122">
        <v>11.75</v>
      </c>
      <c r="D38" s="73">
        <f t="shared" si="0"/>
        <v>0.11749999999999999</v>
      </c>
      <c r="E38" s="9"/>
      <c r="F38" s="69"/>
    </row>
    <row r="39" spans="2:6" ht="13.5">
      <c r="B39" s="440">
        <v>29526</v>
      </c>
      <c r="C39" s="122">
        <v>12.68</v>
      </c>
      <c r="D39" s="73">
        <f t="shared" si="0"/>
        <v>0.1268</v>
      </c>
      <c r="E39" s="9"/>
      <c r="F39" s="69"/>
    </row>
    <row r="40" spans="2:6" ht="13.5">
      <c r="B40" s="440">
        <v>29556</v>
      </c>
      <c r="C40" s="122">
        <v>12.84</v>
      </c>
      <c r="D40" s="73">
        <f t="shared" si="0"/>
        <v>0.12839999999999999</v>
      </c>
      <c r="E40" s="9"/>
      <c r="F40" s="69"/>
    </row>
    <row r="41" spans="2:6" ht="13.5">
      <c r="B41" s="440">
        <v>29587</v>
      </c>
      <c r="C41" s="122">
        <v>12.57</v>
      </c>
      <c r="D41" s="73">
        <f t="shared" si="0"/>
        <v>0.12570000000000001</v>
      </c>
      <c r="E41" s="9"/>
      <c r="F41" s="69"/>
    </row>
    <row r="42" spans="2:6" ht="13.5">
      <c r="B42" s="440">
        <v>29618</v>
      </c>
      <c r="C42" s="122">
        <v>13.19</v>
      </c>
      <c r="D42" s="73">
        <f t="shared" si="0"/>
        <v>0.13189999999999999</v>
      </c>
      <c r="E42" s="9"/>
      <c r="F42" s="69"/>
    </row>
    <row r="43" spans="2:6" ht="13.5">
      <c r="B43" s="440">
        <v>29646</v>
      </c>
      <c r="C43" s="122">
        <v>13.12</v>
      </c>
      <c r="D43" s="73">
        <f t="shared" si="0"/>
        <v>0.13119999999999998</v>
      </c>
      <c r="E43" s="9"/>
      <c r="F43" s="69"/>
    </row>
    <row r="44" spans="2:6" ht="13.5">
      <c r="B44" s="440">
        <v>29677</v>
      </c>
      <c r="C44" s="122">
        <v>13.68</v>
      </c>
      <c r="D44" s="73">
        <f t="shared" si="0"/>
        <v>0.1368</v>
      </c>
      <c r="E44" s="9"/>
      <c r="F44" s="69"/>
    </row>
    <row r="45" spans="2:6" ht="13.5">
      <c r="B45" s="440">
        <v>29707</v>
      </c>
      <c r="C45" s="122">
        <v>14.1</v>
      </c>
      <c r="D45" s="73">
        <f t="shared" si="0"/>
        <v>0.14099999999999999</v>
      </c>
      <c r="E45" s="9"/>
      <c r="F45" s="69"/>
    </row>
    <row r="46" spans="2:6" ht="13.5">
      <c r="B46" s="440">
        <v>29738</v>
      </c>
      <c r="C46" s="122">
        <v>13.47</v>
      </c>
      <c r="D46" s="73">
        <f t="shared" si="0"/>
        <v>0.13470000000000001</v>
      </c>
      <c r="E46" s="9"/>
      <c r="F46" s="69"/>
    </row>
    <row r="47" spans="2:6" ht="13.5">
      <c r="B47" s="440">
        <v>29768</v>
      </c>
      <c r="C47" s="122">
        <v>14.28</v>
      </c>
      <c r="D47" s="73">
        <f t="shared" si="0"/>
        <v>0.14279999999999998</v>
      </c>
      <c r="E47" s="9"/>
      <c r="F47" s="69"/>
    </row>
    <row r="48" spans="2:6" ht="13.5">
      <c r="B48" s="440">
        <v>29799</v>
      </c>
      <c r="C48" s="122">
        <v>14.94</v>
      </c>
      <c r="D48" s="73">
        <f t="shared" si="0"/>
        <v>0.14940000000000001</v>
      </c>
      <c r="E48" s="9"/>
      <c r="F48" s="69"/>
    </row>
    <row r="49" spans="2:6" ht="13.5">
      <c r="B49" s="440">
        <v>29830</v>
      </c>
      <c r="C49" s="122">
        <v>15.32</v>
      </c>
      <c r="D49" s="73">
        <f t="shared" si="0"/>
        <v>0.1532</v>
      </c>
      <c r="E49" s="9"/>
      <c r="F49" s="69"/>
    </row>
    <row r="50" spans="2:6" ht="13.5">
      <c r="B50" s="440">
        <v>29860</v>
      </c>
      <c r="C50" s="122">
        <v>15.15</v>
      </c>
      <c r="D50" s="73">
        <f t="shared" si="0"/>
        <v>0.1515</v>
      </c>
      <c r="E50" s="9"/>
      <c r="F50" s="69"/>
    </row>
    <row r="51" spans="2:6" ht="13.5">
      <c r="B51" s="440">
        <v>29891</v>
      </c>
      <c r="C51" s="122">
        <v>13.39</v>
      </c>
      <c r="D51" s="73">
        <f t="shared" si="0"/>
        <v>0.13390000000000002</v>
      </c>
      <c r="E51" s="9"/>
      <c r="F51" s="69"/>
    </row>
    <row r="52" spans="2:6" ht="13.5">
      <c r="B52" s="440">
        <v>29921</v>
      </c>
      <c r="C52" s="122">
        <v>13.72</v>
      </c>
      <c r="D52" s="73">
        <f t="shared" si="0"/>
        <v>0.13720000000000002</v>
      </c>
      <c r="E52" s="9"/>
      <c r="F52" s="69"/>
    </row>
    <row r="53" spans="2:6" ht="13.5">
      <c r="B53" s="440">
        <v>29952</v>
      </c>
      <c r="C53" s="122">
        <v>14.59</v>
      </c>
      <c r="D53" s="73">
        <f t="shared" si="0"/>
        <v>0.1459</v>
      </c>
      <c r="E53" s="9"/>
      <c r="F53" s="69"/>
    </row>
    <row r="54" spans="2:6" ht="13.5">
      <c r="B54" s="440">
        <v>29983</v>
      </c>
      <c r="C54" s="122">
        <v>14.43</v>
      </c>
      <c r="D54" s="73">
        <f t="shared" si="0"/>
        <v>0.14429999999999998</v>
      </c>
      <c r="E54" s="9"/>
      <c r="F54" s="69"/>
    </row>
    <row r="55" spans="2:6" ht="13.5">
      <c r="B55" s="440">
        <v>30011</v>
      </c>
      <c r="C55" s="122">
        <v>13.86</v>
      </c>
      <c r="D55" s="73">
        <f t="shared" si="0"/>
        <v>0.1386</v>
      </c>
      <c r="E55" s="9"/>
      <c r="F55" s="69"/>
    </row>
    <row r="56" spans="2:6" ht="13.5">
      <c r="B56" s="440">
        <v>30042</v>
      </c>
      <c r="C56" s="122">
        <v>13.87</v>
      </c>
      <c r="D56" s="73">
        <f t="shared" si="0"/>
        <v>0.13869999999999999</v>
      </c>
      <c r="E56" s="9"/>
      <c r="F56" s="69"/>
    </row>
    <row r="57" spans="2:6" ht="13.5">
      <c r="B57" s="440">
        <v>30072</v>
      </c>
      <c r="C57" s="122">
        <v>13.62</v>
      </c>
      <c r="D57" s="73">
        <f t="shared" si="0"/>
        <v>0.13619999999999999</v>
      </c>
      <c r="E57" s="9"/>
      <c r="F57" s="69"/>
    </row>
    <row r="58" spans="2:6" ht="13.5">
      <c r="B58" s="440">
        <v>30103</v>
      </c>
      <c r="C58" s="122">
        <v>14.3</v>
      </c>
      <c r="D58" s="73">
        <f t="shared" si="0"/>
        <v>0.14300000000000002</v>
      </c>
      <c r="E58" s="9"/>
      <c r="F58" s="69"/>
    </row>
    <row r="59" spans="2:6" ht="13.5">
      <c r="B59" s="440">
        <v>30133</v>
      </c>
      <c r="C59" s="122">
        <v>13.95</v>
      </c>
      <c r="D59" s="73">
        <f t="shared" si="0"/>
        <v>0.13949999999999999</v>
      </c>
      <c r="E59" s="9"/>
      <c r="F59" s="69"/>
    </row>
    <row r="60" spans="2:6" ht="13.5">
      <c r="B60" s="440">
        <v>30164</v>
      </c>
      <c r="C60" s="122">
        <v>13.06</v>
      </c>
      <c r="D60" s="73">
        <f t="shared" si="0"/>
        <v>0.13059999999999999</v>
      </c>
      <c r="E60" s="9"/>
      <c r="F60" s="69"/>
    </row>
    <row r="61" spans="2:6" ht="13.5">
      <c r="B61" s="440">
        <v>30195</v>
      </c>
      <c r="C61" s="122">
        <v>12.34</v>
      </c>
      <c r="D61" s="73">
        <f t="shared" si="0"/>
        <v>0.1234</v>
      </c>
      <c r="E61" s="9"/>
      <c r="F61" s="69"/>
    </row>
    <row r="62" spans="2:6" ht="13.5">
      <c r="B62" s="440">
        <v>30225</v>
      </c>
      <c r="C62" s="122">
        <v>10.91</v>
      </c>
      <c r="D62" s="73">
        <f t="shared" si="0"/>
        <v>0.1091</v>
      </c>
      <c r="E62" s="9"/>
      <c r="F62" s="69"/>
    </row>
    <row r="63" spans="2:6" ht="13.5">
      <c r="B63" s="440">
        <v>30256</v>
      </c>
      <c r="C63" s="122">
        <v>10.55</v>
      </c>
      <c r="D63" s="73">
        <f t="shared" si="0"/>
        <v>0.10550000000000001</v>
      </c>
      <c r="E63" s="9"/>
      <c r="F63" s="69"/>
    </row>
    <row r="64" spans="2:6" ht="13.5">
      <c r="B64" s="440">
        <v>30286</v>
      </c>
      <c r="C64" s="122">
        <v>10.54</v>
      </c>
      <c r="D64" s="73">
        <f t="shared" si="0"/>
        <v>0.10539999999999999</v>
      </c>
      <c r="E64" s="9"/>
      <c r="F64" s="69"/>
    </row>
    <row r="65" spans="2:6" ht="13.5">
      <c r="B65" s="440">
        <v>30317</v>
      </c>
      <c r="C65" s="122">
        <v>10.46</v>
      </c>
      <c r="D65" s="73">
        <f t="shared" si="0"/>
        <v>0.10460000000000001</v>
      </c>
      <c r="E65" s="9"/>
      <c r="F65" s="69"/>
    </row>
    <row r="66" spans="2:6" ht="13.5">
      <c r="B66" s="440">
        <v>30348</v>
      </c>
      <c r="C66" s="122">
        <v>10.72</v>
      </c>
      <c r="D66" s="73">
        <f t="shared" si="0"/>
        <v>0.1072</v>
      </c>
      <c r="E66" s="9"/>
      <c r="F66" s="69"/>
    </row>
    <row r="67" spans="2:6" ht="13.5">
      <c r="B67" s="440">
        <v>30376</v>
      </c>
      <c r="C67" s="122">
        <v>10.51</v>
      </c>
      <c r="D67" s="73">
        <f t="shared" si="0"/>
        <v>0.1051</v>
      </c>
      <c r="E67" s="9"/>
      <c r="F67" s="69"/>
    </row>
    <row r="68" spans="2:6" ht="13.5">
      <c r="B68" s="440">
        <v>30407</v>
      </c>
      <c r="C68" s="122">
        <v>10.4</v>
      </c>
      <c r="D68" s="73">
        <f t="shared" si="0"/>
        <v>0.10400000000000001</v>
      </c>
      <c r="E68" s="9"/>
      <c r="F68" s="69"/>
    </row>
    <row r="69" spans="2:6" ht="13.5">
      <c r="B69" s="440">
        <v>30437</v>
      </c>
      <c r="C69" s="122">
        <v>10.38</v>
      </c>
      <c r="D69" s="73">
        <f t="shared" si="0"/>
        <v>0.1038</v>
      </c>
      <c r="E69" s="9"/>
      <c r="F69" s="69"/>
    </row>
    <row r="70" spans="2:6" ht="13.5">
      <c r="B70" s="440">
        <v>30468</v>
      </c>
      <c r="C70" s="122">
        <v>10.85</v>
      </c>
      <c r="D70" s="73">
        <f t="shared" si="0"/>
        <v>0.1085</v>
      </c>
      <c r="E70" s="9"/>
      <c r="F70" s="69"/>
    </row>
    <row r="71" spans="2:6" ht="13.5">
      <c r="B71" s="440">
        <v>30498</v>
      </c>
      <c r="C71" s="122">
        <v>11.38</v>
      </c>
      <c r="D71" s="73">
        <f t="shared" si="0"/>
        <v>0.11380000000000001</v>
      </c>
      <c r="E71" s="9"/>
      <c r="F71" s="69"/>
    </row>
    <row r="72" spans="2:6" ht="13.5">
      <c r="B72" s="440">
        <v>30529</v>
      </c>
      <c r="C72" s="122">
        <v>11.85</v>
      </c>
      <c r="D72" s="73">
        <f t="shared" si="0"/>
        <v>0.11849999999999999</v>
      </c>
      <c r="E72" s="9"/>
      <c r="F72" s="69"/>
    </row>
    <row r="73" spans="2:6" ht="13.5">
      <c r="B73" s="440">
        <v>30560</v>
      </c>
      <c r="C73" s="122">
        <v>11.65</v>
      </c>
      <c r="D73" s="73">
        <f t="shared" si="0"/>
        <v>0.11650000000000001</v>
      </c>
      <c r="E73" s="9"/>
      <c r="F73" s="69"/>
    </row>
    <row r="74" spans="2:6" ht="13.5">
      <c r="B74" s="440">
        <v>30590</v>
      </c>
      <c r="C74" s="122">
        <v>11.54</v>
      </c>
      <c r="D74" s="73">
        <f t="shared" si="0"/>
        <v>0.11539999999999999</v>
      </c>
      <c r="E74" s="9"/>
      <c r="F74" s="69"/>
    </row>
    <row r="75" spans="2:6" ht="13.5">
      <c r="B75" s="440">
        <v>30621</v>
      </c>
      <c r="C75" s="122">
        <v>11.69</v>
      </c>
      <c r="D75" s="73">
        <f t="shared" si="0"/>
        <v>0.11689999999999999</v>
      </c>
      <c r="E75" s="9"/>
      <c r="F75" s="69"/>
    </row>
    <row r="76" spans="2:6" ht="13.5">
      <c r="B76" s="440">
        <v>30651</v>
      </c>
      <c r="C76" s="122">
        <v>11.83</v>
      </c>
      <c r="D76" s="73">
        <f t="shared" si="0"/>
        <v>0.1183</v>
      </c>
      <c r="E76" s="9"/>
      <c r="F76" s="69"/>
    </row>
    <row r="77" spans="2:6" ht="13.5">
      <c r="B77" s="440">
        <v>30682</v>
      </c>
      <c r="C77" s="122">
        <v>11.67</v>
      </c>
      <c r="D77" s="73">
        <f t="shared" si="0"/>
        <v>0.1167</v>
      </c>
      <c r="E77" s="9"/>
      <c r="F77" s="69"/>
    </row>
    <row r="78" spans="2:6" ht="13.5">
      <c r="B78" s="440">
        <v>30713</v>
      </c>
      <c r="C78" s="122">
        <v>11.84</v>
      </c>
      <c r="D78" s="73">
        <f t="shared" si="0"/>
        <v>0.11840000000000001</v>
      </c>
      <c r="E78" s="9"/>
      <c r="F78" s="69"/>
    </row>
    <row r="79" spans="2:6" ht="13.5">
      <c r="B79" s="440">
        <v>30742</v>
      </c>
      <c r="C79" s="122">
        <v>12.32</v>
      </c>
      <c r="D79" s="73">
        <f t="shared" si="0"/>
        <v>0.1232</v>
      </c>
      <c r="E79" s="9"/>
      <c r="F79" s="69"/>
    </row>
    <row r="80" spans="2:6" ht="13.5">
      <c r="B80" s="440">
        <v>30773</v>
      </c>
      <c r="C80" s="122">
        <v>12.63</v>
      </c>
      <c r="D80" s="73">
        <f t="shared" si="0"/>
        <v>0.1263</v>
      </c>
      <c r="E80" s="9"/>
      <c r="F80" s="69"/>
    </row>
    <row r="81" spans="2:6" ht="13.5">
      <c r="B81" s="440">
        <v>30803</v>
      </c>
      <c r="C81" s="122">
        <v>13.41</v>
      </c>
      <c r="D81" s="73">
        <f t="shared" si="0"/>
        <v>0.1341</v>
      </c>
      <c r="E81" s="9"/>
      <c r="F81" s="69"/>
    </row>
    <row r="82" spans="2:6" ht="13.5">
      <c r="B82" s="440">
        <v>30834</v>
      </c>
      <c r="C82" s="122">
        <v>13.56</v>
      </c>
      <c r="D82" s="73">
        <f t="shared" si="0"/>
        <v>0.1356</v>
      </c>
      <c r="E82" s="9"/>
      <c r="F82" s="69"/>
    </row>
    <row r="83" spans="2:6" ht="13.5">
      <c r="B83" s="440">
        <v>30864</v>
      </c>
      <c r="C83" s="122">
        <v>13.36</v>
      </c>
      <c r="D83" s="73">
        <f t="shared" si="0"/>
        <v>0.1336</v>
      </c>
      <c r="E83" s="9"/>
      <c r="F83" s="69"/>
    </row>
    <row r="84" spans="2:6" ht="13.5">
      <c r="B84" s="440">
        <v>30895</v>
      </c>
      <c r="C84" s="122">
        <v>12.72</v>
      </c>
      <c r="D84" s="73">
        <f t="shared" si="0"/>
        <v>0.12720000000000001</v>
      </c>
      <c r="E84" s="9"/>
      <c r="F84" s="69"/>
    </row>
    <row r="85" spans="2:6" ht="13.5">
      <c r="B85" s="440">
        <v>30926</v>
      </c>
      <c r="C85" s="122">
        <v>12.52</v>
      </c>
      <c r="D85" s="73">
        <f t="shared" si="0"/>
        <v>0.12520000000000001</v>
      </c>
      <c r="E85" s="9"/>
      <c r="F85" s="69"/>
    </row>
    <row r="86" spans="2:6" ht="13.5">
      <c r="B86" s="440">
        <v>30956</v>
      </c>
      <c r="C86" s="122">
        <v>12.16</v>
      </c>
      <c r="D86" s="73">
        <f t="shared" si="0"/>
        <v>0.1216</v>
      </c>
      <c r="E86" s="9"/>
      <c r="F86" s="69"/>
    </row>
    <row r="87" spans="2:6" ht="13.5">
      <c r="B87" s="440">
        <v>30987</v>
      </c>
      <c r="C87" s="122">
        <v>11.57</v>
      </c>
      <c r="D87" s="73">
        <f t="shared" si="0"/>
        <v>0.1157</v>
      </c>
      <c r="E87" s="9"/>
      <c r="F87" s="69"/>
    </row>
    <row r="88" spans="2:6" ht="13.5">
      <c r="B88" s="440">
        <v>31017</v>
      </c>
      <c r="C88" s="122">
        <v>11.5</v>
      </c>
      <c r="D88" s="73">
        <f t="shared" si="0"/>
        <v>0.115</v>
      </c>
      <c r="E88" s="9"/>
      <c r="F88" s="69"/>
    </row>
    <row r="89" spans="2:6" ht="13.5">
      <c r="B89" s="440">
        <v>31048</v>
      </c>
      <c r="C89" s="122">
        <v>11.38</v>
      </c>
      <c r="D89" s="73">
        <f t="shared" si="0"/>
        <v>0.11380000000000001</v>
      </c>
      <c r="E89" s="9"/>
      <c r="F89" s="69"/>
    </row>
    <row r="90" spans="2:6" ht="13.5">
      <c r="B90" s="440">
        <v>31079</v>
      </c>
      <c r="C90" s="122">
        <v>11.51</v>
      </c>
      <c r="D90" s="73">
        <f t="shared" si="0"/>
        <v>0.11509999999999999</v>
      </c>
      <c r="E90" s="9"/>
      <c r="F90" s="69"/>
    </row>
    <row r="91" spans="2:6" ht="13.5">
      <c r="B91" s="440">
        <v>31107</v>
      </c>
      <c r="C91" s="122">
        <v>11.86</v>
      </c>
      <c r="D91" s="73">
        <f t="shared" ref="D91:D154" si="1">C91/100</f>
        <v>0.1186</v>
      </c>
      <c r="E91" s="9"/>
      <c r="F91" s="69"/>
    </row>
    <row r="92" spans="2:6" ht="13.5">
      <c r="B92" s="440">
        <v>31138</v>
      </c>
      <c r="C92" s="122">
        <v>11.43</v>
      </c>
      <c r="D92" s="73">
        <f t="shared" si="1"/>
        <v>0.1143</v>
      </c>
      <c r="E92" s="9"/>
      <c r="F92" s="69"/>
    </row>
    <row r="93" spans="2:6" ht="13.5">
      <c r="B93" s="440">
        <v>31168</v>
      </c>
      <c r="C93" s="122">
        <v>10.85</v>
      </c>
      <c r="D93" s="73">
        <f t="shared" si="1"/>
        <v>0.1085</v>
      </c>
      <c r="E93" s="9"/>
      <c r="F93" s="69"/>
    </row>
    <row r="94" spans="2:6" ht="13.5">
      <c r="B94" s="440">
        <v>31199</v>
      </c>
      <c r="C94" s="122">
        <v>10.16</v>
      </c>
      <c r="D94" s="73">
        <f t="shared" si="1"/>
        <v>0.1016</v>
      </c>
      <c r="E94" s="9"/>
      <c r="F94" s="69"/>
    </row>
    <row r="95" spans="2:6" ht="13.5">
      <c r="B95" s="440">
        <v>31229</v>
      </c>
      <c r="C95" s="122">
        <v>10.31</v>
      </c>
      <c r="D95" s="73">
        <f t="shared" si="1"/>
        <v>0.10310000000000001</v>
      </c>
      <c r="E95" s="9"/>
      <c r="F95" s="69"/>
    </row>
    <row r="96" spans="2:6" ht="13.5">
      <c r="B96" s="440">
        <v>31260</v>
      </c>
      <c r="C96" s="122">
        <v>10.33</v>
      </c>
      <c r="D96" s="73">
        <f t="shared" si="1"/>
        <v>0.1033</v>
      </c>
      <c r="E96" s="9"/>
      <c r="F96" s="69"/>
    </row>
    <row r="97" spans="2:6" ht="13.5">
      <c r="B97" s="440">
        <v>31291</v>
      </c>
      <c r="C97" s="122">
        <v>10.37</v>
      </c>
      <c r="D97" s="73">
        <f t="shared" si="1"/>
        <v>0.10369999999999999</v>
      </c>
      <c r="E97" s="9"/>
      <c r="F97" s="69"/>
    </row>
    <row r="98" spans="2:6" ht="13.5">
      <c r="B98" s="440">
        <v>31321</v>
      </c>
      <c r="C98" s="122">
        <v>10.24</v>
      </c>
      <c r="D98" s="73">
        <f t="shared" si="1"/>
        <v>0.1024</v>
      </c>
      <c r="E98" s="9"/>
      <c r="F98" s="69"/>
    </row>
    <row r="99" spans="2:6" ht="13.5">
      <c r="B99" s="440">
        <v>31352</v>
      </c>
      <c r="C99" s="122">
        <v>9.7799999999999994</v>
      </c>
      <c r="D99" s="73">
        <f t="shared" si="1"/>
        <v>9.7799999999999998E-2</v>
      </c>
      <c r="E99" s="9"/>
      <c r="F99" s="69"/>
    </row>
    <row r="100" spans="2:6" ht="13.5">
      <c r="B100" s="440">
        <v>31382</v>
      </c>
      <c r="C100" s="122">
        <v>9.26</v>
      </c>
      <c r="D100" s="73">
        <f t="shared" si="1"/>
        <v>9.2600000000000002E-2</v>
      </c>
      <c r="E100" s="9"/>
      <c r="F100" s="69"/>
    </row>
    <row r="101" spans="2:6" ht="13.5">
      <c r="B101" s="440">
        <v>31413</v>
      </c>
      <c r="C101" s="122">
        <v>9.19</v>
      </c>
      <c r="D101" s="73">
        <f t="shared" si="1"/>
        <v>9.1899999999999996E-2</v>
      </c>
      <c r="E101" s="9"/>
      <c r="F101" s="69"/>
    </row>
    <row r="102" spans="2:6" ht="13.5">
      <c r="B102" s="440">
        <v>31444</v>
      </c>
      <c r="C102" s="122">
        <v>8.6999999999999993</v>
      </c>
      <c r="D102" s="73">
        <f t="shared" si="1"/>
        <v>8.6999999999999994E-2</v>
      </c>
      <c r="E102" s="9"/>
      <c r="F102" s="69"/>
    </row>
    <row r="103" spans="2:6" ht="13.5">
      <c r="B103" s="440">
        <v>31472</v>
      </c>
      <c r="C103" s="122">
        <v>7.78</v>
      </c>
      <c r="D103" s="73">
        <f t="shared" si="1"/>
        <v>7.7800000000000008E-2</v>
      </c>
      <c r="E103" s="9"/>
      <c r="F103" s="69"/>
    </row>
    <row r="104" spans="2:6" ht="13.5">
      <c r="B104" s="440">
        <v>31503</v>
      </c>
      <c r="C104" s="122">
        <v>7.3</v>
      </c>
      <c r="D104" s="73">
        <f t="shared" si="1"/>
        <v>7.2999999999999995E-2</v>
      </c>
      <c r="E104" s="9"/>
      <c r="F104" s="69"/>
    </row>
    <row r="105" spans="2:6" ht="13.5">
      <c r="B105" s="440">
        <v>31533</v>
      </c>
      <c r="C105" s="122">
        <v>7.71</v>
      </c>
      <c r="D105" s="73">
        <f t="shared" si="1"/>
        <v>7.7100000000000002E-2</v>
      </c>
      <c r="E105" s="9"/>
      <c r="F105" s="69"/>
    </row>
    <row r="106" spans="2:6" ht="13.5">
      <c r="B106" s="440">
        <v>31564</v>
      </c>
      <c r="C106" s="122">
        <v>7.8</v>
      </c>
      <c r="D106" s="73">
        <f t="shared" si="1"/>
        <v>7.8E-2</v>
      </c>
      <c r="E106" s="9"/>
      <c r="F106" s="69"/>
    </row>
    <row r="107" spans="2:6" ht="13.5">
      <c r="B107" s="440">
        <v>31594</v>
      </c>
      <c r="C107" s="122">
        <v>7.3</v>
      </c>
      <c r="D107" s="73">
        <f t="shared" si="1"/>
        <v>7.2999999999999995E-2</v>
      </c>
      <c r="E107" s="9"/>
      <c r="F107" s="69"/>
    </row>
    <row r="108" spans="2:6" ht="13.5">
      <c r="B108" s="440">
        <v>31625</v>
      </c>
      <c r="C108" s="122">
        <v>7.17</v>
      </c>
      <c r="D108" s="73">
        <f t="shared" si="1"/>
        <v>7.17E-2</v>
      </c>
      <c r="E108" s="9"/>
      <c r="F108" s="69"/>
    </row>
    <row r="109" spans="2:6" ht="13.5">
      <c r="B109" s="440">
        <v>31656</v>
      </c>
      <c r="C109" s="122">
        <v>7.45</v>
      </c>
      <c r="D109" s="73">
        <f t="shared" si="1"/>
        <v>7.4499999999999997E-2</v>
      </c>
      <c r="E109" s="9"/>
      <c r="F109" s="69"/>
    </row>
    <row r="110" spans="2:6" ht="13.5">
      <c r="B110" s="440">
        <v>31686</v>
      </c>
      <c r="C110" s="122">
        <v>7.43</v>
      </c>
      <c r="D110" s="73">
        <f t="shared" si="1"/>
        <v>7.4299999999999991E-2</v>
      </c>
      <c r="E110" s="9"/>
      <c r="F110" s="69"/>
    </row>
    <row r="111" spans="2:6" ht="13.5">
      <c r="B111" s="440">
        <v>31717</v>
      </c>
      <c r="C111" s="122">
        <v>7.25</v>
      </c>
      <c r="D111" s="73">
        <f t="shared" si="1"/>
        <v>7.2499999999999995E-2</v>
      </c>
      <c r="E111" s="9"/>
      <c r="F111" s="69"/>
    </row>
    <row r="112" spans="2:6" ht="13.5">
      <c r="B112" s="440">
        <v>31747</v>
      </c>
      <c r="C112" s="122">
        <v>7.11</v>
      </c>
      <c r="D112" s="73">
        <f t="shared" si="1"/>
        <v>7.1099999999999997E-2</v>
      </c>
      <c r="E112" s="9"/>
      <c r="F112" s="69"/>
    </row>
    <row r="113" spans="2:6" ht="13.5">
      <c r="B113" s="440">
        <v>31778</v>
      </c>
      <c r="C113" s="122">
        <v>7.08</v>
      </c>
      <c r="D113" s="73">
        <f t="shared" si="1"/>
        <v>7.0800000000000002E-2</v>
      </c>
      <c r="E113" s="9"/>
      <c r="F113" s="69"/>
    </row>
    <row r="114" spans="2:6" ht="13.5">
      <c r="B114" s="440">
        <v>31809</v>
      </c>
      <c r="C114" s="122">
        <v>7.25</v>
      </c>
      <c r="D114" s="73">
        <f t="shared" si="1"/>
        <v>7.2499999999999995E-2</v>
      </c>
      <c r="E114" s="9"/>
      <c r="F114" s="69"/>
    </row>
    <row r="115" spans="2:6" ht="13.5">
      <c r="B115" s="440">
        <v>31837</v>
      </c>
      <c r="C115" s="122">
        <v>7.25</v>
      </c>
      <c r="D115" s="73">
        <f t="shared" si="1"/>
        <v>7.2499999999999995E-2</v>
      </c>
      <c r="E115" s="9"/>
      <c r="F115" s="69"/>
    </row>
    <row r="116" spans="2:6" ht="13.5">
      <c r="B116" s="440">
        <v>31868</v>
      </c>
      <c r="C116" s="122">
        <v>8.02</v>
      </c>
      <c r="D116" s="73">
        <f t="shared" si="1"/>
        <v>8.0199999999999994E-2</v>
      </c>
      <c r="E116" s="9"/>
      <c r="F116" s="69"/>
    </row>
    <row r="117" spans="2:6" ht="13.5">
      <c r="B117" s="440">
        <v>31898</v>
      </c>
      <c r="C117" s="122">
        <v>8.61</v>
      </c>
      <c r="D117" s="73">
        <f t="shared" si="1"/>
        <v>8.6099999999999996E-2</v>
      </c>
      <c r="E117" s="9"/>
      <c r="F117" s="69"/>
    </row>
    <row r="118" spans="2:6" ht="13.5">
      <c r="B118" s="440">
        <v>31929</v>
      </c>
      <c r="C118" s="122">
        <v>8.4</v>
      </c>
      <c r="D118" s="73">
        <f t="shared" si="1"/>
        <v>8.4000000000000005E-2</v>
      </c>
      <c r="E118" s="9"/>
      <c r="F118" s="69"/>
    </row>
    <row r="119" spans="2:6" ht="13.5">
      <c r="B119" s="440">
        <v>31959</v>
      </c>
      <c r="C119" s="122">
        <v>8.4499999999999993</v>
      </c>
      <c r="D119" s="73">
        <f t="shared" si="1"/>
        <v>8.4499999999999992E-2</v>
      </c>
      <c r="E119" s="9"/>
      <c r="F119" s="69"/>
    </row>
    <row r="120" spans="2:6" ht="13.5">
      <c r="B120" s="440">
        <v>31990</v>
      </c>
      <c r="C120" s="122">
        <v>8.76</v>
      </c>
      <c r="D120" s="73">
        <f t="shared" si="1"/>
        <v>8.7599999999999997E-2</v>
      </c>
      <c r="E120" s="9"/>
      <c r="F120" s="69"/>
    </row>
    <row r="121" spans="2:6" ht="13.5">
      <c r="B121" s="440">
        <v>32021</v>
      </c>
      <c r="C121" s="122">
        <v>9.42</v>
      </c>
      <c r="D121" s="73">
        <f t="shared" si="1"/>
        <v>9.4200000000000006E-2</v>
      </c>
      <c r="E121" s="9"/>
      <c r="F121" s="69"/>
    </row>
    <row r="122" spans="2:6" ht="13.5">
      <c r="B122" s="440">
        <v>32051</v>
      </c>
      <c r="C122" s="122">
        <v>9.52</v>
      </c>
      <c r="D122" s="73">
        <f t="shared" si="1"/>
        <v>9.5199999999999993E-2</v>
      </c>
      <c r="E122" s="9"/>
      <c r="F122" s="69"/>
    </row>
    <row r="123" spans="2:6" ht="13.5">
      <c r="B123" s="440">
        <v>32082</v>
      </c>
      <c r="C123" s="122">
        <v>8.86</v>
      </c>
      <c r="D123" s="73">
        <f t="shared" si="1"/>
        <v>8.8599999999999998E-2</v>
      </c>
      <c r="E123" s="9"/>
      <c r="F123" s="69"/>
    </row>
    <row r="124" spans="2:6" ht="13.5">
      <c r="B124" s="440">
        <v>32112</v>
      </c>
      <c r="C124" s="122">
        <v>8.99</v>
      </c>
      <c r="D124" s="73">
        <f t="shared" si="1"/>
        <v>8.9900000000000008E-2</v>
      </c>
      <c r="E124" s="9"/>
      <c r="F124" s="69"/>
    </row>
    <row r="125" spans="2:6" ht="13.5">
      <c r="B125" s="440">
        <v>32143</v>
      </c>
      <c r="C125" s="122">
        <v>8.67</v>
      </c>
      <c r="D125" s="73">
        <f t="shared" si="1"/>
        <v>8.6699999999999999E-2</v>
      </c>
      <c r="E125" s="9"/>
      <c r="F125" s="69"/>
    </row>
    <row r="126" spans="2:6" ht="13.5">
      <c r="B126" s="440">
        <v>32174</v>
      </c>
      <c r="C126" s="122">
        <v>8.2100000000000009</v>
      </c>
      <c r="D126" s="73">
        <f t="shared" si="1"/>
        <v>8.2100000000000006E-2</v>
      </c>
      <c r="E126" s="9"/>
      <c r="F126" s="69"/>
    </row>
    <row r="127" spans="2:6" ht="13.5">
      <c r="B127" s="440">
        <v>32203</v>
      </c>
      <c r="C127" s="122">
        <v>8.3699999999999992</v>
      </c>
      <c r="D127" s="73">
        <f t="shared" si="1"/>
        <v>8.3699999999999997E-2</v>
      </c>
      <c r="E127" s="9"/>
      <c r="F127" s="69"/>
    </row>
    <row r="128" spans="2:6" ht="13.5">
      <c r="B128" s="440">
        <v>32234</v>
      </c>
      <c r="C128" s="122">
        <v>8.7200000000000006</v>
      </c>
      <c r="D128" s="73">
        <f t="shared" si="1"/>
        <v>8.72E-2</v>
      </c>
      <c r="E128" s="9"/>
      <c r="F128" s="69"/>
    </row>
    <row r="129" spans="2:6" ht="13.5">
      <c r="B129" s="440">
        <v>32264</v>
      </c>
      <c r="C129" s="122">
        <v>9.09</v>
      </c>
      <c r="D129" s="73">
        <f t="shared" si="1"/>
        <v>9.0899999999999995E-2</v>
      </c>
      <c r="E129" s="9"/>
      <c r="F129" s="69"/>
    </row>
    <row r="130" spans="2:6" ht="13.5">
      <c r="B130" s="440">
        <v>32295</v>
      </c>
      <c r="C130" s="122">
        <v>8.92</v>
      </c>
      <c r="D130" s="73">
        <f t="shared" si="1"/>
        <v>8.9200000000000002E-2</v>
      </c>
      <c r="E130" s="9"/>
      <c r="F130" s="69"/>
    </row>
    <row r="131" spans="2:6" ht="13.5">
      <c r="B131" s="440">
        <v>32325</v>
      </c>
      <c r="C131" s="122">
        <v>9.06</v>
      </c>
      <c r="D131" s="73">
        <f t="shared" si="1"/>
        <v>9.06E-2</v>
      </c>
      <c r="E131" s="9"/>
      <c r="F131" s="69"/>
    </row>
    <row r="132" spans="2:6" ht="13.5">
      <c r="B132" s="440">
        <v>32356</v>
      </c>
      <c r="C132" s="122">
        <v>9.26</v>
      </c>
      <c r="D132" s="73">
        <f t="shared" si="1"/>
        <v>9.2600000000000002E-2</v>
      </c>
      <c r="E132" s="9"/>
      <c r="F132" s="69"/>
    </row>
    <row r="133" spans="2:6" ht="13.5">
      <c r="B133" s="440">
        <v>32387</v>
      </c>
      <c r="C133" s="122">
        <v>8.98</v>
      </c>
      <c r="D133" s="73">
        <f t="shared" si="1"/>
        <v>8.9800000000000005E-2</v>
      </c>
      <c r="E133" s="9"/>
      <c r="F133" s="69"/>
    </row>
    <row r="134" spans="2:6" ht="13.5">
      <c r="B134" s="440">
        <v>32417</v>
      </c>
      <c r="C134" s="122">
        <v>8.8000000000000007</v>
      </c>
      <c r="D134" s="73">
        <f t="shared" si="1"/>
        <v>8.8000000000000009E-2</v>
      </c>
      <c r="E134" s="9"/>
      <c r="F134" s="69"/>
    </row>
    <row r="135" spans="2:6" ht="13.5">
      <c r="B135" s="440">
        <v>32448</v>
      </c>
      <c r="C135" s="122">
        <v>8.9600000000000009</v>
      </c>
      <c r="D135" s="73">
        <f t="shared" si="1"/>
        <v>8.9600000000000013E-2</v>
      </c>
      <c r="E135" s="9"/>
      <c r="F135" s="69"/>
    </row>
    <row r="136" spans="2:6" ht="13.5">
      <c r="B136" s="440">
        <v>32478</v>
      </c>
      <c r="C136" s="122">
        <v>9.11</v>
      </c>
      <c r="D136" s="73">
        <f t="shared" si="1"/>
        <v>9.11E-2</v>
      </c>
      <c r="E136" s="9"/>
      <c r="F136" s="69"/>
    </row>
    <row r="137" spans="2:6" ht="13.5">
      <c r="B137" s="440">
        <v>32509</v>
      </c>
      <c r="C137" s="122">
        <v>9.09</v>
      </c>
      <c r="D137" s="73">
        <f t="shared" si="1"/>
        <v>9.0899999999999995E-2</v>
      </c>
      <c r="E137" s="9"/>
      <c r="F137" s="69"/>
    </row>
    <row r="138" spans="2:6" ht="13.5">
      <c r="B138" s="440">
        <v>32540</v>
      </c>
      <c r="C138" s="122">
        <v>9.17</v>
      </c>
      <c r="D138" s="73">
        <f t="shared" si="1"/>
        <v>9.1700000000000004E-2</v>
      </c>
      <c r="E138" s="9"/>
      <c r="F138" s="69"/>
    </row>
    <row r="139" spans="2:6" ht="13.5">
      <c r="B139" s="440">
        <v>32568</v>
      </c>
      <c r="C139" s="122">
        <v>9.36</v>
      </c>
      <c r="D139" s="73">
        <f t="shared" si="1"/>
        <v>9.3599999999999989E-2</v>
      </c>
      <c r="E139" s="9"/>
      <c r="F139" s="69"/>
    </row>
    <row r="140" spans="2:6" ht="13.5">
      <c r="B140" s="440">
        <v>32599</v>
      </c>
      <c r="C140" s="122">
        <v>9.18</v>
      </c>
      <c r="D140" s="73">
        <f t="shared" si="1"/>
        <v>9.1799999999999993E-2</v>
      </c>
      <c r="E140" s="9"/>
      <c r="F140" s="69"/>
    </row>
    <row r="141" spans="2:6" ht="13.5">
      <c r="B141" s="440">
        <v>32629</v>
      </c>
      <c r="C141" s="122">
        <v>8.86</v>
      </c>
      <c r="D141" s="73">
        <f t="shared" si="1"/>
        <v>8.8599999999999998E-2</v>
      </c>
      <c r="E141" s="9"/>
      <c r="F141" s="69"/>
    </row>
    <row r="142" spans="2:6" ht="13.5">
      <c r="B142" s="440">
        <v>32660</v>
      </c>
      <c r="C142" s="122">
        <v>8.2799999999999994</v>
      </c>
      <c r="D142" s="73">
        <f t="shared" si="1"/>
        <v>8.2799999999999999E-2</v>
      </c>
      <c r="E142" s="9"/>
      <c r="F142" s="69"/>
    </row>
    <row r="143" spans="2:6" ht="13.5">
      <c r="B143" s="440">
        <v>32690</v>
      </c>
      <c r="C143" s="122">
        <v>8.02</v>
      </c>
      <c r="D143" s="73">
        <f t="shared" si="1"/>
        <v>8.0199999999999994E-2</v>
      </c>
      <c r="E143" s="9"/>
      <c r="F143" s="69"/>
    </row>
    <row r="144" spans="2:6" ht="13.5">
      <c r="B144" s="440">
        <v>32721</v>
      </c>
      <c r="C144" s="122">
        <v>8.11</v>
      </c>
      <c r="D144" s="73">
        <f t="shared" si="1"/>
        <v>8.1099999999999992E-2</v>
      </c>
      <c r="E144" s="9"/>
      <c r="F144" s="69"/>
    </row>
    <row r="145" spans="2:6" ht="13.5">
      <c r="B145" s="440">
        <v>32752</v>
      </c>
      <c r="C145" s="122">
        <v>8.19</v>
      </c>
      <c r="D145" s="73">
        <f t="shared" si="1"/>
        <v>8.1900000000000001E-2</v>
      </c>
      <c r="E145" s="9"/>
      <c r="F145" s="69"/>
    </row>
    <row r="146" spans="2:6" ht="13.5">
      <c r="B146" s="440">
        <v>32782</v>
      </c>
      <c r="C146" s="122">
        <v>8.01</v>
      </c>
      <c r="D146" s="73">
        <f t="shared" si="1"/>
        <v>8.0100000000000005E-2</v>
      </c>
      <c r="E146" s="9"/>
      <c r="F146" s="69"/>
    </row>
    <row r="147" spans="2:6" ht="13.5">
      <c r="B147" s="440">
        <v>32813</v>
      </c>
      <c r="C147" s="122">
        <v>7.87</v>
      </c>
      <c r="D147" s="73">
        <f t="shared" si="1"/>
        <v>7.8700000000000006E-2</v>
      </c>
      <c r="E147" s="9"/>
      <c r="F147" s="69"/>
    </row>
    <row r="148" spans="2:6" ht="13.5">
      <c r="B148" s="440">
        <v>32843</v>
      </c>
      <c r="C148" s="122">
        <v>7.84</v>
      </c>
      <c r="D148" s="73">
        <f t="shared" si="1"/>
        <v>7.8399999999999997E-2</v>
      </c>
      <c r="E148" s="9"/>
      <c r="F148" s="69"/>
    </row>
    <row r="149" spans="2:6" ht="13.5">
      <c r="B149" s="440">
        <v>32874</v>
      </c>
      <c r="C149" s="122">
        <v>8.2100000000000009</v>
      </c>
      <c r="D149" s="73">
        <f t="shared" si="1"/>
        <v>8.2100000000000006E-2</v>
      </c>
      <c r="E149" s="9"/>
      <c r="F149" s="69"/>
    </row>
    <row r="150" spans="2:6" ht="13.5">
      <c r="B150" s="440">
        <v>32905</v>
      </c>
      <c r="C150" s="122">
        <v>8.4700000000000006</v>
      </c>
      <c r="D150" s="73">
        <f t="shared" si="1"/>
        <v>8.4700000000000011E-2</v>
      </c>
      <c r="E150" s="9"/>
      <c r="F150" s="69"/>
    </row>
    <row r="151" spans="2:6" ht="13.5">
      <c r="B151" s="440">
        <v>32933</v>
      </c>
      <c r="C151" s="122">
        <v>8.59</v>
      </c>
      <c r="D151" s="73">
        <f t="shared" si="1"/>
        <v>8.5900000000000004E-2</v>
      </c>
      <c r="E151" s="9"/>
      <c r="F151" s="69"/>
    </row>
    <row r="152" spans="2:6" ht="13.5">
      <c r="B152" s="440">
        <v>32964</v>
      </c>
      <c r="C152" s="122">
        <v>8.7899999999999991</v>
      </c>
      <c r="D152" s="73">
        <f t="shared" si="1"/>
        <v>8.7899999999999992E-2</v>
      </c>
      <c r="E152" s="9"/>
      <c r="F152" s="69"/>
    </row>
    <row r="153" spans="2:6" ht="13.5">
      <c r="B153" s="440">
        <v>32994</v>
      </c>
      <c r="C153" s="122">
        <v>8.76</v>
      </c>
      <c r="D153" s="73">
        <f t="shared" si="1"/>
        <v>8.7599999999999997E-2</v>
      </c>
      <c r="E153" s="9"/>
      <c r="F153" s="69"/>
    </row>
    <row r="154" spans="2:6" ht="13.5">
      <c r="B154" s="440">
        <v>33025</v>
      </c>
      <c r="C154" s="122">
        <v>8.48</v>
      </c>
      <c r="D154" s="73">
        <f t="shared" si="1"/>
        <v>8.48E-2</v>
      </c>
      <c r="E154" s="9"/>
      <c r="F154" s="69"/>
    </row>
    <row r="155" spans="2:6" ht="13.5">
      <c r="B155" s="440">
        <v>33055</v>
      </c>
      <c r="C155" s="122">
        <v>8.4700000000000006</v>
      </c>
      <c r="D155" s="73">
        <f t="shared" ref="D155:D218" si="2">C155/100</f>
        <v>8.4700000000000011E-2</v>
      </c>
      <c r="E155" s="9"/>
      <c r="F155" s="69"/>
    </row>
    <row r="156" spans="2:6" ht="13.5">
      <c r="B156" s="440">
        <v>33086</v>
      </c>
      <c r="C156" s="122">
        <v>8.75</v>
      </c>
      <c r="D156" s="73">
        <f t="shared" si="2"/>
        <v>8.7499999999999994E-2</v>
      </c>
      <c r="E156" s="9"/>
      <c r="F156" s="69"/>
    </row>
    <row r="157" spans="2:6" ht="13.5">
      <c r="B157" s="440">
        <v>33117</v>
      </c>
      <c r="C157" s="122">
        <v>8.89</v>
      </c>
      <c r="D157" s="73">
        <f t="shared" si="2"/>
        <v>8.8900000000000007E-2</v>
      </c>
      <c r="E157" s="9"/>
      <c r="F157" s="69"/>
    </row>
    <row r="158" spans="2:6" ht="13.5">
      <c r="B158" s="440">
        <v>33147</v>
      </c>
      <c r="C158" s="122">
        <v>8.7200000000000006</v>
      </c>
      <c r="D158" s="73">
        <f t="shared" si="2"/>
        <v>8.72E-2</v>
      </c>
      <c r="E158" s="9"/>
      <c r="F158" s="69"/>
    </row>
    <row r="159" spans="2:6" ht="13.5">
      <c r="B159" s="440">
        <v>33178</v>
      </c>
      <c r="C159" s="122">
        <v>8.39</v>
      </c>
      <c r="D159" s="73">
        <f t="shared" si="2"/>
        <v>8.3900000000000002E-2</v>
      </c>
      <c r="E159" s="9"/>
      <c r="F159" s="69"/>
    </row>
    <row r="160" spans="2:6" ht="13.5">
      <c r="B160" s="440">
        <v>33208</v>
      </c>
      <c r="C160" s="122">
        <v>8.08</v>
      </c>
      <c r="D160" s="73">
        <f t="shared" si="2"/>
        <v>8.0799999999999997E-2</v>
      </c>
      <c r="E160" s="9"/>
      <c r="F160" s="69"/>
    </row>
    <row r="161" spans="2:6" ht="13.5">
      <c r="B161" s="440">
        <v>33239</v>
      </c>
      <c r="C161" s="122">
        <v>8.09</v>
      </c>
      <c r="D161" s="73">
        <f t="shared" si="2"/>
        <v>8.09E-2</v>
      </c>
      <c r="E161" s="9"/>
      <c r="F161" s="69"/>
    </row>
    <row r="162" spans="2:6" ht="13.5">
      <c r="B162" s="440">
        <v>33270</v>
      </c>
      <c r="C162" s="122">
        <v>7.85</v>
      </c>
      <c r="D162" s="73">
        <f t="shared" si="2"/>
        <v>7.85E-2</v>
      </c>
      <c r="E162" s="9"/>
      <c r="F162" s="69"/>
    </row>
    <row r="163" spans="2:6" ht="13.5">
      <c r="B163" s="440">
        <v>33298</v>
      </c>
      <c r="C163" s="122">
        <v>8.11</v>
      </c>
      <c r="D163" s="73">
        <f t="shared" si="2"/>
        <v>8.1099999999999992E-2</v>
      </c>
      <c r="E163" s="9"/>
      <c r="F163" s="69"/>
    </row>
    <row r="164" spans="2:6" ht="13.5">
      <c r="B164" s="440">
        <v>33329</v>
      </c>
      <c r="C164" s="122">
        <v>8.0399999999999991</v>
      </c>
      <c r="D164" s="73">
        <f t="shared" si="2"/>
        <v>8.0399999999999985E-2</v>
      </c>
      <c r="E164" s="9"/>
      <c r="F164" s="69"/>
    </row>
    <row r="165" spans="2:6" ht="13.5">
      <c r="B165" s="440">
        <v>33359</v>
      </c>
      <c r="C165" s="122">
        <v>8.07</v>
      </c>
      <c r="D165" s="73">
        <f t="shared" si="2"/>
        <v>8.0700000000000008E-2</v>
      </c>
      <c r="E165" s="9"/>
      <c r="F165" s="69"/>
    </row>
    <row r="166" spans="2:6" ht="13.5">
      <c r="B166" s="440">
        <v>33390</v>
      </c>
      <c r="C166" s="122">
        <v>8.2799999999999994</v>
      </c>
      <c r="D166" s="73">
        <f t="shared" si="2"/>
        <v>8.2799999999999999E-2</v>
      </c>
      <c r="E166" s="9"/>
      <c r="F166" s="69"/>
    </row>
    <row r="167" spans="2:6" ht="13.5">
      <c r="B167" s="440">
        <v>33420</v>
      </c>
      <c r="C167" s="122">
        <v>8.27</v>
      </c>
      <c r="D167" s="73">
        <f t="shared" si="2"/>
        <v>8.2699999999999996E-2</v>
      </c>
      <c r="E167" s="9"/>
      <c r="F167" s="69"/>
    </row>
    <row r="168" spans="2:6" ht="13.5">
      <c r="B168" s="440">
        <v>33451</v>
      </c>
      <c r="C168" s="122">
        <v>7.9</v>
      </c>
      <c r="D168" s="73">
        <f t="shared" si="2"/>
        <v>7.9000000000000001E-2</v>
      </c>
      <c r="E168" s="9"/>
      <c r="F168" s="69"/>
    </row>
    <row r="169" spans="2:6" ht="13.5">
      <c r="B169" s="440">
        <v>33482</v>
      </c>
      <c r="C169" s="122">
        <v>7.65</v>
      </c>
      <c r="D169" s="73">
        <f t="shared" si="2"/>
        <v>7.6499999999999999E-2</v>
      </c>
      <c r="E169" s="9"/>
      <c r="F169" s="69"/>
    </row>
    <row r="170" spans="2:6" ht="13.5">
      <c r="B170" s="440">
        <v>33512</v>
      </c>
      <c r="C170" s="122">
        <v>7.53</v>
      </c>
      <c r="D170" s="73">
        <f t="shared" si="2"/>
        <v>7.5300000000000006E-2</v>
      </c>
      <c r="E170" s="9"/>
      <c r="F170" s="69"/>
    </row>
    <row r="171" spans="2:6" ht="13.5">
      <c r="B171" s="440">
        <v>33543</v>
      </c>
      <c r="C171" s="122">
        <v>7.42</v>
      </c>
      <c r="D171" s="73">
        <f t="shared" si="2"/>
        <v>7.4200000000000002E-2</v>
      </c>
      <c r="E171" s="9"/>
      <c r="F171" s="69"/>
    </row>
    <row r="172" spans="2:6" ht="13.5">
      <c r="B172" s="440">
        <v>33573</v>
      </c>
      <c r="C172" s="122">
        <v>7.09</v>
      </c>
      <c r="D172" s="73">
        <f t="shared" si="2"/>
        <v>7.0900000000000005E-2</v>
      </c>
      <c r="E172" s="9"/>
      <c r="F172" s="69"/>
    </row>
    <row r="173" spans="2:6" ht="13.5">
      <c r="B173" s="440">
        <v>33604</v>
      </c>
      <c r="C173" s="122">
        <v>7.03</v>
      </c>
      <c r="D173" s="73">
        <f t="shared" si="2"/>
        <v>7.0300000000000001E-2</v>
      </c>
      <c r="E173" s="9"/>
      <c r="F173" s="69"/>
    </row>
    <row r="174" spans="2:6" ht="13.5">
      <c r="B174" s="440">
        <v>33635</v>
      </c>
      <c r="C174" s="122">
        <v>7.34</v>
      </c>
      <c r="D174" s="73">
        <f t="shared" si="2"/>
        <v>7.3399999999999993E-2</v>
      </c>
      <c r="E174" s="9"/>
      <c r="F174" s="69"/>
    </row>
    <row r="175" spans="2:6" ht="13.5">
      <c r="B175" s="440">
        <v>33664</v>
      </c>
      <c r="C175" s="122">
        <v>7.54</v>
      </c>
      <c r="D175" s="73">
        <f t="shared" si="2"/>
        <v>7.5399999999999995E-2</v>
      </c>
      <c r="E175" s="9"/>
      <c r="F175" s="69"/>
    </row>
    <row r="176" spans="2:6" ht="13.5">
      <c r="B176" s="440">
        <v>33695</v>
      </c>
      <c r="C176" s="122">
        <v>7.48</v>
      </c>
      <c r="D176" s="73">
        <f t="shared" si="2"/>
        <v>7.4800000000000005E-2</v>
      </c>
      <c r="E176" s="9"/>
      <c r="F176" s="69"/>
    </row>
    <row r="177" spans="2:6" ht="13.5">
      <c r="B177" s="440">
        <v>33725</v>
      </c>
      <c r="C177" s="122">
        <v>7.39</v>
      </c>
      <c r="D177" s="73">
        <f t="shared" si="2"/>
        <v>7.3899999999999993E-2</v>
      </c>
      <c r="E177" s="9"/>
      <c r="F177" s="69"/>
    </row>
    <row r="178" spans="2:6" ht="13.5">
      <c r="B178" s="440">
        <v>33756</v>
      </c>
      <c r="C178" s="122">
        <v>7.26</v>
      </c>
      <c r="D178" s="73">
        <f t="shared" si="2"/>
        <v>7.2599999999999998E-2</v>
      </c>
      <c r="E178" s="9"/>
      <c r="F178" s="69"/>
    </row>
    <row r="179" spans="2:6" ht="13.5">
      <c r="B179" s="440">
        <v>33786</v>
      </c>
      <c r="C179" s="122">
        <v>6.84</v>
      </c>
      <c r="D179" s="73">
        <f t="shared" si="2"/>
        <v>6.8400000000000002E-2</v>
      </c>
      <c r="E179" s="9"/>
      <c r="F179" s="69"/>
    </row>
    <row r="180" spans="2:6" ht="13.5">
      <c r="B180" s="440">
        <v>33817</v>
      </c>
      <c r="C180" s="122">
        <v>6.59</v>
      </c>
      <c r="D180" s="73">
        <f t="shared" si="2"/>
        <v>6.59E-2</v>
      </c>
      <c r="E180" s="9"/>
      <c r="F180" s="69"/>
    </row>
    <row r="181" spans="2:6" ht="13.5">
      <c r="B181" s="440">
        <v>33848</v>
      </c>
      <c r="C181" s="122">
        <v>6.42</v>
      </c>
      <c r="D181" s="73">
        <f t="shared" si="2"/>
        <v>6.4199999999999993E-2</v>
      </c>
      <c r="E181" s="9"/>
      <c r="F181" s="69"/>
    </row>
    <row r="182" spans="2:6" ht="13.5">
      <c r="B182" s="440">
        <v>33878</v>
      </c>
      <c r="C182" s="122">
        <v>6.59</v>
      </c>
      <c r="D182" s="73">
        <f t="shared" si="2"/>
        <v>6.59E-2</v>
      </c>
      <c r="E182" s="9"/>
      <c r="F182" s="69"/>
    </row>
    <row r="183" spans="2:6" ht="13.5">
      <c r="B183" s="440">
        <v>33909</v>
      </c>
      <c r="C183" s="122">
        <v>6.87</v>
      </c>
      <c r="D183" s="73">
        <f t="shared" si="2"/>
        <v>6.8699999999999997E-2</v>
      </c>
      <c r="E183" s="9"/>
      <c r="F183" s="69"/>
    </row>
    <row r="184" spans="2:6" ht="13.5">
      <c r="B184" s="440">
        <v>33939</v>
      </c>
      <c r="C184" s="122">
        <v>6.77</v>
      </c>
      <c r="D184" s="73">
        <f t="shared" si="2"/>
        <v>6.7699999999999996E-2</v>
      </c>
      <c r="E184" s="9"/>
      <c r="F184" s="69"/>
    </row>
    <row r="185" spans="2:6" ht="13.5">
      <c r="B185" s="440">
        <v>33970</v>
      </c>
      <c r="C185" s="122">
        <v>6.6</v>
      </c>
      <c r="D185" s="73">
        <f t="shared" si="2"/>
        <v>6.6000000000000003E-2</v>
      </c>
      <c r="E185" s="9"/>
      <c r="F185" s="69"/>
    </row>
    <row r="186" spans="2:6" ht="13.5">
      <c r="B186" s="440">
        <v>34001</v>
      </c>
      <c r="C186" s="122">
        <v>6.26</v>
      </c>
      <c r="D186" s="73">
        <f t="shared" si="2"/>
        <v>6.2600000000000003E-2</v>
      </c>
      <c r="E186" s="9"/>
      <c r="F186" s="69"/>
    </row>
    <row r="187" spans="2:6" ht="13.5">
      <c r="B187" s="440">
        <v>34029</v>
      </c>
      <c r="C187" s="122">
        <v>5.98</v>
      </c>
      <c r="D187" s="73">
        <f t="shared" si="2"/>
        <v>5.9800000000000006E-2</v>
      </c>
      <c r="E187" s="9"/>
      <c r="F187" s="69"/>
    </row>
    <row r="188" spans="2:6" ht="13.5">
      <c r="B188" s="440">
        <v>34060</v>
      </c>
      <c r="C188" s="122">
        <v>5.97</v>
      </c>
      <c r="D188" s="73">
        <f t="shared" si="2"/>
        <v>5.9699999999999996E-2</v>
      </c>
      <c r="E188" s="9"/>
      <c r="F188" s="69"/>
    </row>
    <row r="189" spans="2:6" ht="13.5">
      <c r="B189" s="440">
        <v>34090</v>
      </c>
      <c r="C189" s="122">
        <v>6.04</v>
      </c>
      <c r="D189" s="73">
        <f t="shared" si="2"/>
        <v>6.0400000000000002E-2</v>
      </c>
      <c r="E189" s="9"/>
      <c r="F189" s="69"/>
    </row>
    <row r="190" spans="2:6" ht="13.5">
      <c r="B190" s="440">
        <v>34121</v>
      </c>
      <c r="C190" s="122">
        <v>5.96</v>
      </c>
      <c r="D190" s="73">
        <f t="shared" si="2"/>
        <v>5.96E-2</v>
      </c>
      <c r="E190" s="9"/>
      <c r="F190" s="69"/>
    </row>
    <row r="191" spans="2:6" ht="13.5">
      <c r="B191" s="440">
        <v>34151</v>
      </c>
      <c r="C191" s="122">
        <v>5.81</v>
      </c>
      <c r="D191" s="73">
        <f t="shared" si="2"/>
        <v>5.8099999999999999E-2</v>
      </c>
      <c r="E191" s="9"/>
      <c r="F191" s="69"/>
    </row>
    <row r="192" spans="2:6" ht="13.5">
      <c r="B192" s="440">
        <v>34182</v>
      </c>
      <c r="C192" s="122">
        <v>5.68</v>
      </c>
      <c r="D192" s="73">
        <f t="shared" si="2"/>
        <v>5.6799999999999996E-2</v>
      </c>
      <c r="E192" s="9"/>
      <c r="F192" s="69"/>
    </row>
    <row r="193" spans="2:6" ht="13.5">
      <c r="B193" s="440">
        <v>34213</v>
      </c>
      <c r="C193" s="122">
        <v>5.36</v>
      </c>
      <c r="D193" s="73">
        <f t="shared" si="2"/>
        <v>5.3600000000000002E-2</v>
      </c>
      <c r="E193" s="9"/>
      <c r="F193" s="69"/>
    </row>
    <row r="194" spans="2:6" ht="13.5">
      <c r="B194" s="440">
        <v>34243</v>
      </c>
      <c r="C194" s="122">
        <v>5.33</v>
      </c>
      <c r="D194" s="73">
        <f t="shared" si="2"/>
        <v>5.33E-2</v>
      </c>
      <c r="E194" s="9"/>
      <c r="F194" s="69"/>
    </row>
    <row r="195" spans="2:6" ht="13.5">
      <c r="B195" s="440">
        <v>34274</v>
      </c>
      <c r="C195" s="122">
        <v>5.72</v>
      </c>
      <c r="D195" s="73">
        <f t="shared" si="2"/>
        <v>5.7200000000000001E-2</v>
      </c>
      <c r="E195" s="9"/>
      <c r="F195" s="69"/>
    </row>
    <row r="196" spans="2:6" ht="13.5">
      <c r="B196" s="440">
        <v>34304</v>
      </c>
      <c r="C196" s="122">
        <v>5.77</v>
      </c>
      <c r="D196" s="73">
        <f t="shared" si="2"/>
        <v>5.7699999999999994E-2</v>
      </c>
      <c r="E196" s="9"/>
      <c r="F196" s="69"/>
    </row>
    <row r="197" spans="2:6" ht="13.5">
      <c r="B197" s="440">
        <v>34335</v>
      </c>
      <c r="C197" s="122">
        <v>5.75</v>
      </c>
      <c r="D197" s="73">
        <f t="shared" si="2"/>
        <v>5.7500000000000002E-2</v>
      </c>
      <c r="E197" s="9"/>
      <c r="F197" s="69"/>
    </row>
    <row r="198" spans="2:6" ht="13.5">
      <c r="B198" s="440">
        <v>34366</v>
      </c>
      <c r="C198" s="122">
        <v>5.97</v>
      </c>
      <c r="D198" s="73">
        <f t="shared" si="2"/>
        <v>5.9699999999999996E-2</v>
      </c>
      <c r="E198" s="9"/>
      <c r="F198" s="69"/>
    </row>
    <row r="199" spans="2:6" ht="13.5">
      <c r="B199" s="440">
        <v>34394</v>
      </c>
      <c r="C199" s="122">
        <v>6.48</v>
      </c>
      <c r="D199" s="73">
        <f t="shared" si="2"/>
        <v>6.480000000000001E-2</v>
      </c>
      <c r="E199" s="9"/>
      <c r="F199" s="69"/>
    </row>
    <row r="200" spans="2:6" ht="13.5">
      <c r="B200" s="440">
        <v>34425</v>
      </c>
      <c r="C200" s="122">
        <v>6.97</v>
      </c>
      <c r="D200" s="73">
        <f t="shared" si="2"/>
        <v>6.9699999999999998E-2</v>
      </c>
      <c r="E200" s="9"/>
      <c r="F200" s="69"/>
    </row>
    <row r="201" spans="2:6" ht="13.5">
      <c r="B201" s="440">
        <v>34455</v>
      </c>
      <c r="C201" s="122">
        <v>7.18</v>
      </c>
      <c r="D201" s="73">
        <f t="shared" si="2"/>
        <v>7.1800000000000003E-2</v>
      </c>
      <c r="E201" s="9"/>
      <c r="F201" s="69"/>
    </row>
    <row r="202" spans="2:6" ht="13.5">
      <c r="B202" s="440">
        <v>34486</v>
      </c>
      <c r="C202" s="122">
        <v>7.1</v>
      </c>
      <c r="D202" s="73">
        <f t="shared" si="2"/>
        <v>7.0999999999999994E-2</v>
      </c>
      <c r="E202" s="9"/>
      <c r="F202" s="69"/>
    </row>
    <row r="203" spans="2:6" ht="13.5">
      <c r="B203" s="440">
        <v>34516</v>
      </c>
      <c r="C203" s="122">
        <v>7.3</v>
      </c>
      <c r="D203" s="73">
        <f t="shared" si="2"/>
        <v>7.2999999999999995E-2</v>
      </c>
      <c r="E203" s="9"/>
      <c r="F203" s="69"/>
    </row>
    <row r="204" spans="2:6" ht="13.5">
      <c r="B204" s="440">
        <v>34547</v>
      </c>
      <c r="C204" s="122">
        <v>7.24</v>
      </c>
      <c r="D204" s="73">
        <f t="shared" si="2"/>
        <v>7.2400000000000006E-2</v>
      </c>
      <c r="E204" s="9"/>
      <c r="F204" s="69"/>
    </row>
    <row r="205" spans="2:6" ht="13.5">
      <c r="B205" s="440">
        <v>34578</v>
      </c>
      <c r="C205" s="122">
        <v>7.46</v>
      </c>
      <c r="D205" s="73">
        <f t="shared" si="2"/>
        <v>7.46E-2</v>
      </c>
      <c r="E205" s="9"/>
      <c r="F205" s="69"/>
    </row>
    <row r="206" spans="2:6" ht="13.5">
      <c r="B206" s="440">
        <v>34608</v>
      </c>
      <c r="C206" s="122">
        <v>7.74</v>
      </c>
      <c r="D206" s="73">
        <f t="shared" si="2"/>
        <v>7.7399999999999997E-2</v>
      </c>
      <c r="E206" s="9"/>
      <c r="F206" s="69"/>
    </row>
    <row r="207" spans="2:6" ht="13.5">
      <c r="B207" s="440">
        <v>34639</v>
      </c>
      <c r="C207" s="122">
        <v>7.96</v>
      </c>
      <c r="D207" s="73">
        <f t="shared" si="2"/>
        <v>7.9600000000000004E-2</v>
      </c>
      <c r="E207" s="9"/>
      <c r="F207" s="69"/>
    </row>
    <row r="208" spans="2:6" ht="13.5">
      <c r="B208" s="440">
        <v>34669</v>
      </c>
      <c r="C208" s="122">
        <v>7.81</v>
      </c>
      <c r="D208" s="73">
        <f t="shared" si="2"/>
        <v>7.8100000000000003E-2</v>
      </c>
      <c r="E208" s="9"/>
      <c r="F208" s="69"/>
    </row>
    <row r="209" spans="2:6" ht="13.5">
      <c r="B209" s="440">
        <v>34700</v>
      </c>
      <c r="C209" s="122">
        <v>7.78</v>
      </c>
      <c r="D209" s="73">
        <f t="shared" si="2"/>
        <v>7.7800000000000008E-2</v>
      </c>
      <c r="E209" s="9"/>
      <c r="F209" s="69"/>
    </row>
    <row r="210" spans="2:6" ht="13.5">
      <c r="B210" s="440">
        <v>34731</v>
      </c>
      <c r="C210" s="122">
        <v>7.47</v>
      </c>
      <c r="D210" s="73">
        <f t="shared" si="2"/>
        <v>7.4700000000000003E-2</v>
      </c>
      <c r="E210" s="9"/>
      <c r="F210" s="69"/>
    </row>
    <row r="211" spans="2:6" ht="13.5">
      <c r="B211" s="440">
        <v>34759</v>
      </c>
      <c r="C211" s="122">
        <v>7.2</v>
      </c>
      <c r="D211" s="73">
        <f t="shared" si="2"/>
        <v>7.2000000000000008E-2</v>
      </c>
      <c r="E211" s="9"/>
      <c r="F211" s="69"/>
    </row>
    <row r="212" spans="2:6" ht="13.5">
      <c r="B212" s="440">
        <v>34790</v>
      </c>
      <c r="C212" s="122">
        <v>7.06</v>
      </c>
      <c r="D212" s="73">
        <f t="shared" si="2"/>
        <v>7.0599999999999996E-2</v>
      </c>
      <c r="E212" s="9"/>
      <c r="F212" s="69"/>
    </row>
    <row r="213" spans="2:6" ht="13.5">
      <c r="B213" s="440">
        <v>34820</v>
      </c>
      <c r="C213" s="122">
        <v>6.63</v>
      </c>
      <c r="D213" s="73">
        <f t="shared" si="2"/>
        <v>6.6299999999999998E-2</v>
      </c>
      <c r="E213" s="9"/>
      <c r="F213" s="69"/>
    </row>
    <row r="214" spans="2:6" ht="13.5">
      <c r="B214" s="440">
        <v>34851</v>
      </c>
      <c r="C214" s="122">
        <v>6.17</v>
      </c>
      <c r="D214" s="73">
        <f t="shared" si="2"/>
        <v>6.1699999999999998E-2</v>
      </c>
      <c r="E214" s="9"/>
      <c r="F214" s="69"/>
    </row>
    <row r="215" spans="2:6" ht="13.5">
      <c r="B215" s="440">
        <v>34881</v>
      </c>
      <c r="C215" s="122">
        <v>6.28</v>
      </c>
      <c r="D215" s="73">
        <f t="shared" si="2"/>
        <v>6.2800000000000009E-2</v>
      </c>
      <c r="E215" s="9"/>
      <c r="F215" s="69"/>
    </row>
    <row r="216" spans="2:6" ht="13.5">
      <c r="B216" s="440">
        <v>34912</v>
      </c>
      <c r="C216" s="122">
        <v>6.49</v>
      </c>
      <c r="D216" s="73">
        <f t="shared" si="2"/>
        <v>6.4899999999999999E-2</v>
      </c>
      <c r="E216" s="9"/>
      <c r="F216" s="69"/>
    </row>
    <row r="217" spans="2:6" ht="13.5">
      <c r="B217" s="440">
        <v>34943</v>
      </c>
      <c r="C217" s="122">
        <v>6.2</v>
      </c>
      <c r="D217" s="73">
        <f t="shared" si="2"/>
        <v>6.2E-2</v>
      </c>
      <c r="E217" s="9"/>
      <c r="F217" s="69"/>
    </row>
    <row r="218" spans="2:6" ht="13.5">
      <c r="B218" s="440">
        <v>34973</v>
      </c>
      <c r="C218" s="122">
        <v>6.04</v>
      </c>
      <c r="D218" s="73">
        <f t="shared" si="2"/>
        <v>6.0400000000000002E-2</v>
      </c>
      <c r="E218" s="9"/>
      <c r="F218" s="69"/>
    </row>
    <row r="219" spans="2:6" ht="13.5">
      <c r="B219" s="440">
        <v>35004</v>
      </c>
      <c r="C219" s="122">
        <v>5.93</v>
      </c>
      <c r="D219" s="73">
        <f t="shared" ref="D219:D268" si="3">C219/100</f>
        <v>5.9299999999999999E-2</v>
      </c>
      <c r="E219" s="9"/>
      <c r="F219" s="69"/>
    </row>
    <row r="220" spans="2:6" ht="13.5">
      <c r="B220" s="440">
        <v>35034</v>
      </c>
      <c r="C220" s="122">
        <v>5.71</v>
      </c>
      <c r="D220" s="73">
        <f t="shared" si="3"/>
        <v>5.7099999999999998E-2</v>
      </c>
      <c r="E220" s="9"/>
      <c r="F220" s="69"/>
    </row>
    <row r="221" spans="2:6" ht="13.5">
      <c r="B221" s="440">
        <v>35065</v>
      </c>
      <c r="C221" s="122">
        <v>5.65</v>
      </c>
      <c r="D221" s="73">
        <f t="shared" si="3"/>
        <v>5.6500000000000002E-2</v>
      </c>
      <c r="E221" s="9"/>
      <c r="F221" s="69"/>
    </row>
    <row r="222" spans="2:6" ht="13.5">
      <c r="B222" s="440">
        <v>35096</v>
      </c>
      <c r="C222" s="122">
        <v>5.81</v>
      </c>
      <c r="D222" s="73">
        <f t="shared" si="3"/>
        <v>5.8099999999999999E-2</v>
      </c>
      <c r="E222" s="9"/>
      <c r="F222" s="69"/>
    </row>
    <row r="223" spans="2:6" ht="13.5">
      <c r="B223" s="440">
        <v>35125</v>
      </c>
      <c r="C223" s="122">
        <v>6.27</v>
      </c>
      <c r="D223" s="73">
        <f t="shared" si="3"/>
        <v>6.2699999999999992E-2</v>
      </c>
      <c r="E223" s="9"/>
      <c r="F223" s="69"/>
    </row>
    <row r="224" spans="2:6" ht="13.5">
      <c r="B224" s="440">
        <v>35156</v>
      </c>
      <c r="C224" s="122">
        <v>6.51</v>
      </c>
      <c r="D224" s="73">
        <f t="shared" si="3"/>
        <v>6.5099999999999991E-2</v>
      </c>
      <c r="E224" s="9"/>
      <c r="F224" s="69"/>
    </row>
    <row r="225" spans="2:6" ht="13.5">
      <c r="B225" s="440">
        <v>35186</v>
      </c>
      <c r="C225" s="122">
        <v>6.74</v>
      </c>
      <c r="D225" s="73">
        <f t="shared" si="3"/>
        <v>6.7400000000000002E-2</v>
      </c>
      <c r="E225" s="9"/>
      <c r="F225" s="69"/>
    </row>
    <row r="226" spans="2:6" ht="13.5">
      <c r="B226" s="440">
        <v>35217</v>
      </c>
      <c r="C226" s="122">
        <v>6.91</v>
      </c>
      <c r="D226" s="73">
        <f t="shared" si="3"/>
        <v>6.9099999999999995E-2</v>
      </c>
      <c r="E226" s="9"/>
      <c r="F226" s="69"/>
    </row>
    <row r="227" spans="2:6" ht="13.5">
      <c r="B227" s="440">
        <v>35247</v>
      </c>
      <c r="C227" s="122">
        <v>6.87</v>
      </c>
      <c r="D227" s="73">
        <f t="shared" si="3"/>
        <v>6.8699999999999997E-2</v>
      </c>
      <c r="E227" s="9"/>
      <c r="F227" s="69"/>
    </row>
    <row r="228" spans="2:6" ht="13.5">
      <c r="B228" s="440">
        <v>35278</v>
      </c>
      <c r="C228" s="122">
        <v>6.64</v>
      </c>
      <c r="D228" s="73">
        <f t="shared" si="3"/>
        <v>6.6400000000000001E-2</v>
      </c>
      <c r="E228" s="9"/>
      <c r="F228" s="69"/>
    </row>
    <row r="229" spans="2:6" ht="13.5">
      <c r="B229" s="440">
        <v>35309</v>
      </c>
      <c r="C229" s="122">
        <v>6.83</v>
      </c>
      <c r="D229" s="73">
        <f t="shared" si="3"/>
        <v>6.83E-2</v>
      </c>
      <c r="E229" s="9"/>
      <c r="F229" s="69"/>
    </row>
    <row r="230" spans="2:6" ht="13.5">
      <c r="B230" s="440">
        <v>35339</v>
      </c>
      <c r="C230" s="122">
        <v>6.53</v>
      </c>
      <c r="D230" s="73">
        <f t="shared" si="3"/>
        <v>6.5299999999999997E-2</v>
      </c>
      <c r="E230" s="9"/>
      <c r="F230" s="69"/>
    </row>
    <row r="231" spans="2:6" ht="13.5">
      <c r="B231" s="440">
        <v>35370</v>
      </c>
      <c r="C231" s="122">
        <v>6.2</v>
      </c>
      <c r="D231" s="73">
        <f t="shared" si="3"/>
        <v>6.2E-2</v>
      </c>
      <c r="E231" s="9"/>
      <c r="F231" s="69"/>
    </row>
    <row r="232" spans="2:6" ht="13.5">
      <c r="B232" s="440">
        <v>35400</v>
      </c>
      <c r="C232" s="122">
        <v>6.3</v>
      </c>
      <c r="D232" s="73">
        <f t="shared" si="3"/>
        <v>6.3E-2</v>
      </c>
      <c r="E232" s="9"/>
      <c r="F232" s="69"/>
    </row>
    <row r="233" spans="2:6" ht="13.5">
      <c r="B233" s="440">
        <v>35431</v>
      </c>
      <c r="C233" s="122">
        <v>6.58</v>
      </c>
      <c r="D233" s="73">
        <f t="shared" si="3"/>
        <v>6.5799999999999997E-2</v>
      </c>
      <c r="E233" s="9"/>
      <c r="F233" s="69"/>
    </row>
    <row r="234" spans="2:6" ht="13.5">
      <c r="B234" s="440">
        <v>35462</v>
      </c>
      <c r="C234" s="122">
        <v>6.42</v>
      </c>
      <c r="D234" s="73">
        <f t="shared" si="3"/>
        <v>6.4199999999999993E-2</v>
      </c>
      <c r="E234" s="9"/>
      <c r="F234" s="69"/>
    </row>
    <row r="235" spans="2:6" ht="13.5">
      <c r="B235" s="440">
        <v>35490</v>
      </c>
      <c r="C235" s="122">
        <v>6.69</v>
      </c>
      <c r="D235" s="73">
        <f t="shared" si="3"/>
        <v>6.6900000000000001E-2</v>
      </c>
      <c r="E235" s="9"/>
      <c r="F235" s="69"/>
    </row>
    <row r="236" spans="2:6" ht="13.5">
      <c r="B236" s="440">
        <v>35521</v>
      </c>
      <c r="C236" s="122">
        <v>6.89</v>
      </c>
      <c r="D236" s="73">
        <f t="shared" si="3"/>
        <v>6.8900000000000003E-2</v>
      </c>
      <c r="E236" s="9"/>
      <c r="F236" s="69"/>
    </row>
    <row r="237" spans="2:6" ht="13.5">
      <c r="B237" s="440">
        <v>35551</v>
      </c>
      <c r="C237" s="122">
        <v>6.71</v>
      </c>
      <c r="D237" s="73">
        <f t="shared" si="3"/>
        <v>6.7099999999999993E-2</v>
      </c>
      <c r="E237" s="9"/>
      <c r="F237" s="69"/>
    </row>
    <row r="238" spans="2:6" ht="13.5">
      <c r="B238" s="440">
        <v>35582</v>
      </c>
      <c r="C238" s="122">
        <v>6.49</v>
      </c>
      <c r="D238" s="73">
        <f t="shared" si="3"/>
        <v>6.4899999999999999E-2</v>
      </c>
      <c r="E238" s="9"/>
      <c r="F238" s="69"/>
    </row>
    <row r="239" spans="2:6" ht="13.5">
      <c r="B239" s="440">
        <v>35612</v>
      </c>
      <c r="C239" s="122">
        <v>6.22</v>
      </c>
      <c r="D239" s="73">
        <f t="shared" si="3"/>
        <v>6.2199999999999998E-2</v>
      </c>
      <c r="E239" s="9"/>
      <c r="F239" s="69"/>
    </row>
    <row r="240" spans="2:6" ht="13.5">
      <c r="B240" s="440">
        <v>35643</v>
      </c>
      <c r="C240" s="122">
        <v>6.3</v>
      </c>
      <c r="D240" s="73">
        <f t="shared" si="3"/>
        <v>6.3E-2</v>
      </c>
      <c r="E240" s="9"/>
      <c r="F240" s="69"/>
    </row>
    <row r="241" spans="2:6" ht="13.5">
      <c r="B241" s="440">
        <v>35674</v>
      </c>
      <c r="C241" s="122">
        <v>6.21</v>
      </c>
      <c r="D241" s="73">
        <f t="shared" si="3"/>
        <v>6.2100000000000002E-2</v>
      </c>
      <c r="E241" s="9"/>
      <c r="F241" s="69"/>
    </row>
    <row r="242" spans="2:6" ht="13.5">
      <c r="B242" s="440">
        <v>35704</v>
      </c>
      <c r="C242" s="122">
        <v>6.03</v>
      </c>
      <c r="D242" s="73">
        <f t="shared" si="3"/>
        <v>6.0299999999999999E-2</v>
      </c>
      <c r="E242" s="9"/>
      <c r="F242" s="69"/>
    </row>
    <row r="243" spans="2:6" ht="13.5">
      <c r="B243" s="440">
        <v>35735</v>
      </c>
      <c r="C243" s="122">
        <v>5.88</v>
      </c>
      <c r="D243" s="73">
        <f t="shared" si="3"/>
        <v>5.8799999999999998E-2</v>
      </c>
      <c r="E243" s="9"/>
      <c r="F243" s="69"/>
    </row>
    <row r="244" spans="2:6" ht="13.5">
      <c r="B244" s="440">
        <v>35765</v>
      </c>
      <c r="C244" s="122">
        <v>5.81</v>
      </c>
      <c r="D244" s="73">
        <f t="shared" si="3"/>
        <v>5.8099999999999999E-2</v>
      </c>
      <c r="E244" s="9"/>
      <c r="F244" s="69"/>
    </row>
    <row r="245" spans="2:6" ht="13.5">
      <c r="B245" s="440">
        <v>35796</v>
      </c>
      <c r="C245" s="122">
        <v>5.54</v>
      </c>
      <c r="D245" s="73">
        <f t="shared" si="3"/>
        <v>5.5399999999999998E-2</v>
      </c>
      <c r="E245" s="9"/>
      <c r="F245" s="69"/>
    </row>
    <row r="246" spans="2:6" ht="13.5">
      <c r="B246" s="440">
        <v>35827</v>
      </c>
      <c r="C246" s="122">
        <v>5.57</v>
      </c>
      <c r="D246" s="73">
        <f t="shared" si="3"/>
        <v>5.57E-2</v>
      </c>
      <c r="E246" s="9"/>
      <c r="F246" s="69"/>
    </row>
    <row r="247" spans="2:6" ht="13.5">
      <c r="B247" s="440">
        <v>35855</v>
      </c>
      <c r="C247" s="122">
        <v>5.65</v>
      </c>
      <c r="D247" s="73">
        <f t="shared" si="3"/>
        <v>5.6500000000000002E-2</v>
      </c>
      <c r="E247" s="9"/>
      <c r="F247" s="69"/>
    </row>
    <row r="248" spans="2:6" ht="13.5">
      <c r="B248" s="440">
        <v>35886</v>
      </c>
      <c r="C248" s="122">
        <v>5.64</v>
      </c>
      <c r="D248" s="73">
        <f t="shared" si="3"/>
        <v>5.6399999999999999E-2</v>
      </c>
      <c r="E248" s="9"/>
      <c r="F248" s="69"/>
    </row>
    <row r="249" spans="2:6" ht="13.5">
      <c r="B249" s="440">
        <v>35916</v>
      </c>
      <c r="C249" s="122">
        <v>5.65</v>
      </c>
      <c r="D249" s="73">
        <f t="shared" si="3"/>
        <v>5.6500000000000002E-2</v>
      </c>
      <c r="E249" s="9"/>
      <c r="F249" s="69"/>
    </row>
    <row r="250" spans="2:6" ht="13.5">
      <c r="B250" s="440">
        <v>35947</v>
      </c>
      <c r="C250" s="122">
        <v>5.5</v>
      </c>
      <c r="D250" s="73">
        <f t="shared" si="3"/>
        <v>5.5E-2</v>
      </c>
      <c r="E250" s="9"/>
      <c r="F250" s="69"/>
    </row>
    <row r="251" spans="2:6" ht="13.5">
      <c r="B251" s="440">
        <v>35977</v>
      </c>
      <c r="C251" s="122">
        <v>5.46</v>
      </c>
      <c r="D251" s="73">
        <f t="shared" si="3"/>
        <v>5.4600000000000003E-2</v>
      </c>
      <c r="E251" s="9"/>
      <c r="F251" s="69"/>
    </row>
    <row r="252" spans="2:6" ht="13.5">
      <c r="B252" s="440">
        <v>36008</v>
      </c>
      <c r="C252" s="122">
        <v>5.34</v>
      </c>
      <c r="D252" s="73">
        <f t="shared" si="3"/>
        <v>5.3399999999999996E-2</v>
      </c>
      <c r="E252" s="9"/>
      <c r="F252" s="69"/>
    </row>
    <row r="253" spans="2:6" ht="13.5">
      <c r="B253" s="440">
        <v>36039</v>
      </c>
      <c r="C253" s="122">
        <v>4.8099999999999996</v>
      </c>
      <c r="D253" s="73">
        <f t="shared" si="3"/>
        <v>4.8099999999999997E-2</v>
      </c>
      <c r="E253" s="9"/>
      <c r="F253" s="69"/>
    </row>
    <row r="254" spans="2:6" ht="13.5">
      <c r="B254" s="440">
        <v>36069</v>
      </c>
      <c r="C254" s="122">
        <v>4.53</v>
      </c>
      <c r="D254" s="73">
        <f t="shared" si="3"/>
        <v>4.53E-2</v>
      </c>
      <c r="E254" s="9"/>
      <c r="F254" s="69"/>
    </row>
    <row r="255" spans="2:6" ht="13.5">
      <c r="B255" s="440">
        <v>36100</v>
      </c>
      <c r="C255" s="122">
        <v>4.83</v>
      </c>
      <c r="D255" s="73">
        <f t="shared" si="3"/>
        <v>4.8300000000000003E-2</v>
      </c>
      <c r="E255" s="9"/>
      <c r="F255" s="69"/>
    </row>
    <row r="256" spans="2:6" ht="13.5">
      <c r="B256" s="440">
        <v>36130</v>
      </c>
      <c r="C256" s="122">
        <v>4.6500000000000004</v>
      </c>
      <c r="D256" s="73">
        <f t="shared" si="3"/>
        <v>4.6500000000000007E-2</v>
      </c>
      <c r="E256" s="9"/>
      <c r="F256" s="69"/>
    </row>
    <row r="257" spans="2:6" ht="13.5">
      <c r="B257" s="440">
        <v>36161</v>
      </c>
      <c r="C257" s="122">
        <v>4.72</v>
      </c>
      <c r="D257" s="73">
        <f t="shared" si="3"/>
        <v>4.7199999999999999E-2</v>
      </c>
      <c r="E257" s="9"/>
      <c r="F257" s="69"/>
    </row>
    <row r="258" spans="2:6" ht="13.5">
      <c r="B258" s="440">
        <v>36192</v>
      </c>
      <c r="C258" s="122">
        <v>5</v>
      </c>
      <c r="D258" s="73">
        <f t="shared" si="3"/>
        <v>0.05</v>
      </c>
      <c r="E258" s="9"/>
      <c r="F258" s="69"/>
    </row>
    <row r="259" spans="2:6" ht="13.5">
      <c r="B259" s="440">
        <v>36220</v>
      </c>
      <c r="C259" s="122">
        <v>5.23</v>
      </c>
      <c r="D259" s="73">
        <f t="shared" si="3"/>
        <v>5.2300000000000006E-2</v>
      </c>
      <c r="E259" s="9"/>
      <c r="F259" s="69"/>
    </row>
    <row r="260" spans="2:6" ht="13.5">
      <c r="B260" s="440">
        <v>36251</v>
      </c>
      <c r="C260" s="122">
        <v>5.18</v>
      </c>
      <c r="D260" s="73">
        <f t="shared" si="3"/>
        <v>5.1799999999999999E-2</v>
      </c>
      <c r="E260" s="9"/>
      <c r="F260" s="69"/>
    </row>
    <row r="261" spans="2:6" ht="13.5">
      <c r="B261" s="440">
        <v>36281</v>
      </c>
      <c r="C261" s="122">
        <v>5.54</v>
      </c>
      <c r="D261" s="73">
        <f t="shared" si="3"/>
        <v>5.5399999999999998E-2</v>
      </c>
      <c r="E261" s="9"/>
      <c r="F261" s="69"/>
    </row>
    <row r="262" spans="2:6" ht="13.5">
      <c r="B262" s="440">
        <v>36312</v>
      </c>
      <c r="C262" s="122">
        <v>5.9</v>
      </c>
      <c r="D262" s="73">
        <f t="shared" si="3"/>
        <v>5.9000000000000004E-2</v>
      </c>
      <c r="E262" s="9"/>
      <c r="F262" s="69"/>
    </row>
    <row r="263" spans="2:6" ht="13.5">
      <c r="B263" s="440">
        <v>36342</v>
      </c>
      <c r="C263" s="122">
        <v>5.79</v>
      </c>
      <c r="D263" s="73">
        <f t="shared" si="3"/>
        <v>5.79E-2</v>
      </c>
      <c r="E263" s="9"/>
      <c r="F263" s="69"/>
    </row>
    <row r="264" spans="2:6" ht="13.5">
      <c r="B264" s="440">
        <v>36373</v>
      </c>
      <c r="C264" s="122">
        <v>5.94</v>
      </c>
      <c r="D264" s="73">
        <f t="shared" si="3"/>
        <v>5.9400000000000001E-2</v>
      </c>
      <c r="E264" s="9"/>
      <c r="F264" s="69"/>
    </row>
    <row r="265" spans="2:6" ht="13.5">
      <c r="B265" s="440">
        <v>36404</v>
      </c>
      <c r="C265" s="122">
        <v>5.92</v>
      </c>
      <c r="D265" s="73">
        <f t="shared" si="3"/>
        <v>5.9200000000000003E-2</v>
      </c>
      <c r="E265" s="9"/>
      <c r="F265" s="69"/>
    </row>
    <row r="266" spans="2:6" ht="13.5">
      <c r="B266" s="440">
        <v>36434</v>
      </c>
      <c r="C266" s="122">
        <v>6.11</v>
      </c>
      <c r="D266" s="73">
        <f t="shared" si="3"/>
        <v>6.1100000000000002E-2</v>
      </c>
      <c r="E266" s="9"/>
      <c r="F266" s="69"/>
    </row>
    <row r="267" spans="2:6" ht="13.5">
      <c r="B267" s="440">
        <v>36465</v>
      </c>
      <c r="C267" s="122">
        <v>6.03</v>
      </c>
      <c r="D267" s="73">
        <f t="shared" si="3"/>
        <v>6.0299999999999999E-2</v>
      </c>
      <c r="E267" s="9"/>
      <c r="F267" s="69"/>
    </row>
    <row r="268" spans="2:6" ht="13.5">
      <c r="B268" s="440">
        <v>36495</v>
      </c>
      <c r="C268" s="122">
        <v>6.28</v>
      </c>
      <c r="D268" s="73">
        <f t="shared" si="3"/>
        <v>6.2800000000000009E-2</v>
      </c>
      <c r="E268" s="9"/>
      <c r="F268" s="69"/>
    </row>
    <row r="269" spans="2:6" ht="13.5">
      <c r="B269" s="440">
        <v>36526</v>
      </c>
      <c r="C269" s="122">
        <v>6.66</v>
      </c>
      <c r="D269" s="73">
        <f>C269/100</f>
        <v>6.6600000000000006E-2</v>
      </c>
      <c r="E269" s="9"/>
      <c r="F269" s="69"/>
    </row>
    <row r="270" spans="2:6" ht="13.5">
      <c r="B270" s="441">
        <v>36557</v>
      </c>
      <c r="C270" s="123">
        <v>6.52</v>
      </c>
      <c r="D270" s="74">
        <f t="shared" ref="D270:D333" si="4">C270/100</f>
        <v>6.5199999999999994E-2</v>
      </c>
      <c r="E270" s="9"/>
    </row>
    <row r="271" spans="2:6" ht="13.5">
      <c r="B271" s="441">
        <v>36586</v>
      </c>
      <c r="C271" s="123">
        <v>6.26</v>
      </c>
      <c r="D271" s="74">
        <f t="shared" si="4"/>
        <v>6.2600000000000003E-2</v>
      </c>
      <c r="E271" s="9"/>
    </row>
    <row r="272" spans="2:6" ht="13.5">
      <c r="B272" s="441">
        <v>36617</v>
      </c>
      <c r="C272" s="123">
        <v>5.99</v>
      </c>
      <c r="D272" s="74">
        <f t="shared" si="4"/>
        <v>5.9900000000000002E-2</v>
      </c>
      <c r="E272" s="9"/>
    </row>
    <row r="273" spans="2:5" ht="13.5">
      <c r="B273" s="441">
        <v>36647</v>
      </c>
      <c r="C273" s="123">
        <v>6.44</v>
      </c>
      <c r="D273" s="74">
        <f t="shared" si="4"/>
        <v>6.4399999999999999E-2</v>
      </c>
      <c r="E273" s="9"/>
    </row>
    <row r="274" spans="2:5" ht="13.5">
      <c r="B274" s="441">
        <v>36678</v>
      </c>
      <c r="C274" s="123">
        <v>6.1</v>
      </c>
      <c r="D274" s="74">
        <f t="shared" si="4"/>
        <v>6.0999999999999999E-2</v>
      </c>
      <c r="E274" s="9"/>
    </row>
    <row r="275" spans="2:5" ht="13.5">
      <c r="B275" s="441">
        <v>36708</v>
      </c>
      <c r="C275" s="123">
        <v>6.05</v>
      </c>
      <c r="D275" s="74">
        <f t="shared" si="4"/>
        <v>6.0499999999999998E-2</v>
      </c>
      <c r="E275" s="9"/>
    </row>
    <row r="276" spans="2:5" ht="13.5">
      <c r="B276" s="441">
        <v>36739</v>
      </c>
      <c r="C276" s="123">
        <v>5.83</v>
      </c>
      <c r="D276" s="74">
        <f t="shared" si="4"/>
        <v>5.8299999999999998E-2</v>
      </c>
      <c r="E276" s="9"/>
    </row>
    <row r="277" spans="2:5" ht="13.5">
      <c r="B277" s="441">
        <v>36770</v>
      </c>
      <c r="C277" s="123">
        <v>5.8</v>
      </c>
      <c r="D277" s="74">
        <f t="shared" si="4"/>
        <v>5.7999999999999996E-2</v>
      </c>
      <c r="E277" s="9"/>
    </row>
    <row r="278" spans="2:5" ht="13.5">
      <c r="B278" s="441">
        <v>36800</v>
      </c>
      <c r="C278" s="123">
        <v>5.74</v>
      </c>
      <c r="D278" s="74">
        <f t="shared" si="4"/>
        <v>5.74E-2</v>
      </c>
      <c r="E278" s="9"/>
    </row>
    <row r="279" spans="2:5" ht="13.5">
      <c r="B279" s="441">
        <v>36831</v>
      </c>
      <c r="C279" s="123">
        <v>5.72</v>
      </c>
      <c r="D279" s="74">
        <f t="shared" si="4"/>
        <v>5.7200000000000001E-2</v>
      </c>
      <c r="E279" s="9"/>
    </row>
    <row r="280" spans="2:5" ht="13.5">
      <c r="B280" s="441">
        <v>36861</v>
      </c>
      <c r="C280" s="123">
        <v>5.24</v>
      </c>
      <c r="D280" s="74">
        <f t="shared" si="4"/>
        <v>5.2400000000000002E-2</v>
      </c>
      <c r="E280" s="9"/>
    </row>
    <row r="281" spans="2:5" ht="13.5">
      <c r="B281" s="441">
        <v>36892</v>
      </c>
      <c r="C281" s="123">
        <v>5.16</v>
      </c>
      <c r="D281" s="74">
        <f t="shared" si="4"/>
        <v>5.16E-2</v>
      </c>
      <c r="E281" s="9"/>
    </row>
    <row r="282" spans="2:5" ht="13.5">
      <c r="B282" s="441">
        <v>36923</v>
      </c>
      <c r="C282" s="123">
        <v>5.0999999999999996</v>
      </c>
      <c r="D282" s="74">
        <f t="shared" si="4"/>
        <v>5.0999999999999997E-2</v>
      </c>
      <c r="E282" s="9"/>
    </row>
    <row r="283" spans="2:5" ht="13.5">
      <c r="B283" s="441">
        <v>36951</v>
      </c>
      <c r="C283" s="123">
        <v>4.8899999999999997</v>
      </c>
      <c r="D283" s="74">
        <f t="shared" si="4"/>
        <v>4.8899999999999999E-2</v>
      </c>
      <c r="E283" s="9"/>
    </row>
    <row r="284" spans="2:5" ht="13.5">
      <c r="B284" s="441">
        <v>36982</v>
      </c>
      <c r="C284" s="123">
        <v>5.14</v>
      </c>
      <c r="D284" s="74">
        <f t="shared" si="4"/>
        <v>5.1399999999999994E-2</v>
      </c>
      <c r="E284" s="9"/>
    </row>
    <row r="285" spans="2:5" ht="13.5">
      <c r="B285" s="441">
        <v>37012</v>
      </c>
      <c r="C285" s="123">
        <v>5.39</v>
      </c>
      <c r="D285" s="74">
        <f t="shared" si="4"/>
        <v>5.3899999999999997E-2</v>
      </c>
      <c r="E285" s="9"/>
    </row>
    <row r="286" spans="2:5" ht="13.5">
      <c r="B286" s="441">
        <v>37043</v>
      </c>
      <c r="C286" s="123">
        <v>5.28</v>
      </c>
      <c r="D286" s="74">
        <f t="shared" si="4"/>
        <v>5.28E-2</v>
      </c>
      <c r="E286" s="9"/>
    </row>
    <row r="287" spans="2:5" ht="13.5">
      <c r="B287" s="441">
        <v>37073</v>
      </c>
      <c r="C287" s="123">
        <v>5.24</v>
      </c>
      <c r="D287" s="74">
        <f t="shared" si="4"/>
        <v>5.2400000000000002E-2</v>
      </c>
      <c r="E287" s="9"/>
    </row>
    <row r="288" spans="2:5" ht="13.5">
      <c r="B288" s="441">
        <v>37104</v>
      </c>
      <c r="C288" s="123">
        <v>4.97</v>
      </c>
      <c r="D288" s="74">
        <f t="shared" si="4"/>
        <v>4.9699999999999994E-2</v>
      </c>
      <c r="E288" s="9"/>
    </row>
    <row r="289" spans="2:6" ht="13.5">
      <c r="B289" s="441">
        <v>37135</v>
      </c>
      <c r="C289" s="123">
        <v>4.7300000000000004</v>
      </c>
      <c r="D289" s="74">
        <f t="shared" si="4"/>
        <v>4.7300000000000002E-2</v>
      </c>
      <c r="E289" s="9"/>
    </row>
    <row r="290" spans="2:6" ht="13.5">
      <c r="B290" s="441">
        <v>37165</v>
      </c>
      <c r="C290" s="123">
        <v>4.57</v>
      </c>
      <c r="D290" s="74">
        <f t="shared" si="4"/>
        <v>4.5700000000000005E-2</v>
      </c>
      <c r="E290" s="9"/>
    </row>
    <row r="291" spans="2:6" ht="13.5">
      <c r="B291" s="441">
        <v>37196</v>
      </c>
      <c r="C291" s="123">
        <v>4.6500000000000004</v>
      </c>
      <c r="D291" s="74">
        <f t="shared" si="4"/>
        <v>4.6500000000000007E-2</v>
      </c>
      <c r="E291" s="9"/>
    </row>
    <row r="292" spans="2:6" ht="13.5">
      <c r="B292" s="441">
        <v>37226</v>
      </c>
      <c r="C292" s="123">
        <v>5.09</v>
      </c>
      <c r="D292" s="74">
        <f t="shared" si="4"/>
        <v>5.0900000000000001E-2</v>
      </c>
      <c r="E292" s="9"/>
    </row>
    <row r="293" spans="2:6" ht="13.5">
      <c r="B293" s="441">
        <v>37257</v>
      </c>
      <c r="C293" s="123">
        <v>5.04</v>
      </c>
      <c r="D293" s="74">
        <f t="shared" si="4"/>
        <v>5.04E-2</v>
      </c>
      <c r="E293" s="9"/>
      <c r="F293" s="9"/>
    </row>
    <row r="294" spans="2:6" ht="13.5">
      <c r="B294" s="441">
        <v>37288</v>
      </c>
      <c r="C294" s="123">
        <v>4.91</v>
      </c>
      <c r="D294" s="74">
        <f t="shared" si="4"/>
        <v>4.9100000000000005E-2</v>
      </c>
      <c r="E294" s="9"/>
      <c r="F294" s="9"/>
    </row>
    <row r="295" spans="2:6" ht="13.5">
      <c r="B295" s="441">
        <v>37316</v>
      </c>
      <c r="C295" s="123">
        <v>5.28</v>
      </c>
      <c r="D295" s="74">
        <f t="shared" si="4"/>
        <v>5.28E-2</v>
      </c>
      <c r="E295" s="9"/>
      <c r="F295" s="9"/>
    </row>
    <row r="296" spans="2:6" ht="13.5">
      <c r="B296" s="441">
        <v>37347</v>
      </c>
      <c r="C296" s="123">
        <v>5.21</v>
      </c>
      <c r="D296" s="74">
        <f t="shared" si="4"/>
        <v>5.21E-2</v>
      </c>
      <c r="E296" s="9"/>
      <c r="F296" s="9"/>
    </row>
    <row r="297" spans="2:6" ht="13.5">
      <c r="B297" s="441">
        <v>37377</v>
      </c>
      <c r="C297" s="123">
        <v>5.16</v>
      </c>
      <c r="D297" s="74">
        <f t="shared" si="4"/>
        <v>5.16E-2</v>
      </c>
      <c r="E297" s="9"/>
      <c r="F297" s="9"/>
    </row>
    <row r="298" spans="2:6" ht="13.5">
      <c r="B298" s="441">
        <v>37408</v>
      </c>
      <c r="C298" s="123">
        <v>4.93</v>
      </c>
      <c r="D298" s="74">
        <f t="shared" si="4"/>
        <v>4.9299999999999997E-2</v>
      </c>
      <c r="E298" s="9"/>
      <c r="F298" s="9"/>
    </row>
    <row r="299" spans="2:6" ht="13.5">
      <c r="B299" s="441">
        <v>37438</v>
      </c>
      <c r="C299" s="123">
        <v>4.6500000000000004</v>
      </c>
      <c r="D299" s="74">
        <f t="shared" si="4"/>
        <v>4.6500000000000007E-2</v>
      </c>
      <c r="E299" s="9"/>
      <c r="F299" s="9"/>
    </row>
    <row r="300" spans="2:6" ht="13.5">
      <c r="B300" s="441">
        <v>37469</v>
      </c>
      <c r="C300" s="123">
        <v>4.26</v>
      </c>
      <c r="D300" s="74">
        <f t="shared" si="4"/>
        <v>4.2599999999999999E-2</v>
      </c>
      <c r="E300" s="9"/>
      <c r="F300" s="9"/>
    </row>
    <row r="301" spans="2:6" ht="13.5">
      <c r="B301" s="441">
        <v>37500</v>
      </c>
      <c r="C301" s="123">
        <v>3.87</v>
      </c>
      <c r="D301" s="74">
        <f t="shared" si="4"/>
        <v>3.8699999999999998E-2</v>
      </c>
      <c r="E301" s="9"/>
      <c r="F301" s="9"/>
    </row>
    <row r="302" spans="2:6" ht="13.5">
      <c r="B302" s="441">
        <v>37530</v>
      </c>
      <c r="C302" s="123">
        <v>3.94</v>
      </c>
      <c r="D302" s="74">
        <f t="shared" si="4"/>
        <v>3.9399999999999998E-2</v>
      </c>
      <c r="E302" s="9"/>
      <c r="F302" s="9"/>
    </row>
    <row r="303" spans="2:6" ht="13.5">
      <c r="B303" s="441">
        <v>37561</v>
      </c>
      <c r="C303" s="123">
        <v>4.05</v>
      </c>
      <c r="D303" s="74">
        <f t="shared" si="4"/>
        <v>4.0500000000000001E-2</v>
      </c>
      <c r="E303" s="9"/>
      <c r="F303" s="9"/>
    </row>
    <row r="304" spans="2:6" ht="13.5">
      <c r="B304" s="441">
        <v>37591</v>
      </c>
      <c r="C304" s="123">
        <v>4.03</v>
      </c>
      <c r="D304" s="74">
        <f t="shared" si="4"/>
        <v>4.0300000000000002E-2</v>
      </c>
      <c r="E304" s="9"/>
      <c r="F304" s="9"/>
    </row>
    <row r="305" spans="2:6" ht="13.5">
      <c r="B305" s="441">
        <v>37622</v>
      </c>
      <c r="C305" s="123">
        <v>4.05</v>
      </c>
      <c r="D305" s="74">
        <f t="shared" si="4"/>
        <v>4.0500000000000001E-2</v>
      </c>
      <c r="E305" s="9"/>
      <c r="F305" s="9"/>
    </row>
    <row r="306" spans="2:6" ht="13.5">
      <c r="B306" s="441">
        <v>37653</v>
      </c>
      <c r="C306" s="123">
        <v>3.9</v>
      </c>
      <c r="D306" s="74">
        <f t="shared" si="4"/>
        <v>3.9E-2</v>
      </c>
      <c r="E306" s="9"/>
      <c r="F306" s="9"/>
    </row>
    <row r="307" spans="2:6" ht="13.5">
      <c r="B307" s="441">
        <v>37681</v>
      </c>
      <c r="C307" s="123">
        <v>3.81</v>
      </c>
      <c r="D307" s="74">
        <f t="shared" si="4"/>
        <v>3.8100000000000002E-2</v>
      </c>
      <c r="E307" s="9"/>
      <c r="F307" s="9"/>
    </row>
    <row r="308" spans="2:6" ht="13.5">
      <c r="B308" s="441">
        <v>37712</v>
      </c>
      <c r="C308" s="123">
        <v>3.96</v>
      </c>
      <c r="D308" s="74">
        <f t="shared" si="4"/>
        <v>3.9599999999999996E-2</v>
      </c>
      <c r="E308" s="9"/>
      <c r="F308" s="9"/>
    </row>
    <row r="309" spans="2:6" ht="13.5">
      <c r="B309" s="441">
        <v>37742</v>
      </c>
      <c r="C309" s="123">
        <v>3.57</v>
      </c>
      <c r="D309" s="74">
        <f t="shared" si="4"/>
        <v>3.5699999999999996E-2</v>
      </c>
      <c r="E309" s="9"/>
      <c r="F309" s="9"/>
    </row>
    <row r="310" spans="2:6" ht="13.5">
      <c r="B310" s="441">
        <v>37773</v>
      </c>
      <c r="C310" s="123">
        <v>3.33</v>
      </c>
      <c r="D310" s="74">
        <f t="shared" si="4"/>
        <v>3.3300000000000003E-2</v>
      </c>
      <c r="E310" s="9"/>
      <c r="F310" s="9"/>
    </row>
    <row r="311" spans="2:6" ht="13.5">
      <c r="B311" s="441">
        <v>37803</v>
      </c>
      <c r="C311" s="123">
        <v>3.98</v>
      </c>
      <c r="D311" s="74">
        <f t="shared" si="4"/>
        <v>3.9800000000000002E-2</v>
      </c>
      <c r="E311" s="9"/>
      <c r="F311" s="9"/>
    </row>
    <row r="312" spans="2:6" ht="13.5">
      <c r="B312" s="441">
        <v>37834</v>
      </c>
      <c r="C312" s="123">
        <v>4.45</v>
      </c>
      <c r="D312" s="74">
        <f t="shared" si="4"/>
        <v>4.4500000000000005E-2</v>
      </c>
      <c r="E312" s="9"/>
      <c r="F312" s="9"/>
    </row>
    <row r="313" spans="2:6" ht="13.5">
      <c r="B313" s="441">
        <v>37865</v>
      </c>
      <c r="C313" s="123">
        <v>4.2699999999999996</v>
      </c>
      <c r="D313" s="74">
        <f t="shared" si="4"/>
        <v>4.2699999999999995E-2</v>
      </c>
      <c r="E313" s="9"/>
      <c r="F313" s="9"/>
    </row>
    <row r="314" spans="2:6" ht="13.5">
      <c r="B314" s="441">
        <v>37895</v>
      </c>
      <c r="C314" s="123">
        <v>4.29</v>
      </c>
      <c r="D314" s="74">
        <f t="shared" si="4"/>
        <v>4.2900000000000001E-2</v>
      </c>
      <c r="E314" s="9"/>
      <c r="F314" s="9"/>
    </row>
    <row r="315" spans="2:6" ht="13.5">
      <c r="B315" s="441">
        <v>37926</v>
      </c>
      <c r="C315" s="123">
        <v>4.3</v>
      </c>
      <c r="D315" s="74">
        <f t="shared" si="4"/>
        <v>4.2999999999999997E-2</v>
      </c>
      <c r="E315" s="9"/>
      <c r="F315" s="9"/>
    </row>
    <row r="316" spans="2:6" ht="13.5">
      <c r="B316" s="441">
        <v>37956</v>
      </c>
      <c r="C316" s="123">
        <v>4.2699999999999996</v>
      </c>
      <c r="D316" s="74">
        <f t="shared" si="4"/>
        <v>4.2699999999999995E-2</v>
      </c>
      <c r="E316" s="9"/>
      <c r="F316" s="9"/>
    </row>
    <row r="317" spans="2:6" ht="13.5">
      <c r="B317" s="441">
        <v>37987</v>
      </c>
      <c r="C317" s="123">
        <v>4.1500000000000004</v>
      </c>
      <c r="D317" s="74">
        <f t="shared" si="4"/>
        <v>4.1500000000000002E-2</v>
      </c>
      <c r="E317" s="9"/>
      <c r="F317" s="9"/>
    </row>
    <row r="318" spans="2:6" ht="13.5">
      <c r="B318" s="441">
        <v>38018</v>
      </c>
      <c r="C318" s="123">
        <v>4.08</v>
      </c>
      <c r="D318" s="74">
        <f t="shared" si="4"/>
        <v>4.0800000000000003E-2</v>
      </c>
      <c r="E318" s="9"/>
      <c r="F318" s="9"/>
    </row>
    <row r="319" spans="2:6" ht="13.5">
      <c r="B319" s="441">
        <v>38047</v>
      </c>
      <c r="C319" s="123">
        <v>3.83</v>
      </c>
      <c r="D319" s="74">
        <f t="shared" si="4"/>
        <v>3.8300000000000001E-2</v>
      </c>
      <c r="E319" s="9"/>
      <c r="F319" s="9"/>
    </row>
    <row r="320" spans="2:6" ht="13.5">
      <c r="B320" s="441">
        <v>38078</v>
      </c>
      <c r="C320" s="123">
        <v>4.3499999999999996</v>
      </c>
      <c r="D320" s="74">
        <f t="shared" si="4"/>
        <v>4.3499999999999997E-2</v>
      </c>
      <c r="E320" s="9"/>
      <c r="F320" s="9"/>
    </row>
    <row r="321" spans="2:6" ht="13.5">
      <c r="B321" s="441">
        <v>38108</v>
      </c>
      <c r="C321" s="123">
        <v>4.72</v>
      </c>
      <c r="D321" s="74">
        <f t="shared" si="4"/>
        <v>4.7199999999999999E-2</v>
      </c>
      <c r="E321" s="9"/>
      <c r="F321" s="9"/>
    </row>
    <row r="322" spans="2:6" ht="13.5">
      <c r="B322" s="441">
        <v>38139</v>
      </c>
      <c r="C322" s="123">
        <v>4.7300000000000004</v>
      </c>
      <c r="D322" s="74">
        <f t="shared" si="4"/>
        <v>4.7300000000000002E-2</v>
      </c>
      <c r="E322" s="9"/>
      <c r="F322" s="9"/>
    </row>
    <row r="323" spans="2:6" ht="13.5">
      <c r="B323" s="441">
        <v>38169</v>
      </c>
      <c r="C323" s="123">
        <v>4.5</v>
      </c>
      <c r="D323" s="74">
        <f t="shared" si="4"/>
        <v>4.4999999999999998E-2</v>
      </c>
      <c r="E323" s="9"/>
      <c r="F323" s="9"/>
    </row>
    <row r="324" spans="2:6" ht="13.5">
      <c r="B324" s="441">
        <v>38200</v>
      </c>
      <c r="C324" s="123">
        <v>4.28</v>
      </c>
      <c r="D324" s="74">
        <f t="shared" si="4"/>
        <v>4.2800000000000005E-2</v>
      </c>
      <c r="E324" s="9"/>
      <c r="F324" s="9"/>
    </row>
    <row r="325" spans="2:6" ht="13.5">
      <c r="B325" s="441">
        <v>38231</v>
      </c>
      <c r="C325" s="123">
        <v>4.13</v>
      </c>
      <c r="D325" s="74">
        <f t="shared" si="4"/>
        <v>4.1299999999999996E-2</v>
      </c>
      <c r="E325" s="9"/>
      <c r="F325" s="9"/>
    </row>
    <row r="326" spans="2:6" ht="13.5">
      <c r="B326" s="441">
        <v>38261</v>
      </c>
      <c r="C326" s="123">
        <v>4.0999999999999996</v>
      </c>
      <c r="D326" s="74">
        <f t="shared" si="4"/>
        <v>4.0999999999999995E-2</v>
      </c>
      <c r="E326" s="9"/>
      <c r="F326" s="9"/>
    </row>
    <row r="327" spans="2:6" ht="13.5">
      <c r="B327" s="441">
        <v>38292</v>
      </c>
      <c r="C327" s="123">
        <v>4.1900000000000004</v>
      </c>
      <c r="D327" s="74">
        <f t="shared" si="4"/>
        <v>4.1900000000000007E-2</v>
      </c>
      <c r="E327" s="9"/>
      <c r="F327" s="9"/>
    </row>
    <row r="328" spans="2:6" ht="13.5">
      <c r="B328" s="441">
        <v>38322</v>
      </c>
      <c r="C328" s="123">
        <v>4.2300000000000004</v>
      </c>
      <c r="D328" s="74">
        <f t="shared" si="4"/>
        <v>4.2300000000000004E-2</v>
      </c>
      <c r="E328" s="9"/>
      <c r="F328" s="9"/>
    </row>
    <row r="329" spans="2:6" ht="13.5">
      <c r="B329" s="441">
        <v>38353</v>
      </c>
      <c r="C329" s="123">
        <v>4.22</v>
      </c>
      <c r="D329" s="74">
        <f t="shared" si="4"/>
        <v>4.2199999999999994E-2</v>
      </c>
      <c r="E329" s="9"/>
      <c r="F329" s="9"/>
    </row>
    <row r="330" spans="2:6" ht="13.5">
      <c r="B330" s="441">
        <v>38384</v>
      </c>
      <c r="C330" s="123">
        <v>4.17</v>
      </c>
      <c r="D330" s="74">
        <f t="shared" si="4"/>
        <v>4.1700000000000001E-2</v>
      </c>
      <c r="E330" s="9"/>
      <c r="F330" s="9"/>
    </row>
    <row r="331" spans="2:6" ht="13.5">
      <c r="B331" s="441">
        <v>38412</v>
      </c>
      <c r="C331" s="123">
        <v>4.5</v>
      </c>
      <c r="D331" s="74">
        <f t="shared" si="4"/>
        <v>4.4999999999999998E-2</v>
      </c>
      <c r="E331" s="9"/>
      <c r="F331" s="9"/>
    </row>
    <row r="332" spans="2:6" ht="13.5">
      <c r="B332" s="441">
        <v>38443</v>
      </c>
      <c r="C332" s="123">
        <v>4.34</v>
      </c>
      <c r="D332" s="74">
        <f t="shared" si="4"/>
        <v>4.3400000000000001E-2</v>
      </c>
      <c r="E332" s="9"/>
      <c r="F332" s="9"/>
    </row>
    <row r="333" spans="2:6" ht="13.5">
      <c r="B333" s="441">
        <v>38473</v>
      </c>
      <c r="C333" s="123">
        <v>4.1399999999999997</v>
      </c>
      <c r="D333" s="74">
        <f t="shared" si="4"/>
        <v>4.1399999999999999E-2</v>
      </c>
      <c r="E333" s="9"/>
      <c r="F333" s="9"/>
    </row>
    <row r="334" spans="2:6" ht="13.5">
      <c r="B334" s="441">
        <v>38504</v>
      </c>
      <c r="C334" s="123">
        <v>4</v>
      </c>
      <c r="D334" s="74">
        <f t="shared" ref="D334:D397" si="5">C334/100</f>
        <v>0.04</v>
      </c>
      <c r="E334" s="9"/>
      <c r="F334" s="9"/>
    </row>
    <row r="335" spans="2:6" ht="13.5">
      <c r="B335" s="441">
        <v>38534</v>
      </c>
      <c r="C335" s="123">
        <v>4.18</v>
      </c>
      <c r="D335" s="74">
        <f t="shared" si="5"/>
        <v>4.1799999999999997E-2</v>
      </c>
      <c r="E335" s="9"/>
      <c r="F335" s="9"/>
    </row>
    <row r="336" spans="2:6" ht="13.5">
      <c r="B336" s="441">
        <v>38565</v>
      </c>
      <c r="C336" s="123">
        <v>4.26</v>
      </c>
      <c r="D336" s="74">
        <f t="shared" si="5"/>
        <v>4.2599999999999999E-2</v>
      </c>
      <c r="E336" s="9"/>
      <c r="F336" s="9"/>
    </row>
    <row r="337" spans="2:6" ht="13.5">
      <c r="B337" s="441">
        <v>38596</v>
      </c>
      <c r="C337" s="124">
        <v>4.2</v>
      </c>
      <c r="D337" s="74">
        <f t="shared" si="5"/>
        <v>4.2000000000000003E-2</v>
      </c>
      <c r="E337" s="9"/>
      <c r="F337" s="9"/>
    </row>
    <row r="338" spans="2:6" ht="13.5">
      <c r="B338" s="442">
        <v>38626</v>
      </c>
      <c r="C338" s="124">
        <v>4.46</v>
      </c>
      <c r="D338" s="74">
        <f t="shared" si="5"/>
        <v>4.4600000000000001E-2</v>
      </c>
      <c r="E338" s="9"/>
      <c r="F338" s="9"/>
    </row>
    <row r="339" spans="2:6" ht="13.5">
      <c r="B339" s="442">
        <v>38657</v>
      </c>
      <c r="C339" s="124">
        <v>4.54</v>
      </c>
      <c r="D339" s="74">
        <f t="shared" si="5"/>
        <v>4.5400000000000003E-2</v>
      </c>
      <c r="E339" s="9"/>
      <c r="F339" s="9"/>
    </row>
    <row r="340" spans="2:6" ht="13.5">
      <c r="B340" s="442">
        <v>38687</v>
      </c>
      <c r="C340" s="124">
        <v>4.47</v>
      </c>
      <c r="D340" s="74">
        <f t="shared" si="5"/>
        <v>4.4699999999999997E-2</v>
      </c>
      <c r="E340" s="9"/>
      <c r="F340" s="9"/>
    </row>
    <row r="341" spans="2:6" ht="13.5">
      <c r="B341" s="442">
        <v>38723</v>
      </c>
      <c r="C341" s="124">
        <v>4.42</v>
      </c>
      <c r="D341" s="74">
        <f t="shared" si="5"/>
        <v>4.4199999999999996E-2</v>
      </c>
      <c r="E341" s="9"/>
      <c r="F341" s="9"/>
    </row>
    <row r="342" spans="2:6" ht="13.5">
      <c r="B342" s="441">
        <v>38749</v>
      </c>
      <c r="C342" s="123">
        <v>4.57</v>
      </c>
      <c r="D342" s="74">
        <f t="shared" si="5"/>
        <v>4.5700000000000005E-2</v>
      </c>
      <c r="E342" s="9"/>
      <c r="F342" s="9"/>
    </row>
    <row r="343" spans="2:6" ht="13.5">
      <c r="B343" s="441">
        <v>38777</v>
      </c>
      <c r="C343" s="123">
        <v>4.72</v>
      </c>
      <c r="D343" s="74">
        <f t="shared" si="5"/>
        <v>4.7199999999999999E-2</v>
      </c>
      <c r="E343" s="9"/>
      <c r="F343" s="9"/>
    </row>
    <row r="344" spans="2:6" ht="13.5">
      <c r="B344" s="441">
        <v>38808</v>
      </c>
      <c r="C344" s="123">
        <v>4.99</v>
      </c>
      <c r="D344" s="74">
        <f t="shared" si="5"/>
        <v>4.99E-2</v>
      </c>
      <c r="E344" s="9"/>
      <c r="F344" s="9"/>
    </row>
    <row r="345" spans="2:6" ht="13.5">
      <c r="B345" s="441">
        <v>38838</v>
      </c>
      <c r="C345" s="123">
        <v>5.1100000000000003</v>
      </c>
      <c r="D345" s="74">
        <f t="shared" si="5"/>
        <v>5.1100000000000007E-2</v>
      </c>
      <c r="E345" s="9"/>
      <c r="F345" s="9"/>
    </row>
    <row r="346" spans="2:6" ht="13.5">
      <c r="B346" s="441">
        <v>38869</v>
      </c>
      <c r="C346" s="123">
        <v>5.1100000000000003</v>
      </c>
      <c r="D346" s="74">
        <f t="shared" si="5"/>
        <v>5.1100000000000007E-2</v>
      </c>
      <c r="E346" s="9"/>
      <c r="F346" s="9"/>
    </row>
    <row r="347" spans="2:6" ht="13.5">
      <c r="B347" s="441">
        <v>38899</v>
      </c>
      <c r="C347" s="124">
        <v>5.09</v>
      </c>
      <c r="D347" s="74">
        <f t="shared" si="5"/>
        <v>5.0900000000000001E-2</v>
      </c>
      <c r="E347" s="9"/>
      <c r="F347" s="9"/>
    </row>
    <row r="348" spans="2:6" ht="13.5">
      <c r="B348" s="441">
        <v>38930</v>
      </c>
      <c r="C348" s="124">
        <v>4.88</v>
      </c>
      <c r="D348" s="74">
        <f t="shared" si="5"/>
        <v>4.8799999999999996E-2</v>
      </c>
      <c r="E348" s="9"/>
      <c r="F348" s="9"/>
    </row>
    <row r="349" spans="2:6" ht="13.5">
      <c r="B349" s="441">
        <v>38961</v>
      </c>
      <c r="C349" s="124">
        <v>4.7160000000000002</v>
      </c>
      <c r="D349" s="74">
        <f t="shared" si="5"/>
        <v>4.7160000000000001E-2</v>
      </c>
      <c r="E349" s="9"/>
      <c r="F349" s="9"/>
    </row>
    <row r="350" spans="2:6" ht="13.5">
      <c r="B350" s="441">
        <v>38991</v>
      </c>
      <c r="C350" s="124">
        <v>4.7300000000000004</v>
      </c>
      <c r="D350" s="74">
        <f t="shared" si="5"/>
        <v>4.7300000000000002E-2</v>
      </c>
      <c r="E350" s="9"/>
      <c r="F350" s="9"/>
    </row>
    <row r="351" spans="2:6" ht="13.5">
      <c r="B351" s="441">
        <v>39022</v>
      </c>
      <c r="C351" s="124">
        <v>4.5999999999999996</v>
      </c>
      <c r="D351" s="74">
        <f t="shared" si="5"/>
        <v>4.5999999999999999E-2</v>
      </c>
      <c r="E351" s="9"/>
      <c r="F351" s="9"/>
    </row>
    <row r="352" spans="2:6" ht="13.5">
      <c r="B352" s="441">
        <v>39052</v>
      </c>
      <c r="C352" s="124">
        <v>4.5594999999999999</v>
      </c>
      <c r="D352" s="74">
        <f t="shared" si="5"/>
        <v>4.5594999999999997E-2</v>
      </c>
      <c r="E352" s="9"/>
      <c r="F352" s="9"/>
    </row>
    <row r="353" spans="2:6" ht="13.5">
      <c r="B353" s="441">
        <v>39083</v>
      </c>
      <c r="C353" s="124">
        <v>4.76</v>
      </c>
      <c r="D353" s="74">
        <f t="shared" si="5"/>
        <v>4.7599999999999996E-2</v>
      </c>
      <c r="E353" s="9"/>
      <c r="F353" s="9"/>
    </row>
    <row r="354" spans="2:6" ht="13.5">
      <c r="B354" s="441">
        <v>39114</v>
      </c>
      <c r="C354" s="124">
        <v>4.72</v>
      </c>
      <c r="D354" s="74">
        <f t="shared" si="5"/>
        <v>4.7199999999999999E-2</v>
      </c>
      <c r="E354" s="9"/>
      <c r="F354" s="9"/>
    </row>
    <row r="355" spans="2:6" ht="13.5">
      <c r="B355" s="441">
        <v>39142</v>
      </c>
      <c r="C355" s="124">
        <v>4.5599999999999996</v>
      </c>
      <c r="D355" s="74">
        <f t="shared" si="5"/>
        <v>4.5599999999999995E-2</v>
      </c>
      <c r="E355" s="9"/>
      <c r="F355" s="9"/>
    </row>
    <row r="356" spans="2:6" ht="13.5">
      <c r="B356" s="441">
        <v>39173</v>
      </c>
      <c r="C356" s="124">
        <v>4.6900000000000004</v>
      </c>
      <c r="D356" s="74">
        <f t="shared" si="5"/>
        <v>4.6900000000000004E-2</v>
      </c>
      <c r="E356" s="9"/>
      <c r="F356" s="9"/>
    </row>
    <row r="357" spans="2:6" ht="13.5">
      <c r="B357" s="441">
        <v>39203</v>
      </c>
      <c r="C357" s="124">
        <v>4.75</v>
      </c>
      <c r="D357" s="74">
        <f t="shared" si="5"/>
        <v>4.7500000000000001E-2</v>
      </c>
      <c r="E357" s="9"/>
      <c r="F357" s="9"/>
    </row>
    <row r="358" spans="2:6" ht="13.5">
      <c r="B358" s="441">
        <v>39234</v>
      </c>
      <c r="C358" s="124">
        <v>5.0999999999999996</v>
      </c>
      <c r="D358" s="74">
        <f t="shared" si="5"/>
        <v>5.0999999999999997E-2</v>
      </c>
      <c r="E358" s="9"/>
      <c r="F358" s="9"/>
    </row>
    <row r="359" spans="2:6" ht="13.5">
      <c r="B359" s="441">
        <v>39270</v>
      </c>
      <c r="C359" s="124">
        <v>5</v>
      </c>
      <c r="D359" s="74">
        <f t="shared" si="5"/>
        <v>0.05</v>
      </c>
      <c r="E359" s="9"/>
      <c r="F359" s="9"/>
    </row>
    <row r="360" spans="2:6" ht="13.5">
      <c r="B360" s="441">
        <v>39301</v>
      </c>
      <c r="C360" s="124">
        <v>4.67</v>
      </c>
      <c r="D360" s="74">
        <f t="shared" si="5"/>
        <v>4.6699999999999998E-2</v>
      </c>
      <c r="E360" s="9"/>
      <c r="F360" s="9"/>
    </row>
    <row r="361" spans="2:6" ht="13.5">
      <c r="B361" s="441">
        <v>39332</v>
      </c>
      <c r="C361" s="124">
        <v>4.5199999999999996</v>
      </c>
      <c r="D361" s="74">
        <f t="shared" si="5"/>
        <v>4.5199999999999997E-2</v>
      </c>
      <c r="E361" s="9"/>
      <c r="F361" s="9"/>
    </row>
    <row r="362" spans="2:6" ht="13.5">
      <c r="B362" s="441">
        <v>39362</v>
      </c>
      <c r="C362" s="124">
        <v>4.53</v>
      </c>
      <c r="D362" s="74">
        <f t="shared" si="5"/>
        <v>4.53E-2</v>
      </c>
      <c r="E362" s="9"/>
      <c r="F362" s="9"/>
    </row>
    <row r="363" spans="2:6" ht="13.5">
      <c r="B363" s="441">
        <v>39393</v>
      </c>
      <c r="C363" s="124">
        <v>4.1500000000000004</v>
      </c>
      <c r="D363" s="74">
        <f t="shared" si="5"/>
        <v>4.1500000000000002E-2</v>
      </c>
      <c r="E363" s="9"/>
      <c r="F363" s="9"/>
    </row>
    <row r="364" spans="2:6" ht="13.5">
      <c r="B364" s="441">
        <v>39423</v>
      </c>
      <c r="C364" s="124">
        <v>4.0999999999999996</v>
      </c>
      <c r="D364" s="74">
        <f t="shared" si="5"/>
        <v>4.0999999999999995E-2</v>
      </c>
      <c r="E364" s="9"/>
      <c r="F364" s="9"/>
    </row>
    <row r="365" spans="2:6" ht="13.5">
      <c r="B365" s="443">
        <v>39448</v>
      </c>
      <c r="C365" s="125">
        <v>3.74</v>
      </c>
      <c r="D365" s="74">
        <f t="shared" si="5"/>
        <v>3.7400000000000003E-2</v>
      </c>
      <c r="E365" s="9"/>
      <c r="F365" s="9"/>
    </row>
    <row r="366" spans="2:6" ht="13.5">
      <c r="B366" s="443">
        <v>39479</v>
      </c>
      <c r="C366" s="125">
        <v>3.74</v>
      </c>
      <c r="D366" s="74">
        <f t="shared" si="5"/>
        <v>3.7400000000000003E-2</v>
      </c>
      <c r="E366" s="9"/>
      <c r="F366" s="9"/>
    </row>
    <row r="367" spans="2:6" ht="13.5">
      <c r="B367" s="443">
        <v>39508</v>
      </c>
      <c r="C367" s="125">
        <v>3.51</v>
      </c>
      <c r="D367" s="74">
        <f t="shared" si="5"/>
        <v>3.5099999999999999E-2</v>
      </c>
      <c r="E367" s="9"/>
      <c r="F367" s="9"/>
    </row>
    <row r="368" spans="2:6" ht="13.5">
      <c r="B368" s="443">
        <v>39539</v>
      </c>
      <c r="C368" s="125">
        <v>3.68</v>
      </c>
      <c r="D368" s="74">
        <f t="shared" si="5"/>
        <v>3.6799999999999999E-2</v>
      </c>
      <c r="E368" s="9"/>
      <c r="F368" s="9"/>
    </row>
    <row r="369" spans="2:6" ht="13.5">
      <c r="B369" s="443">
        <v>39569</v>
      </c>
      <c r="C369" s="125">
        <v>3.88</v>
      </c>
      <c r="D369" s="74">
        <f t="shared" si="5"/>
        <v>3.8800000000000001E-2</v>
      </c>
      <c r="E369" s="9"/>
      <c r="F369" s="9"/>
    </row>
    <row r="370" spans="2:6" ht="13.5">
      <c r="B370" s="443">
        <v>39600</v>
      </c>
      <c r="C370" s="125">
        <v>4.0999999999999996</v>
      </c>
      <c r="D370" s="74">
        <f t="shared" si="5"/>
        <v>4.0999999999999995E-2</v>
      </c>
      <c r="E370" s="9"/>
      <c r="F370" s="9"/>
    </row>
    <row r="371" spans="2:6" ht="13.5">
      <c r="B371" s="443">
        <v>39630</v>
      </c>
      <c r="C371" s="125">
        <v>4.01</v>
      </c>
      <c r="D371" s="74">
        <f t="shared" si="5"/>
        <v>4.0099999999999997E-2</v>
      </c>
      <c r="E371" s="9"/>
      <c r="F371" s="9"/>
    </row>
    <row r="372" spans="2:6" ht="13.5">
      <c r="B372" s="443">
        <v>39661</v>
      </c>
      <c r="C372" s="125">
        <v>3.89</v>
      </c>
      <c r="D372" s="74">
        <f t="shared" si="5"/>
        <v>3.8900000000000004E-2</v>
      </c>
      <c r="E372" s="9"/>
      <c r="F372" s="9"/>
    </row>
    <row r="373" spans="2:6" ht="13.5">
      <c r="B373" s="443">
        <v>39692</v>
      </c>
      <c r="C373" s="125">
        <v>3.69</v>
      </c>
      <c r="D373" s="74">
        <f t="shared" si="5"/>
        <v>3.6900000000000002E-2</v>
      </c>
      <c r="E373" s="9"/>
      <c r="F373" s="9"/>
    </row>
    <row r="374" spans="2:6" ht="13.5">
      <c r="B374" s="443">
        <v>39722</v>
      </c>
      <c r="C374" s="125">
        <v>3.81</v>
      </c>
      <c r="D374" s="74">
        <f t="shared" si="5"/>
        <v>3.8100000000000002E-2</v>
      </c>
      <c r="E374" s="9"/>
      <c r="F374" s="9"/>
    </row>
    <row r="375" spans="2:6" ht="13.5">
      <c r="B375" s="443">
        <v>39753</v>
      </c>
      <c r="C375" s="125">
        <v>3.53</v>
      </c>
      <c r="D375" s="74">
        <f t="shared" si="5"/>
        <v>3.5299999999999998E-2</v>
      </c>
      <c r="E375" s="9"/>
      <c r="F375" s="9"/>
    </row>
    <row r="376" spans="2:6" ht="13.5">
      <c r="B376" s="443">
        <v>39783</v>
      </c>
      <c r="C376" s="125">
        <v>2.42</v>
      </c>
      <c r="D376" s="74">
        <f t="shared" si="5"/>
        <v>2.4199999999999999E-2</v>
      </c>
      <c r="E376" s="9"/>
      <c r="F376" s="9"/>
    </row>
    <row r="377" spans="2:6" ht="13.5">
      <c r="B377" s="443">
        <v>39814</v>
      </c>
      <c r="C377" s="125">
        <v>2.52</v>
      </c>
      <c r="D377" s="74">
        <f t="shared" si="5"/>
        <v>2.52E-2</v>
      </c>
      <c r="E377" s="9"/>
      <c r="F377" s="9"/>
    </row>
    <row r="378" spans="2:6" ht="13.5">
      <c r="B378" s="443">
        <v>39845</v>
      </c>
      <c r="C378" s="125">
        <v>2.87</v>
      </c>
      <c r="D378" s="74">
        <f t="shared" si="5"/>
        <v>2.87E-2</v>
      </c>
      <c r="E378" s="9"/>
      <c r="F378" s="9"/>
    </row>
    <row r="379" spans="2:6" ht="13.5">
      <c r="B379" s="443">
        <v>39873</v>
      </c>
      <c r="C379" s="125">
        <v>2.82</v>
      </c>
      <c r="D379" s="74">
        <f t="shared" si="5"/>
        <v>2.8199999999999999E-2</v>
      </c>
      <c r="E379" s="9"/>
      <c r="F379" s="9"/>
    </row>
    <row r="380" spans="2:6" ht="13.5">
      <c r="B380" s="443">
        <v>39904</v>
      </c>
      <c r="C380" s="125">
        <v>2.93</v>
      </c>
      <c r="D380" s="74">
        <f t="shared" si="5"/>
        <v>2.9300000000000003E-2</v>
      </c>
      <c r="E380" s="9"/>
      <c r="F380" s="9"/>
    </row>
    <row r="381" spans="2:6" ht="13.5">
      <c r="B381" s="443">
        <v>39934</v>
      </c>
      <c r="C381" s="125">
        <v>3.29</v>
      </c>
      <c r="D381" s="74">
        <f t="shared" si="5"/>
        <v>3.2899999999999999E-2</v>
      </c>
      <c r="E381" s="9"/>
      <c r="F381" s="9"/>
    </row>
    <row r="382" spans="2:6" ht="13.5">
      <c r="B382" s="443">
        <v>39965</v>
      </c>
      <c r="C382" s="125">
        <v>3.72</v>
      </c>
      <c r="D382" s="74">
        <f t="shared" si="5"/>
        <v>3.7200000000000004E-2</v>
      </c>
      <c r="E382" s="9"/>
      <c r="F382" s="9"/>
    </row>
    <row r="383" spans="2:6" ht="13.5">
      <c r="B383" s="443">
        <v>39995</v>
      </c>
      <c r="C383" s="125">
        <v>3.56</v>
      </c>
      <c r="D383" s="74">
        <f t="shared" si="5"/>
        <v>3.56E-2</v>
      </c>
      <c r="E383" s="9"/>
      <c r="F383" s="9"/>
    </row>
    <row r="384" spans="2:6" ht="13.5">
      <c r="B384" s="443">
        <v>40026</v>
      </c>
      <c r="C384" s="125">
        <v>3.59</v>
      </c>
      <c r="D384" s="74">
        <f t="shared" si="5"/>
        <v>3.5900000000000001E-2</v>
      </c>
      <c r="E384" s="9"/>
      <c r="F384" s="9"/>
    </row>
    <row r="385" spans="2:6" ht="13.5">
      <c r="B385" s="443">
        <v>40057</v>
      </c>
      <c r="C385" s="125">
        <v>3.4</v>
      </c>
      <c r="D385" s="74">
        <f t="shared" si="5"/>
        <v>3.4000000000000002E-2</v>
      </c>
      <c r="E385" s="9"/>
      <c r="F385" s="9"/>
    </row>
    <row r="386" spans="2:6" ht="13.5">
      <c r="B386" s="443">
        <v>40087</v>
      </c>
      <c r="C386" s="125">
        <v>3.39</v>
      </c>
      <c r="D386" s="74">
        <f t="shared" si="5"/>
        <v>3.39E-2</v>
      </c>
      <c r="E386" s="9"/>
      <c r="F386" s="9"/>
    </row>
    <row r="387" spans="2:6" ht="13.5">
      <c r="B387" s="443">
        <v>40118</v>
      </c>
      <c r="C387" s="125">
        <v>3.4</v>
      </c>
      <c r="D387" s="74">
        <f t="shared" si="5"/>
        <v>3.4000000000000002E-2</v>
      </c>
      <c r="E387" s="9"/>
      <c r="F387" s="9"/>
    </row>
    <row r="388" spans="2:6" ht="13.5">
      <c r="B388" s="443">
        <v>40148</v>
      </c>
      <c r="C388" s="125">
        <v>3.59</v>
      </c>
      <c r="D388" s="74">
        <f t="shared" si="5"/>
        <v>3.5900000000000001E-2</v>
      </c>
      <c r="E388" s="9"/>
      <c r="F388" s="9"/>
    </row>
    <row r="389" spans="2:6" ht="13.5">
      <c r="B389" s="443">
        <v>40179</v>
      </c>
      <c r="C389" s="125">
        <v>3.73</v>
      </c>
      <c r="D389" s="74">
        <f t="shared" si="5"/>
        <v>3.73E-2</v>
      </c>
      <c r="E389" s="9"/>
      <c r="F389" s="9"/>
    </row>
    <row r="390" spans="2:6" ht="13.5">
      <c r="B390" s="443">
        <v>40210</v>
      </c>
      <c r="C390" s="125">
        <v>3.69</v>
      </c>
      <c r="D390" s="74">
        <f t="shared" si="5"/>
        <v>3.6900000000000002E-2</v>
      </c>
      <c r="E390" s="9"/>
      <c r="F390" s="9"/>
    </row>
    <row r="391" spans="2:6" ht="13.5">
      <c r="B391" s="443">
        <v>40238</v>
      </c>
      <c r="C391" s="125">
        <v>3.73</v>
      </c>
      <c r="D391" s="74">
        <f t="shared" si="5"/>
        <v>3.73E-2</v>
      </c>
      <c r="E391" s="9"/>
      <c r="F391" s="9"/>
    </row>
    <row r="392" spans="2:6" ht="13.5">
      <c r="B392" s="443">
        <v>40269</v>
      </c>
      <c r="C392" s="125">
        <v>3.85</v>
      </c>
      <c r="D392" s="74">
        <f t="shared" si="5"/>
        <v>3.85E-2</v>
      </c>
      <c r="E392" s="9"/>
      <c r="F392" s="9"/>
    </row>
    <row r="393" spans="2:6" ht="13.5">
      <c r="B393" s="443">
        <v>40299</v>
      </c>
      <c r="C393" s="125">
        <v>3.42</v>
      </c>
      <c r="D393" s="74">
        <f t="shared" si="5"/>
        <v>3.4200000000000001E-2</v>
      </c>
      <c r="E393" s="9"/>
      <c r="F393" s="9"/>
    </row>
    <row r="394" spans="2:6" ht="13.5">
      <c r="B394" s="443">
        <v>40330</v>
      </c>
      <c r="C394" s="125">
        <v>3.2</v>
      </c>
      <c r="D394" s="74">
        <f t="shared" si="5"/>
        <v>3.2000000000000001E-2</v>
      </c>
      <c r="E394" s="9"/>
      <c r="F394" s="9"/>
    </row>
    <row r="395" spans="2:6" ht="13.5">
      <c r="B395" s="443">
        <v>40360</v>
      </c>
      <c r="C395" s="125">
        <v>3.01</v>
      </c>
      <c r="D395" s="74">
        <f t="shared" si="5"/>
        <v>3.0099999999999998E-2</v>
      </c>
      <c r="E395" s="9"/>
      <c r="F395" s="9"/>
    </row>
    <row r="396" spans="2:6" ht="13.5">
      <c r="B396" s="443">
        <v>40391</v>
      </c>
      <c r="C396" s="125">
        <v>2.7</v>
      </c>
      <c r="D396" s="74">
        <f t="shared" si="5"/>
        <v>2.7000000000000003E-2</v>
      </c>
      <c r="E396" s="9"/>
      <c r="F396" s="9"/>
    </row>
    <row r="397" spans="2:6" ht="13.5">
      <c r="B397" s="443">
        <v>40422</v>
      </c>
      <c r="C397" s="125">
        <v>2.65</v>
      </c>
      <c r="D397" s="74">
        <f t="shared" si="5"/>
        <v>2.6499999999999999E-2</v>
      </c>
      <c r="E397" s="9"/>
      <c r="F397" s="9"/>
    </row>
    <row r="398" spans="2:6" ht="13.5">
      <c r="B398" s="443">
        <v>40452</v>
      </c>
      <c r="C398" s="125">
        <v>2.54</v>
      </c>
      <c r="D398" s="74">
        <f t="shared" ref="D398:D417" si="6">C398/100</f>
        <v>2.5399999999999999E-2</v>
      </c>
      <c r="E398" s="9"/>
      <c r="F398" s="9"/>
    </row>
    <row r="399" spans="2:6" ht="13.5">
      <c r="B399" s="443">
        <v>40483</v>
      </c>
      <c r="C399" s="125">
        <v>2.76</v>
      </c>
      <c r="D399" s="74">
        <f t="shared" si="6"/>
        <v>2.76E-2</v>
      </c>
      <c r="E399" s="9"/>
      <c r="F399" s="9"/>
    </row>
    <row r="400" spans="2:6" ht="13.5">
      <c r="B400" s="443">
        <v>40513</v>
      </c>
      <c r="C400" s="125">
        <v>3.29</v>
      </c>
      <c r="D400" s="74">
        <f t="shared" si="6"/>
        <v>3.2899999999999999E-2</v>
      </c>
      <c r="E400" s="9"/>
      <c r="F400" s="9"/>
    </row>
    <row r="401" spans="2:6" ht="13.5">
      <c r="B401" s="443">
        <v>40544</v>
      </c>
      <c r="C401" s="125">
        <v>3.39</v>
      </c>
      <c r="D401" s="74">
        <f t="shared" si="6"/>
        <v>3.39E-2</v>
      </c>
      <c r="E401" s="9"/>
      <c r="F401" s="9"/>
    </row>
    <row r="402" spans="2:6" ht="13.5">
      <c r="B402" s="443">
        <v>40575</v>
      </c>
      <c r="C402" s="125">
        <v>3.58</v>
      </c>
      <c r="D402" s="74">
        <f t="shared" si="6"/>
        <v>3.5799999999999998E-2</v>
      </c>
      <c r="E402" s="9"/>
      <c r="F402" s="9"/>
    </row>
    <row r="403" spans="2:6" ht="13.5">
      <c r="B403" s="443">
        <v>40603</v>
      </c>
      <c r="C403" s="125">
        <v>3.41</v>
      </c>
      <c r="D403" s="74">
        <f t="shared" si="6"/>
        <v>3.4099999999999998E-2</v>
      </c>
      <c r="E403" s="9"/>
      <c r="F403" s="9"/>
    </row>
    <row r="404" spans="2:6" ht="13.5">
      <c r="B404" s="443">
        <v>40634</v>
      </c>
      <c r="C404" s="125">
        <v>3.46</v>
      </c>
      <c r="D404" s="74">
        <f t="shared" si="6"/>
        <v>3.4599999999999999E-2</v>
      </c>
      <c r="E404" s="9"/>
      <c r="F404" s="9"/>
    </row>
    <row r="405" spans="2:6" ht="13.5">
      <c r="B405" s="443">
        <v>40664</v>
      </c>
      <c r="C405" s="125">
        <v>3.17</v>
      </c>
      <c r="D405" s="74">
        <f t="shared" si="6"/>
        <v>3.1699999999999999E-2</v>
      </c>
      <c r="E405" s="9"/>
      <c r="F405" s="9"/>
    </row>
    <row r="406" spans="2:6" ht="13.5">
      <c r="B406" s="443">
        <v>40695</v>
      </c>
      <c r="C406" s="125">
        <v>3</v>
      </c>
      <c r="D406" s="74">
        <f t="shared" si="6"/>
        <v>0.03</v>
      </c>
      <c r="E406" s="9"/>
      <c r="F406" s="9"/>
    </row>
    <row r="407" spans="2:6" ht="13.5">
      <c r="B407" s="443">
        <v>40725</v>
      </c>
      <c r="C407" s="125">
        <v>3</v>
      </c>
      <c r="D407" s="74">
        <f t="shared" si="6"/>
        <v>0.03</v>
      </c>
      <c r="E407" s="9"/>
      <c r="F407" s="9"/>
    </row>
    <row r="408" spans="2:6" ht="13.5">
      <c r="B408" s="443">
        <v>40756</v>
      </c>
      <c r="C408" s="125">
        <v>2.2999999999999998</v>
      </c>
      <c r="D408" s="74">
        <f t="shared" si="6"/>
        <v>2.3E-2</v>
      </c>
      <c r="E408" s="9"/>
      <c r="F408" s="9"/>
    </row>
    <row r="409" spans="2:6" ht="13.5">
      <c r="B409" s="443">
        <f t="shared" ref="B409:B473" si="7">EOMONTH(B408, 0 ) + 1</f>
        <v>40787</v>
      </c>
      <c r="C409" s="125">
        <v>1.98</v>
      </c>
      <c r="D409" s="74">
        <f t="shared" si="6"/>
        <v>1.9799999999999998E-2</v>
      </c>
      <c r="E409" s="9"/>
      <c r="F409" s="9"/>
    </row>
    <row r="410" spans="2:6" ht="13.5">
      <c r="B410" s="443">
        <f t="shared" si="7"/>
        <v>40817</v>
      </c>
      <c r="C410" s="125">
        <v>2.15</v>
      </c>
      <c r="D410" s="74">
        <f t="shared" si="6"/>
        <v>2.1499999999999998E-2</v>
      </c>
      <c r="E410" s="9"/>
      <c r="F410" s="9"/>
    </row>
    <row r="411" spans="2:6" ht="13.5">
      <c r="B411" s="443">
        <f t="shared" si="7"/>
        <v>40848</v>
      </c>
      <c r="C411" s="125">
        <v>2.0099999999999998</v>
      </c>
      <c r="D411" s="74">
        <f t="shared" si="6"/>
        <v>2.0099999999999996E-2</v>
      </c>
      <c r="E411" s="9"/>
      <c r="F411" s="9"/>
    </row>
    <row r="412" spans="2:6" ht="13.5">
      <c r="B412" s="443">
        <f t="shared" si="7"/>
        <v>40878</v>
      </c>
      <c r="C412" s="125">
        <v>1.98</v>
      </c>
      <c r="D412" s="74">
        <f t="shared" si="6"/>
        <v>1.9799999999999998E-2</v>
      </c>
      <c r="E412" s="9"/>
      <c r="F412" s="9"/>
    </row>
    <row r="413" spans="2:6" ht="13.5">
      <c r="B413" s="443">
        <f t="shared" si="7"/>
        <v>40909</v>
      </c>
      <c r="C413" s="125">
        <v>1.97</v>
      </c>
      <c r="D413" s="74">
        <f t="shared" si="6"/>
        <v>1.9699999999999999E-2</v>
      </c>
      <c r="E413" s="9"/>
      <c r="F413" s="9"/>
    </row>
    <row r="414" spans="2:6" ht="13.5">
      <c r="B414" s="443">
        <f t="shared" si="7"/>
        <v>40940</v>
      </c>
      <c r="C414" s="125">
        <v>1.97</v>
      </c>
      <c r="D414" s="74">
        <f t="shared" si="6"/>
        <v>1.9699999999999999E-2</v>
      </c>
      <c r="E414" s="9"/>
      <c r="F414" s="9"/>
    </row>
    <row r="415" spans="2:6" ht="13.5">
      <c r="B415" s="443">
        <f t="shared" si="7"/>
        <v>40969</v>
      </c>
      <c r="C415" s="125">
        <v>2.17</v>
      </c>
      <c r="D415" s="74">
        <f t="shared" si="6"/>
        <v>2.1700000000000001E-2</v>
      </c>
      <c r="E415" s="9"/>
      <c r="F415" s="9"/>
    </row>
    <row r="416" spans="2:6" ht="13.5">
      <c r="B416" s="443">
        <f t="shared" si="7"/>
        <v>41000</v>
      </c>
      <c r="C416" s="125">
        <v>2.0499999999999998</v>
      </c>
      <c r="D416" s="74">
        <f t="shared" si="6"/>
        <v>2.0499999999999997E-2</v>
      </c>
      <c r="E416" s="9"/>
      <c r="F416" s="9"/>
    </row>
    <row r="417" spans="2:6" ht="13.5">
      <c r="B417" s="443">
        <f t="shared" si="7"/>
        <v>41030</v>
      </c>
      <c r="C417" s="125">
        <v>1.8</v>
      </c>
      <c r="D417" s="74">
        <f t="shared" si="6"/>
        <v>1.8000000000000002E-2</v>
      </c>
      <c r="E417" s="9"/>
      <c r="F417" s="9"/>
    </row>
    <row r="418" spans="2:6" ht="13.5">
      <c r="B418" s="443">
        <f t="shared" si="7"/>
        <v>41061</v>
      </c>
      <c r="C418" s="125">
        <v>1.62</v>
      </c>
      <c r="D418" s="74">
        <f t="shared" ref="D418:D436" si="8">C418/100</f>
        <v>1.6200000000000003E-2</v>
      </c>
      <c r="E418" s="9"/>
      <c r="F418" s="9"/>
    </row>
    <row r="419" spans="2:6" ht="13.5">
      <c r="B419" s="443">
        <f t="shared" si="7"/>
        <v>41091</v>
      </c>
      <c r="C419" s="125">
        <v>1.53</v>
      </c>
      <c r="D419" s="74">
        <f t="shared" si="8"/>
        <v>1.5300000000000001E-2</v>
      </c>
      <c r="E419" s="9"/>
      <c r="F419" s="9"/>
    </row>
    <row r="420" spans="2:6" ht="13.5">
      <c r="B420" s="443">
        <f t="shared" si="7"/>
        <v>41122</v>
      </c>
      <c r="C420" s="125">
        <v>1.68</v>
      </c>
      <c r="D420" s="74">
        <f t="shared" si="8"/>
        <v>1.6799999999999999E-2</v>
      </c>
      <c r="E420" s="9"/>
      <c r="F420" s="9"/>
    </row>
    <row r="421" spans="2:6" ht="13.5">
      <c r="B421" s="443">
        <f t="shared" si="7"/>
        <v>41153</v>
      </c>
      <c r="C421" s="125">
        <v>1.72</v>
      </c>
      <c r="D421" s="74">
        <f t="shared" si="8"/>
        <v>1.72E-2</v>
      </c>
      <c r="E421" s="9"/>
      <c r="F421" s="9"/>
    </row>
    <row r="422" spans="2:6" ht="13.5">
      <c r="B422" s="443">
        <f t="shared" si="7"/>
        <v>41183</v>
      </c>
      <c r="C422" s="125">
        <v>1.75</v>
      </c>
      <c r="D422" s="74">
        <f t="shared" si="8"/>
        <v>1.7500000000000002E-2</v>
      </c>
      <c r="E422" s="9"/>
      <c r="F422" s="9"/>
    </row>
    <row r="423" spans="2:6" ht="13.5">
      <c r="B423" s="443">
        <f t="shared" si="7"/>
        <v>41214</v>
      </c>
      <c r="C423" s="125">
        <v>1.65</v>
      </c>
      <c r="D423" s="74">
        <f t="shared" si="8"/>
        <v>1.6500000000000001E-2</v>
      </c>
      <c r="E423" s="9"/>
      <c r="F423" s="9"/>
    </row>
    <row r="424" spans="2:6" ht="13.5">
      <c r="B424" s="443">
        <f t="shared" si="7"/>
        <v>41244</v>
      </c>
      <c r="C424" s="125">
        <v>1.72</v>
      </c>
      <c r="D424" s="74">
        <f t="shared" ref="D424:D435" si="9">C424/100</f>
        <v>1.72E-2</v>
      </c>
      <c r="E424" s="9"/>
      <c r="F424" s="9"/>
    </row>
    <row r="425" spans="2:6" ht="13.5">
      <c r="B425" s="443">
        <f t="shared" si="7"/>
        <v>41275</v>
      </c>
      <c r="C425" s="125">
        <v>1.91</v>
      </c>
      <c r="D425" s="74">
        <f t="shared" si="9"/>
        <v>1.9099999999999999E-2</v>
      </c>
      <c r="E425" s="9"/>
      <c r="F425" s="9"/>
    </row>
    <row r="426" spans="2:6" ht="13.5">
      <c r="B426" s="443">
        <f t="shared" si="7"/>
        <v>41306</v>
      </c>
      <c r="C426" s="125">
        <v>1.98</v>
      </c>
      <c r="D426" s="74">
        <f t="shared" si="9"/>
        <v>1.9799999999999998E-2</v>
      </c>
      <c r="E426" s="9"/>
      <c r="F426" s="9"/>
    </row>
    <row r="427" spans="2:6" ht="13.5">
      <c r="B427" s="443">
        <f t="shared" si="7"/>
        <v>41334</v>
      </c>
      <c r="C427" s="125">
        <v>1.96</v>
      </c>
      <c r="D427" s="74">
        <f t="shared" si="9"/>
        <v>1.9599999999999999E-2</v>
      </c>
      <c r="E427" s="9"/>
      <c r="F427" s="9"/>
    </row>
    <row r="428" spans="2:6" ht="13.5">
      <c r="B428" s="443">
        <f t="shared" si="7"/>
        <v>41365</v>
      </c>
      <c r="C428" s="125">
        <v>1.76</v>
      </c>
      <c r="D428" s="74">
        <f t="shared" si="9"/>
        <v>1.7600000000000001E-2</v>
      </c>
      <c r="E428" s="9"/>
      <c r="F428" s="9"/>
    </row>
    <row r="429" spans="2:6" ht="13.5">
      <c r="B429" s="443">
        <f t="shared" si="7"/>
        <v>41395</v>
      </c>
      <c r="C429" s="125">
        <v>1.93</v>
      </c>
      <c r="D429" s="74">
        <f t="shared" si="9"/>
        <v>1.9299999999999998E-2</v>
      </c>
      <c r="E429" s="9"/>
      <c r="F429" s="9"/>
    </row>
    <row r="430" spans="2:6" ht="13.5">
      <c r="B430" s="443">
        <f t="shared" si="7"/>
        <v>41426</v>
      </c>
      <c r="C430" s="125">
        <v>2.2999999999999998</v>
      </c>
      <c r="D430" s="74">
        <f t="shared" si="9"/>
        <v>2.3E-2</v>
      </c>
      <c r="E430" s="9"/>
      <c r="F430" s="9"/>
    </row>
    <row r="431" spans="2:6" ht="13.5">
      <c r="B431" s="443">
        <f t="shared" si="7"/>
        <v>41456</v>
      </c>
      <c r="C431" s="125">
        <v>2.58</v>
      </c>
      <c r="D431" s="74">
        <f t="shared" si="9"/>
        <v>2.58E-2</v>
      </c>
      <c r="E431" s="9"/>
      <c r="F431" s="9"/>
    </row>
    <row r="432" spans="2:6" ht="13.5">
      <c r="B432" s="443">
        <f t="shared" si="7"/>
        <v>41487</v>
      </c>
      <c r="C432" s="125">
        <v>2.74</v>
      </c>
      <c r="D432" s="74">
        <f t="shared" si="9"/>
        <v>2.7400000000000001E-2</v>
      </c>
      <c r="E432" s="9"/>
      <c r="F432" s="9"/>
    </row>
    <row r="433" spans="2:6" ht="13.5">
      <c r="B433" s="443">
        <f t="shared" si="7"/>
        <v>41518</v>
      </c>
      <c r="C433" s="125">
        <v>2.81</v>
      </c>
      <c r="D433" s="74">
        <f t="shared" si="9"/>
        <v>2.81E-2</v>
      </c>
      <c r="E433" s="9"/>
      <c r="F433" s="9"/>
    </row>
    <row r="434" spans="2:6" ht="13.5">
      <c r="B434" s="443">
        <f t="shared" si="7"/>
        <v>41548</v>
      </c>
      <c r="C434" s="125">
        <v>2.62</v>
      </c>
      <c r="D434" s="74">
        <f t="shared" si="9"/>
        <v>2.6200000000000001E-2</v>
      </c>
      <c r="E434" s="9"/>
      <c r="F434" s="9"/>
    </row>
    <row r="435" spans="2:6" ht="13.5">
      <c r="B435" s="443">
        <f t="shared" si="7"/>
        <v>41579</v>
      </c>
      <c r="C435" s="125">
        <v>2.72</v>
      </c>
      <c r="D435" s="74">
        <f t="shared" si="9"/>
        <v>2.7200000000000002E-2</v>
      </c>
      <c r="E435" s="9"/>
      <c r="F435" s="9"/>
    </row>
    <row r="436" spans="2:6" ht="13.5">
      <c r="B436" s="443">
        <f t="shared" si="7"/>
        <v>41609</v>
      </c>
      <c r="C436" s="125">
        <v>2.9</v>
      </c>
      <c r="D436" s="74">
        <f t="shared" si="8"/>
        <v>2.8999999999999998E-2</v>
      </c>
      <c r="E436" s="9"/>
      <c r="F436" s="9"/>
    </row>
    <row r="437" spans="2:6" ht="13.5">
      <c r="B437" s="443">
        <f t="shared" si="7"/>
        <v>41640</v>
      </c>
      <c r="C437" s="125">
        <v>2.86</v>
      </c>
      <c r="D437" s="74">
        <f t="shared" ref="D437:D466" si="10">C437/100</f>
        <v>2.86E-2</v>
      </c>
      <c r="E437" s="9"/>
      <c r="F437" s="9"/>
    </row>
    <row r="438" spans="2:6" ht="13.5">
      <c r="B438" s="443">
        <f t="shared" si="7"/>
        <v>41671</v>
      </c>
      <c r="C438" s="125">
        <v>2.71</v>
      </c>
      <c r="D438" s="74">
        <f t="shared" si="10"/>
        <v>2.7099999999999999E-2</v>
      </c>
      <c r="E438" s="9"/>
      <c r="F438" s="9"/>
    </row>
    <row r="439" spans="2:6" ht="13.5">
      <c r="B439" s="443">
        <f t="shared" si="7"/>
        <v>41699</v>
      </c>
      <c r="C439" s="125">
        <v>2.72</v>
      </c>
      <c r="D439" s="74">
        <f t="shared" si="10"/>
        <v>2.7200000000000002E-2</v>
      </c>
      <c r="E439" s="9"/>
      <c r="F439" s="9"/>
    </row>
    <row r="440" spans="2:6" ht="13.5">
      <c r="B440" s="443">
        <f t="shared" si="7"/>
        <v>41730</v>
      </c>
      <c r="C440" s="125">
        <v>2.71</v>
      </c>
      <c r="D440" s="74">
        <f t="shared" si="10"/>
        <v>2.7099999999999999E-2</v>
      </c>
      <c r="E440" s="9"/>
      <c r="F440" s="9"/>
    </row>
    <row r="441" spans="2:6" ht="13.5">
      <c r="B441" s="443">
        <f t="shared" si="7"/>
        <v>41760</v>
      </c>
      <c r="C441" s="125">
        <v>2.56</v>
      </c>
      <c r="D441" s="74">
        <f t="shared" si="10"/>
        <v>2.5600000000000001E-2</v>
      </c>
      <c r="E441" s="9"/>
      <c r="F441" s="9"/>
    </row>
    <row r="442" spans="2:6" ht="13.5">
      <c r="B442" s="443">
        <f t="shared" si="7"/>
        <v>41791</v>
      </c>
      <c r="C442" s="125">
        <v>2.6</v>
      </c>
      <c r="D442" s="74">
        <f t="shared" ref="D442:D447" si="11">C442/100</f>
        <v>2.6000000000000002E-2</v>
      </c>
      <c r="E442" s="9"/>
      <c r="F442" s="9"/>
    </row>
    <row r="443" spans="2:6" ht="13.5">
      <c r="B443" s="443">
        <f t="shared" si="7"/>
        <v>41821</v>
      </c>
      <c r="C443" s="125">
        <v>2.54</v>
      </c>
      <c r="D443" s="74">
        <f t="shared" si="11"/>
        <v>2.5399999999999999E-2</v>
      </c>
      <c r="E443" s="9"/>
      <c r="F443" s="9"/>
    </row>
    <row r="444" spans="2:6" ht="13.5">
      <c r="B444" s="443">
        <f t="shared" si="7"/>
        <v>41852</v>
      </c>
      <c r="C444" s="125">
        <v>2.42</v>
      </c>
      <c r="D444" s="74">
        <f t="shared" si="11"/>
        <v>2.4199999999999999E-2</v>
      </c>
      <c r="E444" s="9"/>
      <c r="F444" s="9"/>
    </row>
    <row r="445" spans="2:6" ht="13.5">
      <c r="B445" s="443">
        <f t="shared" si="7"/>
        <v>41883</v>
      </c>
      <c r="C445" s="125">
        <v>2.5299999999999998</v>
      </c>
      <c r="D445" s="74">
        <f t="shared" si="11"/>
        <v>2.53E-2</v>
      </c>
      <c r="E445" s="9"/>
      <c r="F445" s="9"/>
    </row>
    <row r="446" spans="2:6" ht="13.5">
      <c r="B446" s="443">
        <f t="shared" si="7"/>
        <v>41913</v>
      </c>
      <c r="C446" s="125">
        <v>2.2999999999999998</v>
      </c>
      <c r="D446" s="74">
        <f t="shared" si="11"/>
        <v>2.3E-2</v>
      </c>
      <c r="E446" s="9"/>
      <c r="F446" s="9"/>
    </row>
    <row r="447" spans="2:6" ht="13.5">
      <c r="B447" s="443">
        <f t="shared" si="7"/>
        <v>41944</v>
      </c>
      <c r="C447" s="125">
        <v>2.33</v>
      </c>
      <c r="D447" s="74">
        <f t="shared" si="11"/>
        <v>2.3300000000000001E-2</v>
      </c>
      <c r="E447" s="9"/>
      <c r="F447" s="9"/>
    </row>
    <row r="448" spans="2:6" ht="13.5">
      <c r="B448" s="443">
        <f t="shared" si="7"/>
        <v>41974</v>
      </c>
      <c r="C448" s="125">
        <v>2.21</v>
      </c>
      <c r="D448" s="74">
        <f t="shared" si="10"/>
        <v>2.2099999999999998E-2</v>
      </c>
      <c r="E448" s="9"/>
      <c r="F448" s="9"/>
    </row>
    <row r="449" spans="2:4">
      <c r="B449" s="443">
        <f t="shared" si="7"/>
        <v>42005</v>
      </c>
      <c r="C449" s="125">
        <v>1.88</v>
      </c>
      <c r="D449" s="74">
        <f t="shared" si="10"/>
        <v>1.8799999999999997E-2</v>
      </c>
    </row>
    <row r="450" spans="2:4">
      <c r="B450" s="443">
        <f t="shared" si="7"/>
        <v>42036</v>
      </c>
      <c r="C450" s="125">
        <v>1.98</v>
      </c>
      <c r="D450" s="74">
        <f t="shared" si="10"/>
        <v>1.9799999999999998E-2</v>
      </c>
    </row>
    <row r="451" spans="2:4">
      <c r="B451" s="443">
        <f t="shared" si="7"/>
        <v>42064</v>
      </c>
      <c r="C451" s="125">
        <v>2.04</v>
      </c>
      <c r="D451" s="74">
        <f t="shared" si="10"/>
        <v>2.0400000000000001E-2</v>
      </c>
    </row>
    <row r="452" spans="2:4">
      <c r="B452" s="443">
        <f t="shared" si="7"/>
        <v>42095</v>
      </c>
      <c r="C452" s="125">
        <v>1.94</v>
      </c>
      <c r="D452" s="74">
        <f t="shared" si="10"/>
        <v>1.9400000000000001E-2</v>
      </c>
    </row>
    <row r="453" spans="2:4">
      <c r="B453" s="443">
        <f t="shared" si="7"/>
        <v>42125</v>
      </c>
      <c r="C453" s="125">
        <v>2.2000000000000002</v>
      </c>
      <c r="D453" s="74">
        <f t="shared" si="10"/>
        <v>2.2000000000000002E-2</v>
      </c>
    </row>
    <row r="454" spans="2:4">
      <c r="B454" s="443">
        <f t="shared" si="7"/>
        <v>42156</v>
      </c>
      <c r="C454" s="125">
        <v>2.36</v>
      </c>
      <c r="D454" s="74">
        <f t="shared" si="10"/>
        <v>2.3599999999999999E-2</v>
      </c>
    </row>
    <row r="455" spans="2:4">
      <c r="B455" s="443">
        <f t="shared" si="7"/>
        <v>42186</v>
      </c>
      <c r="C455" s="125">
        <v>2.3199999999999998</v>
      </c>
      <c r="D455" s="74">
        <f t="shared" si="10"/>
        <v>2.3199999999999998E-2</v>
      </c>
    </row>
    <row r="456" spans="2:4">
      <c r="B456" s="443">
        <f t="shared" si="7"/>
        <v>42217</v>
      </c>
      <c r="C456" s="125">
        <v>2.17</v>
      </c>
      <c r="D456" s="74">
        <f t="shared" si="10"/>
        <v>2.1700000000000001E-2</v>
      </c>
    </row>
    <row r="457" spans="2:4">
      <c r="B457" s="443">
        <f t="shared" si="7"/>
        <v>42248</v>
      </c>
      <c r="C457" s="125">
        <v>2.17</v>
      </c>
      <c r="D457" s="74">
        <f t="shared" si="10"/>
        <v>2.1700000000000001E-2</v>
      </c>
    </row>
    <row r="458" spans="2:4">
      <c r="B458" s="443">
        <f t="shared" si="7"/>
        <v>42278</v>
      </c>
      <c r="C458" s="125">
        <v>2.0699999999999998</v>
      </c>
      <c r="D458" s="74">
        <f t="shared" si="10"/>
        <v>2.07E-2</v>
      </c>
    </row>
    <row r="459" spans="2:4">
      <c r="B459" s="443">
        <f t="shared" si="7"/>
        <v>42309</v>
      </c>
      <c r="C459" s="125">
        <v>2.2599999999999998</v>
      </c>
      <c r="D459" s="74">
        <f t="shared" si="10"/>
        <v>2.2599999999999999E-2</v>
      </c>
    </row>
    <row r="460" spans="2:4">
      <c r="B460" s="443">
        <f t="shared" si="7"/>
        <v>42339</v>
      </c>
      <c r="C460" s="125">
        <v>2.2400000000000002</v>
      </c>
      <c r="D460" s="74">
        <f t="shared" si="10"/>
        <v>2.2400000000000003E-2</v>
      </c>
    </row>
    <row r="461" spans="2:4">
      <c r="B461" s="443">
        <f t="shared" si="7"/>
        <v>42370</v>
      </c>
      <c r="C461" s="125">
        <v>2.09</v>
      </c>
      <c r="D461" s="74">
        <f t="shared" si="10"/>
        <v>2.0899999999999998E-2</v>
      </c>
    </row>
    <row r="462" spans="2:4">
      <c r="B462" s="443">
        <f t="shared" si="7"/>
        <v>42401</v>
      </c>
      <c r="C462" s="125">
        <v>1.78</v>
      </c>
      <c r="D462" s="74">
        <f t="shared" si="10"/>
        <v>1.78E-2</v>
      </c>
    </row>
    <row r="463" spans="2:4">
      <c r="B463" s="443">
        <f t="shared" si="7"/>
        <v>42430</v>
      </c>
      <c r="C463" s="125">
        <v>1.89</v>
      </c>
      <c r="D463" s="74">
        <f t="shared" si="10"/>
        <v>1.89E-2</v>
      </c>
    </row>
    <row r="464" spans="2:4">
      <c r="B464" s="443">
        <f t="shared" si="7"/>
        <v>42461</v>
      </c>
      <c r="C464" s="125">
        <v>1.81</v>
      </c>
      <c r="D464" s="74">
        <f t="shared" si="10"/>
        <v>1.8100000000000002E-2</v>
      </c>
    </row>
    <row r="465" spans="2:4">
      <c r="B465" s="443">
        <f t="shared" si="7"/>
        <v>42491</v>
      </c>
      <c r="C465" s="125">
        <v>1.81</v>
      </c>
      <c r="D465" s="74">
        <f t="shared" si="10"/>
        <v>1.8100000000000002E-2</v>
      </c>
    </row>
    <row r="466" spans="2:4">
      <c r="B466" s="443">
        <f t="shared" si="7"/>
        <v>42522</v>
      </c>
      <c r="C466" s="125">
        <v>1.64</v>
      </c>
      <c r="D466" s="74">
        <f t="shared" si="10"/>
        <v>1.6399999999999998E-2</v>
      </c>
    </row>
    <row r="467" spans="2:4">
      <c r="B467" s="443">
        <f t="shared" si="7"/>
        <v>42552</v>
      </c>
      <c r="C467" s="125">
        <v>1.5</v>
      </c>
      <c r="D467" s="74">
        <f t="shared" ref="D467:D529" si="12">C467/100</f>
        <v>1.4999999999999999E-2</v>
      </c>
    </row>
    <row r="468" spans="2:4">
      <c r="B468" s="443">
        <f t="shared" si="7"/>
        <v>42583</v>
      </c>
      <c r="C468" s="125">
        <v>1.56</v>
      </c>
      <c r="D468" s="74">
        <f t="shared" si="12"/>
        <v>1.5600000000000001E-2</v>
      </c>
    </row>
    <row r="469" spans="2:4">
      <c r="B469" s="443">
        <f t="shared" si="7"/>
        <v>42614</v>
      </c>
      <c r="C469" s="125">
        <v>1.63</v>
      </c>
      <c r="D469" s="74">
        <f t="shared" si="12"/>
        <v>1.6299999999999999E-2</v>
      </c>
    </row>
    <row r="470" spans="2:4">
      <c r="B470" s="443">
        <f t="shared" si="7"/>
        <v>42644</v>
      </c>
      <c r="C470" s="125">
        <v>1.76</v>
      </c>
      <c r="D470" s="74">
        <f t="shared" si="12"/>
        <v>1.7600000000000001E-2</v>
      </c>
    </row>
    <row r="471" spans="2:4">
      <c r="B471" s="443">
        <f t="shared" si="7"/>
        <v>42675</v>
      </c>
      <c r="C471" s="125">
        <v>2.14</v>
      </c>
      <c r="D471" s="74">
        <f t="shared" si="12"/>
        <v>2.1400000000000002E-2</v>
      </c>
    </row>
    <row r="472" spans="2:4">
      <c r="B472" s="443">
        <f t="shared" si="7"/>
        <v>42705</v>
      </c>
      <c r="C472" s="125">
        <v>2.4900000000000002</v>
      </c>
      <c r="D472" s="74">
        <f t="shared" si="12"/>
        <v>2.4900000000000002E-2</v>
      </c>
    </row>
    <row r="473" spans="2:4">
      <c r="B473" s="443">
        <f t="shared" si="7"/>
        <v>42736</v>
      </c>
      <c r="C473" s="125">
        <v>2.4300000000000002</v>
      </c>
      <c r="D473" s="74">
        <f t="shared" si="12"/>
        <v>2.4300000000000002E-2</v>
      </c>
    </row>
    <row r="474" spans="2:4">
      <c r="B474" s="443">
        <f t="shared" ref="B474:B539" si="13">EOMONTH(B473, 0 ) + 1</f>
        <v>42767</v>
      </c>
      <c r="C474" s="125">
        <v>2.42</v>
      </c>
      <c r="D474" s="74">
        <f t="shared" si="12"/>
        <v>2.4199999999999999E-2</v>
      </c>
    </row>
    <row r="475" spans="2:4">
      <c r="B475" s="443">
        <f t="shared" si="13"/>
        <v>42795</v>
      </c>
      <c r="C475" s="125">
        <v>2.48</v>
      </c>
      <c r="D475" s="74">
        <f t="shared" si="12"/>
        <v>2.4799999999999999E-2</v>
      </c>
    </row>
    <row r="476" spans="2:4">
      <c r="B476" s="443">
        <f t="shared" si="13"/>
        <v>42826</v>
      </c>
      <c r="C476" s="125">
        <v>2.2999999999999998</v>
      </c>
      <c r="D476" s="74">
        <f t="shared" si="12"/>
        <v>2.3E-2</v>
      </c>
    </row>
    <row r="477" spans="2:4">
      <c r="B477" s="443">
        <f t="shared" si="13"/>
        <v>42856</v>
      </c>
      <c r="C477" s="125">
        <v>2.2999999999999998</v>
      </c>
      <c r="D477" s="74">
        <f t="shared" si="12"/>
        <v>2.3E-2</v>
      </c>
    </row>
    <row r="478" spans="2:4">
      <c r="B478" s="443">
        <f t="shared" si="13"/>
        <v>42887</v>
      </c>
      <c r="C478" s="125">
        <v>2.19</v>
      </c>
      <c r="D478" s="74">
        <f t="shared" si="12"/>
        <v>2.1899999999999999E-2</v>
      </c>
    </row>
    <row r="479" spans="2:4">
      <c r="B479" s="443">
        <f t="shared" si="13"/>
        <v>42917</v>
      </c>
      <c r="C479" s="125">
        <v>2.3199999999999998</v>
      </c>
      <c r="D479" s="74">
        <f t="shared" si="12"/>
        <v>2.3199999999999998E-2</v>
      </c>
    </row>
    <row r="480" spans="2:4">
      <c r="B480" s="443">
        <f t="shared" si="13"/>
        <v>42948</v>
      </c>
      <c r="C480" s="125">
        <v>2.21</v>
      </c>
      <c r="D480" s="74">
        <f t="shared" si="12"/>
        <v>2.2099999999999998E-2</v>
      </c>
    </row>
    <row r="481" spans="2:4">
      <c r="B481" s="443">
        <f t="shared" si="13"/>
        <v>42979</v>
      </c>
      <c r="C481" s="125">
        <v>2.2000000000000002</v>
      </c>
      <c r="D481" s="74">
        <f t="shared" si="12"/>
        <v>2.2000000000000002E-2</v>
      </c>
    </row>
    <row r="482" spans="2:4">
      <c r="B482" s="443">
        <f t="shared" si="13"/>
        <v>43009</v>
      </c>
      <c r="C482" s="125">
        <v>2.36</v>
      </c>
      <c r="D482" s="74">
        <f t="shared" si="12"/>
        <v>2.3599999999999999E-2</v>
      </c>
    </row>
    <row r="483" spans="2:4">
      <c r="B483" s="443">
        <f t="shared" si="13"/>
        <v>43040</v>
      </c>
      <c r="C483" s="125">
        <v>2.35</v>
      </c>
      <c r="D483" s="74">
        <f t="shared" si="12"/>
        <v>2.35E-2</v>
      </c>
    </row>
    <row r="484" spans="2:4">
      <c r="B484" s="443">
        <f t="shared" si="13"/>
        <v>43070</v>
      </c>
      <c r="C484" s="125">
        <v>2.4</v>
      </c>
      <c r="D484" s="74">
        <f t="shared" si="12"/>
        <v>2.4E-2</v>
      </c>
    </row>
    <row r="485" spans="2:4">
      <c r="B485" s="443">
        <f t="shared" si="13"/>
        <v>43101</v>
      </c>
      <c r="C485" s="125">
        <v>2.58</v>
      </c>
      <c r="D485" s="74">
        <f t="shared" si="12"/>
        <v>2.58E-2</v>
      </c>
    </row>
    <row r="486" spans="2:4">
      <c r="B486" s="443">
        <f t="shared" si="13"/>
        <v>43132</v>
      </c>
      <c r="C486" s="125">
        <v>2.86</v>
      </c>
      <c r="D486" s="74">
        <f t="shared" si="12"/>
        <v>2.86E-2</v>
      </c>
    </row>
    <row r="487" spans="2:4">
      <c r="B487" s="443">
        <f t="shared" si="13"/>
        <v>43160</v>
      </c>
      <c r="C487" s="125">
        <v>2.84</v>
      </c>
      <c r="D487" s="74">
        <f t="shared" si="12"/>
        <v>2.8399999999999998E-2</v>
      </c>
    </row>
    <row r="488" spans="2:4">
      <c r="B488" s="443">
        <f t="shared" si="13"/>
        <v>43191</v>
      </c>
      <c r="C488" s="125">
        <v>2.87</v>
      </c>
      <c r="D488" s="74">
        <f t="shared" si="12"/>
        <v>2.87E-2</v>
      </c>
    </row>
    <row r="489" spans="2:4">
      <c r="B489" s="443">
        <f t="shared" si="13"/>
        <v>43221</v>
      </c>
      <c r="C489" s="125">
        <v>2.98</v>
      </c>
      <c r="D489" s="74">
        <f t="shared" si="12"/>
        <v>2.98E-2</v>
      </c>
    </row>
    <row r="490" spans="2:4">
      <c r="B490" s="443">
        <f t="shared" si="13"/>
        <v>43252</v>
      </c>
      <c r="C490" s="125">
        <v>2.91</v>
      </c>
      <c r="D490" s="74">
        <f t="shared" si="12"/>
        <v>2.9100000000000001E-2</v>
      </c>
    </row>
    <row r="491" spans="2:4">
      <c r="B491" s="443">
        <f t="shared" si="13"/>
        <v>43282</v>
      </c>
      <c r="C491" s="125">
        <v>2.89</v>
      </c>
      <c r="D491" s="74">
        <f t="shared" si="12"/>
        <v>2.8900000000000002E-2</v>
      </c>
    </row>
    <row r="492" spans="2:4">
      <c r="B492" s="443">
        <f t="shared" si="13"/>
        <v>43313</v>
      </c>
      <c r="C492" s="125">
        <v>2.89</v>
      </c>
      <c r="D492" s="74">
        <f t="shared" si="12"/>
        <v>2.8900000000000002E-2</v>
      </c>
    </row>
    <row r="493" spans="2:4">
      <c r="B493" s="443">
        <f t="shared" si="13"/>
        <v>43344</v>
      </c>
      <c r="C493" s="125">
        <v>3</v>
      </c>
      <c r="D493" s="74">
        <f t="shared" si="12"/>
        <v>0.03</v>
      </c>
    </row>
    <row r="494" spans="2:4">
      <c r="B494" s="443">
        <f>EOMONTH(B493, 0 ) + 1</f>
        <v>43374</v>
      </c>
      <c r="C494" s="125">
        <v>3.15</v>
      </c>
      <c r="D494" s="74">
        <f t="shared" si="12"/>
        <v>3.15E-2</v>
      </c>
    </row>
    <row r="495" spans="2:4">
      <c r="B495" s="443">
        <f t="shared" si="13"/>
        <v>43405</v>
      </c>
      <c r="C495" s="125">
        <v>3.12</v>
      </c>
      <c r="D495" s="74">
        <f t="shared" si="12"/>
        <v>3.1200000000000002E-2</v>
      </c>
    </row>
    <row r="496" spans="2:4">
      <c r="B496" s="443">
        <f t="shared" si="13"/>
        <v>43435</v>
      </c>
      <c r="C496" s="125">
        <v>2.83</v>
      </c>
      <c r="D496" s="74">
        <f t="shared" si="12"/>
        <v>2.8300000000000002E-2</v>
      </c>
    </row>
    <row r="497" spans="2:4">
      <c r="B497" s="443">
        <f t="shared" si="13"/>
        <v>43466</v>
      </c>
      <c r="C497" s="125">
        <v>2.71</v>
      </c>
      <c r="D497" s="74">
        <f t="shared" si="12"/>
        <v>2.7099999999999999E-2</v>
      </c>
    </row>
    <row r="498" spans="2:4">
      <c r="B498" s="443">
        <f t="shared" si="13"/>
        <v>43497</v>
      </c>
      <c r="C498" s="125">
        <v>2.68</v>
      </c>
      <c r="D498" s="74">
        <f t="shared" si="12"/>
        <v>2.6800000000000001E-2</v>
      </c>
    </row>
    <row r="499" spans="2:4">
      <c r="B499" s="443">
        <f t="shared" si="13"/>
        <v>43525</v>
      </c>
      <c r="C499" s="125">
        <v>2.57</v>
      </c>
      <c r="D499" s="74">
        <f t="shared" si="12"/>
        <v>2.5699999999999997E-2</v>
      </c>
    </row>
    <row r="500" spans="2:4">
      <c r="B500" s="443">
        <f t="shared" si="13"/>
        <v>43556</v>
      </c>
      <c r="C500" s="125">
        <v>2.5299999999999998</v>
      </c>
      <c r="D500" s="74">
        <f t="shared" si="12"/>
        <v>2.53E-2</v>
      </c>
    </row>
    <row r="501" spans="2:4">
      <c r="B501" s="443">
        <f t="shared" si="13"/>
        <v>43586</v>
      </c>
      <c r="C501" s="125">
        <v>2.4</v>
      </c>
      <c r="D501" s="74">
        <f t="shared" si="12"/>
        <v>2.4E-2</v>
      </c>
    </row>
    <row r="502" spans="2:4">
      <c r="B502" s="443">
        <f t="shared" si="13"/>
        <v>43617</v>
      </c>
      <c r="C502" s="125">
        <v>2.0699999999999998</v>
      </c>
      <c r="D502" s="74">
        <f t="shared" si="12"/>
        <v>2.07E-2</v>
      </c>
    </row>
    <row r="503" spans="2:4">
      <c r="B503" s="443">
        <f t="shared" si="13"/>
        <v>43647</v>
      </c>
      <c r="C503" s="125">
        <v>2.06</v>
      </c>
      <c r="D503" s="74">
        <f t="shared" si="12"/>
        <v>2.06E-2</v>
      </c>
    </row>
    <row r="504" spans="2:4">
      <c r="B504" s="443">
        <f t="shared" si="13"/>
        <v>43678</v>
      </c>
      <c r="C504" s="125">
        <v>1.63</v>
      </c>
      <c r="D504" s="74">
        <f t="shared" si="12"/>
        <v>1.6299999999999999E-2</v>
      </c>
    </row>
    <row r="505" spans="2:4">
      <c r="B505" s="443">
        <f t="shared" si="13"/>
        <v>43709</v>
      </c>
      <c r="C505" s="125">
        <v>1.7</v>
      </c>
      <c r="D505" s="74">
        <f t="shared" si="12"/>
        <v>1.7000000000000001E-2</v>
      </c>
    </row>
    <row r="506" spans="2:4">
      <c r="B506" s="443">
        <f t="shared" si="13"/>
        <v>43739</v>
      </c>
      <c r="C506" s="125">
        <v>1.71</v>
      </c>
      <c r="D506" s="74">
        <f t="shared" si="12"/>
        <v>1.7100000000000001E-2</v>
      </c>
    </row>
    <row r="507" spans="2:4">
      <c r="B507" s="443">
        <f t="shared" si="13"/>
        <v>43770</v>
      </c>
      <c r="C507" s="125">
        <v>1.81</v>
      </c>
      <c r="D507" s="74">
        <f t="shared" si="12"/>
        <v>1.8100000000000002E-2</v>
      </c>
    </row>
    <row r="508" spans="2:4">
      <c r="B508" s="443">
        <f t="shared" si="13"/>
        <v>43800</v>
      </c>
      <c r="C508" s="125">
        <v>1.86</v>
      </c>
      <c r="D508" s="74">
        <f t="shared" si="12"/>
        <v>1.8600000000000002E-2</v>
      </c>
    </row>
    <row r="509" spans="2:4">
      <c r="B509" s="443">
        <f t="shared" si="13"/>
        <v>43831</v>
      </c>
      <c r="C509" s="125">
        <v>1.76</v>
      </c>
      <c r="D509" s="74">
        <f t="shared" si="12"/>
        <v>1.7600000000000001E-2</v>
      </c>
    </row>
    <row r="510" spans="2:4">
      <c r="B510" s="443">
        <f t="shared" si="13"/>
        <v>43862</v>
      </c>
      <c r="C510" s="125">
        <v>1.5</v>
      </c>
      <c r="D510" s="74">
        <f t="shared" si="12"/>
        <v>1.4999999999999999E-2</v>
      </c>
    </row>
    <row r="511" spans="2:4">
      <c r="B511" s="443">
        <f t="shared" si="13"/>
        <v>43891</v>
      </c>
      <c r="C511" s="125">
        <v>0.87</v>
      </c>
      <c r="D511" s="74">
        <f t="shared" si="12"/>
        <v>8.6999999999999994E-3</v>
      </c>
    </row>
    <row r="512" spans="2:4">
      <c r="B512" s="443">
        <f t="shared" si="13"/>
        <v>43922</v>
      </c>
      <c r="C512" s="125">
        <v>0.66</v>
      </c>
      <c r="D512" s="74">
        <f t="shared" si="12"/>
        <v>6.6E-3</v>
      </c>
    </row>
    <row r="513" spans="2:4">
      <c r="B513" s="443">
        <f t="shared" si="13"/>
        <v>43952</v>
      </c>
      <c r="C513" s="125">
        <v>0.67</v>
      </c>
      <c r="D513" s="74">
        <f t="shared" si="12"/>
        <v>6.7000000000000002E-3</v>
      </c>
    </row>
    <row r="514" spans="2:4">
      <c r="B514" s="443">
        <f t="shared" si="13"/>
        <v>43983</v>
      </c>
      <c r="C514" s="125">
        <v>0.73</v>
      </c>
      <c r="D514" s="74">
        <f t="shared" si="12"/>
        <v>7.3000000000000001E-3</v>
      </c>
    </row>
    <row r="515" spans="2:4">
      <c r="B515" s="443">
        <f t="shared" si="13"/>
        <v>44013</v>
      </c>
      <c r="C515" s="125">
        <v>0.62</v>
      </c>
      <c r="D515" s="74">
        <f t="shared" si="12"/>
        <v>6.1999999999999998E-3</v>
      </c>
    </row>
    <row r="516" spans="2:4">
      <c r="B516" s="443">
        <f t="shared" si="13"/>
        <v>44044</v>
      </c>
      <c r="C516" s="125">
        <v>0.65</v>
      </c>
      <c r="D516" s="74">
        <f t="shared" si="12"/>
        <v>6.5000000000000006E-3</v>
      </c>
    </row>
    <row r="517" spans="2:4">
      <c r="B517" s="443">
        <f t="shared" si="13"/>
        <v>44075</v>
      </c>
      <c r="C517" s="125">
        <v>0.68</v>
      </c>
      <c r="D517" s="74">
        <f t="shared" si="12"/>
        <v>6.8000000000000005E-3</v>
      </c>
    </row>
    <row r="518" spans="2:4">
      <c r="B518" s="443">
        <f t="shared" si="13"/>
        <v>44105</v>
      </c>
      <c r="C518" s="125">
        <v>0.79</v>
      </c>
      <c r="D518" s="74">
        <f t="shared" si="12"/>
        <v>7.9000000000000008E-3</v>
      </c>
    </row>
    <row r="519" spans="2:4">
      <c r="B519" s="443">
        <f t="shared" si="13"/>
        <v>44136</v>
      </c>
      <c r="C519" s="125">
        <v>0.87</v>
      </c>
      <c r="D519" s="74">
        <f t="shared" si="12"/>
        <v>8.6999999999999994E-3</v>
      </c>
    </row>
    <row r="520" spans="2:4">
      <c r="B520" s="443">
        <f t="shared" si="13"/>
        <v>44166</v>
      </c>
      <c r="C520" s="125">
        <v>0.93</v>
      </c>
      <c r="D520" s="74">
        <f t="shared" si="12"/>
        <v>9.300000000000001E-3</v>
      </c>
    </row>
    <row r="521" spans="2:4">
      <c r="B521" s="443">
        <f t="shared" si="13"/>
        <v>44197</v>
      </c>
      <c r="C521" s="125">
        <v>1.08</v>
      </c>
      <c r="D521" s="74">
        <f t="shared" si="12"/>
        <v>1.0800000000000001E-2</v>
      </c>
    </row>
    <row r="522" spans="2:4">
      <c r="B522" s="443">
        <f t="shared" si="13"/>
        <v>44228</v>
      </c>
      <c r="C522" s="125">
        <v>1.26</v>
      </c>
      <c r="D522" s="74">
        <f t="shared" si="12"/>
        <v>1.26E-2</v>
      </c>
    </row>
    <row r="523" spans="2:4">
      <c r="B523" s="443">
        <f t="shared" si="13"/>
        <v>44256</v>
      </c>
      <c r="C523" s="125">
        <v>1.61</v>
      </c>
      <c r="D523" s="74">
        <f t="shared" si="12"/>
        <v>1.61E-2</v>
      </c>
    </row>
    <row r="524" spans="2:4">
      <c r="B524" s="443">
        <f t="shared" si="13"/>
        <v>44287</v>
      </c>
      <c r="C524" s="125">
        <v>1.64</v>
      </c>
      <c r="D524" s="74">
        <f t="shared" si="12"/>
        <v>1.6399999999999998E-2</v>
      </c>
    </row>
    <row r="525" spans="2:4">
      <c r="B525" s="443">
        <f t="shared" si="13"/>
        <v>44317</v>
      </c>
      <c r="C525" s="125">
        <v>1.62</v>
      </c>
      <c r="D525" s="74">
        <f t="shared" si="12"/>
        <v>1.6200000000000003E-2</v>
      </c>
    </row>
    <row r="526" spans="2:4">
      <c r="B526" s="443">
        <f t="shared" si="13"/>
        <v>44348</v>
      </c>
      <c r="C526" s="125">
        <v>1.52</v>
      </c>
      <c r="D526" s="74">
        <f t="shared" si="12"/>
        <v>1.52E-2</v>
      </c>
    </row>
    <row r="527" spans="2:4">
      <c r="B527" s="443">
        <f t="shared" si="13"/>
        <v>44378</v>
      </c>
      <c r="C527" s="125">
        <v>1.32</v>
      </c>
      <c r="D527" s="74">
        <f t="shared" si="12"/>
        <v>1.32E-2</v>
      </c>
    </row>
    <row r="528" spans="2:4">
      <c r="B528" s="443">
        <f t="shared" si="13"/>
        <v>44409</v>
      </c>
      <c r="C528" s="125">
        <v>1.28</v>
      </c>
      <c r="D528" s="74">
        <f t="shared" si="12"/>
        <v>1.2800000000000001E-2</v>
      </c>
    </row>
    <row r="529" spans="2:4">
      <c r="B529" s="443">
        <f t="shared" si="13"/>
        <v>44440</v>
      </c>
      <c r="C529" s="125">
        <v>1.37</v>
      </c>
      <c r="D529" s="74">
        <f t="shared" si="12"/>
        <v>1.37E-2</v>
      </c>
    </row>
    <row r="530" spans="2:4">
      <c r="B530" s="443">
        <f t="shared" si="13"/>
        <v>44470</v>
      </c>
      <c r="C530" s="125">
        <v>1.58</v>
      </c>
      <c r="D530" s="74">
        <f t="shared" ref="D530:D532" si="14">C530/100</f>
        <v>1.5800000000000002E-2</v>
      </c>
    </row>
    <row r="531" spans="2:4">
      <c r="B531" s="443">
        <f t="shared" si="13"/>
        <v>44501</v>
      </c>
      <c r="C531" s="125">
        <v>1.56</v>
      </c>
      <c r="D531" s="74">
        <f t="shared" si="14"/>
        <v>1.5600000000000001E-2</v>
      </c>
    </row>
    <row r="532" spans="2:4">
      <c r="B532" s="443">
        <f t="shared" si="13"/>
        <v>44531</v>
      </c>
      <c r="C532" s="125">
        <v>1.47</v>
      </c>
      <c r="D532" s="74">
        <f t="shared" si="14"/>
        <v>1.47E-2</v>
      </c>
    </row>
    <row r="533" spans="2:4">
      <c r="B533" s="443">
        <f t="shared" si="13"/>
        <v>44562</v>
      </c>
      <c r="C533" s="125">
        <v>1.76</v>
      </c>
      <c r="D533" s="74">
        <f t="shared" ref="D533:D538" si="15">C533/100</f>
        <v>1.7600000000000001E-2</v>
      </c>
    </row>
    <row r="534" spans="2:4">
      <c r="B534" s="443">
        <f t="shared" si="13"/>
        <v>44593</v>
      </c>
      <c r="C534" s="125">
        <v>1.93</v>
      </c>
      <c r="D534" s="74">
        <f t="shared" si="15"/>
        <v>1.9299999999999998E-2</v>
      </c>
    </row>
    <row r="535" spans="2:4">
      <c r="B535" s="443">
        <f t="shared" si="13"/>
        <v>44621</v>
      </c>
      <c r="C535" s="125">
        <v>2.13</v>
      </c>
      <c r="D535" s="74">
        <f t="shared" si="15"/>
        <v>2.1299999999999999E-2</v>
      </c>
    </row>
    <row r="536" spans="2:4">
      <c r="B536" s="443">
        <f t="shared" si="13"/>
        <v>44652</v>
      </c>
      <c r="C536" s="125">
        <v>2.75</v>
      </c>
      <c r="D536" s="74">
        <f t="shared" si="15"/>
        <v>2.75E-2</v>
      </c>
    </row>
    <row r="537" spans="2:4">
      <c r="B537" s="443">
        <f t="shared" si="13"/>
        <v>44682</v>
      </c>
      <c r="C537" s="125">
        <v>2.9</v>
      </c>
      <c r="D537" s="74">
        <f t="shared" si="15"/>
        <v>2.8999999999999998E-2</v>
      </c>
    </row>
    <row r="538" spans="2:4">
      <c r="B538" s="443">
        <f t="shared" ref="B538" si="16">EOMONTH(B537, 0 ) + 1</f>
        <v>44713</v>
      </c>
      <c r="C538" s="125">
        <v>3.14</v>
      </c>
      <c r="D538" s="74">
        <f t="shared" si="15"/>
        <v>3.1400000000000004E-2</v>
      </c>
    </row>
    <row r="539" spans="2:4">
      <c r="B539" s="443">
        <f t="shared" si="13"/>
        <v>44743</v>
      </c>
      <c r="C539" s="125">
        <v>2.9</v>
      </c>
      <c r="D539" s="74">
        <f t="shared" ref="D539:D541" si="17">C539/100</f>
        <v>2.8999999999999998E-2</v>
      </c>
    </row>
    <row r="540" spans="2:4">
      <c r="B540" s="443">
        <f t="shared" ref="B540:B550" si="18">EOMONTH(B539, 0 ) + 1</f>
        <v>44774</v>
      </c>
      <c r="C540" s="125">
        <v>2.9</v>
      </c>
      <c r="D540" s="74">
        <f t="shared" si="17"/>
        <v>2.8999999999999998E-2</v>
      </c>
    </row>
    <row r="541" spans="2:4">
      <c r="B541" s="443">
        <f t="shared" si="18"/>
        <v>44805</v>
      </c>
      <c r="C541" s="125">
        <v>3.52</v>
      </c>
      <c r="D541" s="74">
        <f t="shared" si="17"/>
        <v>3.5200000000000002E-2</v>
      </c>
    </row>
    <row r="542" spans="2:4">
      <c r="B542" s="443">
        <f t="shared" si="18"/>
        <v>44835</v>
      </c>
      <c r="C542" s="125">
        <v>3.98</v>
      </c>
      <c r="D542" s="74">
        <f t="shared" ref="D542:D544" si="19">C542/100</f>
        <v>3.9800000000000002E-2</v>
      </c>
    </row>
    <row r="543" spans="2:4">
      <c r="B543" s="443">
        <f t="shared" si="18"/>
        <v>44866</v>
      </c>
      <c r="C543" s="125">
        <v>3.89</v>
      </c>
      <c r="D543" s="74">
        <f t="shared" si="19"/>
        <v>3.8900000000000004E-2</v>
      </c>
    </row>
    <row r="544" spans="2:4">
      <c r="B544" s="443">
        <f t="shared" si="18"/>
        <v>44896</v>
      </c>
      <c r="C544" s="125">
        <v>3.62</v>
      </c>
      <c r="D544" s="74">
        <f t="shared" si="19"/>
        <v>3.6200000000000003E-2</v>
      </c>
    </row>
    <row r="545" spans="2:6">
      <c r="B545" s="443">
        <f t="shared" si="18"/>
        <v>44927</v>
      </c>
      <c r="C545" s="125">
        <v>3.53</v>
      </c>
      <c r="D545" s="74">
        <f t="shared" ref="D545:D547" si="20">C545/100</f>
        <v>3.5299999999999998E-2</v>
      </c>
    </row>
    <row r="546" spans="2:6">
      <c r="B546" s="443">
        <f t="shared" si="18"/>
        <v>44958</v>
      </c>
      <c r="C546" s="125">
        <v>3.75</v>
      </c>
      <c r="D546" s="74">
        <f t="shared" si="20"/>
        <v>3.7499999999999999E-2</v>
      </c>
    </row>
    <row r="547" spans="2:6">
      <c r="B547" s="443">
        <f t="shared" si="18"/>
        <v>44986</v>
      </c>
      <c r="C547" s="125">
        <v>3.66</v>
      </c>
      <c r="D547" s="74">
        <f t="shared" si="20"/>
        <v>3.6600000000000001E-2</v>
      </c>
    </row>
    <row r="548" spans="2:6">
      <c r="B548" s="443">
        <f t="shared" si="18"/>
        <v>45017</v>
      </c>
      <c r="C548" s="125">
        <v>3.46</v>
      </c>
      <c r="D548" s="74">
        <f t="shared" ref="D548:D553" si="21">C548/100</f>
        <v>3.4599999999999999E-2</v>
      </c>
      <c r="F548" s="484"/>
    </row>
    <row r="549" spans="2:6">
      <c r="B549" s="443">
        <f t="shared" si="18"/>
        <v>45047</v>
      </c>
      <c r="C549" s="125">
        <v>3.57</v>
      </c>
      <c r="D549" s="74">
        <f t="shared" si="21"/>
        <v>3.5699999999999996E-2</v>
      </c>
      <c r="F549" s="484"/>
    </row>
    <row r="550" spans="2:6">
      <c r="B550" s="443">
        <f t="shared" si="18"/>
        <v>45078</v>
      </c>
      <c r="C550" s="125">
        <v>3.75</v>
      </c>
      <c r="D550" s="74">
        <f t="shared" si="21"/>
        <v>3.7499999999999999E-2</v>
      </c>
      <c r="F550" s="484"/>
    </row>
    <row r="551" spans="2:6">
      <c r="B551" s="443">
        <f t="shared" ref="B551:B568" si="22">EOMONTH(B550,0)+1</f>
        <v>45108</v>
      </c>
      <c r="C551" s="125">
        <v>3.9</v>
      </c>
      <c r="D551" s="74">
        <f t="shared" si="21"/>
        <v>3.9E-2</v>
      </c>
    </row>
    <row r="552" spans="2:6">
      <c r="B552" s="443">
        <f t="shared" si="22"/>
        <v>45139</v>
      </c>
      <c r="C552" s="125">
        <v>4.17</v>
      </c>
      <c r="D552" s="74">
        <f t="shared" si="21"/>
        <v>4.1700000000000001E-2</v>
      </c>
    </row>
    <row r="553" spans="2:6">
      <c r="B553" s="443">
        <f t="shared" si="22"/>
        <v>45170</v>
      </c>
      <c r="C553" s="125">
        <v>4.38</v>
      </c>
      <c r="D553" s="74">
        <f t="shared" si="21"/>
        <v>4.3799999999999999E-2</v>
      </c>
    </row>
    <row r="554" spans="2:6">
      <c r="B554" s="443">
        <f t="shared" si="22"/>
        <v>45200</v>
      </c>
      <c r="C554" s="125">
        <v>4.8</v>
      </c>
      <c r="D554" s="74">
        <f t="shared" ref="D554:D568" si="23">C554/100</f>
        <v>4.8000000000000001E-2</v>
      </c>
    </row>
    <row r="555" spans="2:6">
      <c r="B555" s="443">
        <f t="shared" si="22"/>
        <v>45231</v>
      </c>
      <c r="C555" s="125">
        <v>4.5</v>
      </c>
      <c r="D555" s="74">
        <f t="shared" si="23"/>
        <v>4.4999999999999998E-2</v>
      </c>
    </row>
    <row r="556" spans="2:6">
      <c r="B556" s="443">
        <f t="shared" si="22"/>
        <v>45261</v>
      </c>
      <c r="C556" s="125">
        <v>4.0199999999999996</v>
      </c>
      <c r="D556" s="74">
        <f t="shared" si="23"/>
        <v>4.0199999999999993E-2</v>
      </c>
    </row>
    <row r="557" spans="2:6">
      <c r="B557" s="443">
        <f t="shared" si="22"/>
        <v>45292</v>
      </c>
      <c r="C557" s="125">
        <v>4.0599999999999996</v>
      </c>
      <c r="D557" s="74">
        <f t="shared" si="23"/>
        <v>4.0599999999999997E-2</v>
      </c>
    </row>
    <row r="558" spans="2:6">
      <c r="B558" s="443">
        <f t="shared" si="22"/>
        <v>45323</v>
      </c>
      <c r="C558" s="125">
        <v>4.21</v>
      </c>
      <c r="D558" s="74">
        <f t="shared" si="23"/>
        <v>4.2099999999999999E-2</v>
      </c>
    </row>
    <row r="559" spans="2:6">
      <c r="B559" s="443">
        <f t="shared" si="22"/>
        <v>45352</v>
      </c>
      <c r="C559" s="125">
        <v>4.21</v>
      </c>
      <c r="D559" s="74">
        <f t="shared" si="23"/>
        <v>4.2099999999999999E-2</v>
      </c>
    </row>
    <row r="560" spans="2:6">
      <c r="B560" s="443">
        <f t="shared" si="22"/>
        <v>45383</v>
      </c>
      <c r="C560" s="125">
        <v>4.54</v>
      </c>
      <c r="D560" s="74">
        <f t="shared" si="23"/>
        <v>4.5400000000000003E-2</v>
      </c>
    </row>
    <row r="561" spans="2:4">
      <c r="B561" s="443">
        <f t="shared" si="22"/>
        <v>45413</v>
      </c>
      <c r="C561" s="125">
        <v>4.4800000000000004</v>
      </c>
      <c r="D561" s="74">
        <f t="shared" si="23"/>
        <v>4.4800000000000006E-2</v>
      </c>
    </row>
    <row r="562" spans="2:4">
      <c r="B562" s="443">
        <f t="shared" si="22"/>
        <v>45444</v>
      </c>
      <c r="C562" s="125">
        <v>4.3099999999999996</v>
      </c>
      <c r="D562" s="74">
        <f t="shared" si="23"/>
        <v>4.3099999999999999E-2</v>
      </c>
    </row>
    <row r="563" spans="2:4">
      <c r="B563" s="443">
        <f t="shared" si="22"/>
        <v>45474</v>
      </c>
      <c r="C563" s="125">
        <v>4.25</v>
      </c>
      <c r="D563" s="74">
        <f t="shared" si="23"/>
        <v>4.2500000000000003E-2</v>
      </c>
    </row>
    <row r="564" spans="2:4">
      <c r="B564" s="443">
        <f t="shared" si="22"/>
        <v>45505</v>
      </c>
      <c r="C564" s="125">
        <v>3.87</v>
      </c>
      <c r="D564" s="74">
        <f t="shared" si="23"/>
        <v>3.8699999999999998E-2</v>
      </c>
    </row>
    <row r="565" spans="2:4">
      <c r="B565" s="443">
        <f t="shared" si="22"/>
        <v>45536</v>
      </c>
      <c r="C565" s="125">
        <v>3.72</v>
      </c>
      <c r="D565" s="74">
        <f t="shared" si="23"/>
        <v>3.7200000000000004E-2</v>
      </c>
    </row>
    <row r="566" spans="2:4">
      <c r="B566" s="443">
        <f t="shared" si="22"/>
        <v>45566</v>
      </c>
      <c r="C566" s="125">
        <v>4.0999999999999996</v>
      </c>
      <c r="D566" s="74">
        <f t="shared" si="23"/>
        <v>4.0999999999999995E-2</v>
      </c>
    </row>
    <row r="567" spans="2:4">
      <c r="B567" s="443">
        <f t="shared" si="22"/>
        <v>45597</v>
      </c>
      <c r="C567" s="125">
        <v>4.3600000000000003</v>
      </c>
      <c r="D567" s="74">
        <f t="shared" si="23"/>
        <v>4.36E-2</v>
      </c>
    </row>
    <row r="568" spans="2:4">
      <c r="B568" s="443">
        <f t="shared" si="22"/>
        <v>45627</v>
      </c>
      <c r="C568" s="125">
        <v>4.3899999999999997</v>
      </c>
      <c r="D568" s="74">
        <f t="shared" si="23"/>
        <v>4.3899999999999995E-2</v>
      </c>
    </row>
  </sheetData>
  <mergeCells count="1">
    <mergeCell ref="A1:B1"/>
  </mergeCells>
  <phoneticPr fontId="6" type="noConversion"/>
  <hyperlinks>
    <hyperlink ref="C23" r:id="rId1" xr:uid="{00000000-0004-0000-0500-000000000000}"/>
    <hyperlink ref="A1" location="Index!A1" display="Return to Index" xr:uid="{00000000-0004-0000-0500-000001000000}"/>
    <hyperlink ref="A1:B1" location="Contents!A1" display="Go to Contents" xr:uid="{00000000-0004-0000-0500-000002000000}"/>
  </hyperlinks>
  <pageMargins left="0.25" right="0.25" top="0.28000000000000003" bottom="0.27" header="0.2" footer="0.21"/>
  <pageSetup scale="7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outlinePr summaryBelow="0" summaryRight="0"/>
  </sheetPr>
  <dimension ref="A1:F4000"/>
  <sheetViews>
    <sheetView showGridLines="0" zoomScaleNormal="100" workbookViewId="0">
      <selection sqref="A1:B1"/>
    </sheetView>
  </sheetViews>
  <sheetFormatPr defaultColWidth="8.42578125" defaultRowHeight="12.75"/>
  <cols>
    <col min="1" max="1" width="3.5703125" style="3" customWidth="1"/>
    <col min="2" max="2" width="12.5703125" style="7" customWidth="1"/>
    <col min="3" max="3" width="8.42578125" style="6"/>
    <col min="4" max="4" width="12.42578125" style="6" customWidth="1"/>
    <col min="5" max="16384" width="8.42578125" style="3"/>
  </cols>
  <sheetData>
    <row r="1" spans="1:4">
      <c r="A1" s="594" t="s">
        <v>346</v>
      </c>
      <c r="B1" s="596"/>
    </row>
    <row r="2" spans="1:4" ht="18.75">
      <c r="B2" s="106" t="s">
        <v>169</v>
      </c>
    </row>
    <row r="3" spans="1:4">
      <c r="C3" s="3"/>
      <c r="D3" s="3"/>
    </row>
    <row r="4" spans="1:4">
      <c r="C4" s="3"/>
      <c r="D4" s="3"/>
    </row>
    <row r="5" spans="1:4">
      <c r="C5" s="3"/>
      <c r="D5" s="3"/>
    </row>
    <row r="6" spans="1:4">
      <c r="C6" s="3"/>
      <c r="D6" s="3"/>
    </row>
    <row r="7" spans="1:4">
      <c r="C7" s="3"/>
      <c r="D7" s="3"/>
    </row>
    <row r="8" spans="1:4">
      <c r="C8" s="3"/>
      <c r="D8" s="3"/>
    </row>
    <row r="9" spans="1:4">
      <c r="C9" s="3"/>
      <c r="D9" s="3"/>
    </row>
    <row r="10" spans="1:4">
      <c r="C10" s="3"/>
      <c r="D10" s="3"/>
    </row>
    <row r="11" spans="1:4">
      <c r="C11" s="3"/>
      <c r="D11" s="3"/>
    </row>
    <row r="12" spans="1:4">
      <c r="C12" s="3"/>
      <c r="D12" s="3"/>
    </row>
    <row r="13" spans="1:4">
      <c r="C13" s="3"/>
      <c r="D13" s="3"/>
    </row>
    <row r="14" spans="1:4">
      <c r="C14" s="3"/>
      <c r="D14" s="3"/>
    </row>
    <row r="15" spans="1:4">
      <c r="C15" s="3"/>
      <c r="D15" s="3"/>
    </row>
    <row r="16" spans="1:4">
      <c r="C16" s="3"/>
      <c r="D16" s="3"/>
    </row>
    <row r="17" spans="2:6">
      <c r="C17" s="3"/>
      <c r="D17" s="3"/>
    </row>
    <row r="18" spans="2:6">
      <c r="C18" s="3"/>
      <c r="D18" s="3"/>
    </row>
    <row r="19" spans="2:6">
      <c r="C19" s="3"/>
      <c r="D19" s="3"/>
    </row>
    <row r="20" spans="2:6">
      <c r="C20" s="3"/>
      <c r="D20" s="3"/>
    </row>
    <row r="21" spans="2:6">
      <c r="C21" s="3"/>
      <c r="D21" s="3"/>
    </row>
    <row r="22" spans="2:6">
      <c r="C22" s="26" t="s">
        <v>168</v>
      </c>
      <c r="D22" s="3"/>
    </row>
    <row r="23" spans="2:6">
      <c r="C23" s="31" t="s">
        <v>200</v>
      </c>
      <c r="D23" s="3"/>
    </row>
    <row r="24" spans="2:6">
      <c r="C24" s="3"/>
      <c r="D24" s="3"/>
    </row>
    <row r="25" spans="2:6">
      <c r="C25" s="3"/>
      <c r="D25" s="3"/>
    </row>
    <row r="26" spans="2:6">
      <c r="C26" s="3"/>
      <c r="D26" s="3"/>
    </row>
    <row r="27" spans="2:6">
      <c r="C27" s="3"/>
      <c r="D27" s="3"/>
    </row>
    <row r="28" spans="2:6">
      <c r="C28" s="3"/>
      <c r="D28" s="3"/>
    </row>
    <row r="29" spans="2:6">
      <c r="B29" s="128" t="s">
        <v>293</v>
      </c>
      <c r="C29" s="129" t="s">
        <v>294</v>
      </c>
      <c r="D29" s="129" t="s">
        <v>295</v>
      </c>
    </row>
    <row r="30" spans="2:6" ht="13.5">
      <c r="B30" s="121">
        <v>40182</v>
      </c>
      <c r="C30" s="123">
        <v>3.85</v>
      </c>
      <c r="D30" s="73">
        <f>IF( LEN( C30 ) = 0, #N/A, IF( C30 = "ND",#REF!, C30 / 100 ) )</f>
        <v>3.85E-2</v>
      </c>
      <c r="F30" s="33"/>
    </row>
    <row r="31" spans="2:6" ht="13.5">
      <c r="B31" s="121">
        <v>40183</v>
      </c>
      <c r="C31" s="123">
        <v>3.77</v>
      </c>
      <c r="D31" s="73">
        <f t="shared" ref="D31:D90" si="0">IF( LEN( C31 ) = 0, #N/A, IF( C31 = "ND", D30, C31 / 100 ) )</f>
        <v>3.7699999999999997E-2</v>
      </c>
      <c r="F31" s="33"/>
    </row>
    <row r="32" spans="2:6" ht="13.5">
      <c r="B32" s="121">
        <v>40184</v>
      </c>
      <c r="C32" s="123">
        <v>3.85</v>
      </c>
      <c r="D32" s="73">
        <f t="shared" si="0"/>
        <v>3.85E-2</v>
      </c>
      <c r="F32" s="33"/>
    </row>
    <row r="33" spans="2:6" ht="13.5">
      <c r="B33" s="121">
        <v>40185</v>
      </c>
      <c r="C33" s="123">
        <v>3.85</v>
      </c>
      <c r="D33" s="73">
        <f t="shared" si="0"/>
        <v>3.85E-2</v>
      </c>
      <c r="F33" s="33"/>
    </row>
    <row r="34" spans="2:6" ht="13.5">
      <c r="B34" s="121">
        <v>40186</v>
      </c>
      <c r="C34" s="123">
        <v>3.83</v>
      </c>
      <c r="D34" s="73">
        <f t="shared" si="0"/>
        <v>3.8300000000000001E-2</v>
      </c>
      <c r="F34" s="33"/>
    </row>
    <row r="35" spans="2:6" ht="13.5">
      <c r="B35" s="121">
        <v>40189</v>
      </c>
      <c r="C35" s="123">
        <v>3.85</v>
      </c>
      <c r="D35" s="73">
        <f t="shared" si="0"/>
        <v>3.85E-2</v>
      </c>
      <c r="F35" s="33"/>
    </row>
    <row r="36" spans="2:6" ht="13.5">
      <c r="B36" s="121">
        <v>40190</v>
      </c>
      <c r="C36" s="123">
        <v>3.74</v>
      </c>
      <c r="D36" s="73">
        <f t="shared" si="0"/>
        <v>3.7400000000000003E-2</v>
      </c>
      <c r="F36" s="33"/>
    </row>
    <row r="37" spans="2:6" ht="13.5">
      <c r="B37" s="121">
        <v>40191</v>
      </c>
      <c r="C37" s="123">
        <v>3.8</v>
      </c>
      <c r="D37" s="73">
        <f t="shared" si="0"/>
        <v>3.7999999999999999E-2</v>
      </c>
      <c r="F37" s="33"/>
    </row>
    <row r="38" spans="2:6" ht="13.5">
      <c r="B38" s="121">
        <v>40192</v>
      </c>
      <c r="C38" s="123">
        <v>3.76</v>
      </c>
      <c r="D38" s="73">
        <f t="shared" si="0"/>
        <v>3.7599999999999995E-2</v>
      </c>
      <c r="F38" s="33"/>
    </row>
    <row r="39" spans="2:6" ht="13.5">
      <c r="B39" s="121">
        <v>40193</v>
      </c>
      <c r="C39" s="123">
        <v>3.7</v>
      </c>
      <c r="D39" s="73">
        <f t="shared" si="0"/>
        <v>3.7000000000000005E-2</v>
      </c>
      <c r="F39" s="33"/>
    </row>
    <row r="40" spans="2:6" ht="13.5">
      <c r="B40" s="121">
        <v>40197</v>
      </c>
      <c r="C40" s="123">
        <v>3.73</v>
      </c>
      <c r="D40" s="73">
        <f t="shared" si="0"/>
        <v>3.73E-2</v>
      </c>
      <c r="F40" s="33"/>
    </row>
    <row r="41" spans="2:6" ht="13.5">
      <c r="B41" s="121">
        <v>40198</v>
      </c>
      <c r="C41" s="123">
        <v>3.68</v>
      </c>
      <c r="D41" s="73">
        <f t="shared" si="0"/>
        <v>3.6799999999999999E-2</v>
      </c>
      <c r="F41" s="33"/>
    </row>
    <row r="42" spans="2:6" ht="13.5">
      <c r="B42" s="121">
        <v>40199</v>
      </c>
      <c r="C42" s="123">
        <v>3.62</v>
      </c>
      <c r="D42" s="73">
        <f t="shared" si="0"/>
        <v>3.6200000000000003E-2</v>
      </c>
      <c r="F42" s="33"/>
    </row>
    <row r="43" spans="2:6" ht="13.5">
      <c r="B43" s="121">
        <v>40200</v>
      </c>
      <c r="C43" s="123">
        <v>3.62</v>
      </c>
      <c r="D43" s="73">
        <f t="shared" si="0"/>
        <v>3.6200000000000003E-2</v>
      </c>
      <c r="F43" s="33"/>
    </row>
    <row r="44" spans="2:6" ht="13.5">
      <c r="B44" s="121">
        <v>40203</v>
      </c>
      <c r="C44" s="123">
        <v>3.66</v>
      </c>
      <c r="D44" s="73">
        <f t="shared" si="0"/>
        <v>3.6600000000000001E-2</v>
      </c>
      <c r="F44" s="33"/>
    </row>
    <row r="45" spans="2:6" ht="13.5">
      <c r="B45" s="121">
        <v>40204</v>
      </c>
      <c r="C45" s="123">
        <v>3.65</v>
      </c>
      <c r="D45" s="73">
        <f t="shared" si="0"/>
        <v>3.6499999999999998E-2</v>
      </c>
      <c r="F45" s="33"/>
    </row>
    <row r="46" spans="2:6" ht="13.5">
      <c r="B46" s="121">
        <v>40205</v>
      </c>
      <c r="C46" s="123">
        <v>3.66</v>
      </c>
      <c r="D46" s="73">
        <f t="shared" si="0"/>
        <v>3.6600000000000001E-2</v>
      </c>
      <c r="F46" s="33"/>
    </row>
    <row r="47" spans="2:6" ht="13.5">
      <c r="B47" s="121">
        <v>40206</v>
      </c>
      <c r="C47" s="123">
        <v>3.68</v>
      </c>
      <c r="D47" s="73">
        <f t="shared" si="0"/>
        <v>3.6799999999999999E-2</v>
      </c>
      <c r="F47" s="33"/>
    </row>
    <row r="48" spans="2:6" ht="13.5">
      <c r="B48" s="121">
        <v>40207</v>
      </c>
      <c r="C48" s="123">
        <v>3.63</v>
      </c>
      <c r="D48" s="73">
        <f t="shared" si="0"/>
        <v>3.6299999999999999E-2</v>
      </c>
      <c r="F48" s="33"/>
    </row>
    <row r="49" spans="2:6" ht="13.5">
      <c r="B49" s="121">
        <v>40210</v>
      </c>
      <c r="C49" s="123">
        <v>3.68</v>
      </c>
      <c r="D49" s="73">
        <f t="shared" si="0"/>
        <v>3.6799999999999999E-2</v>
      </c>
      <c r="F49" s="33"/>
    </row>
    <row r="50" spans="2:6" ht="13.5">
      <c r="B50" s="121">
        <v>40211</v>
      </c>
      <c r="C50" s="123">
        <v>3.67</v>
      </c>
      <c r="D50" s="73">
        <f t="shared" si="0"/>
        <v>3.6699999999999997E-2</v>
      </c>
      <c r="F50" s="33"/>
    </row>
    <row r="51" spans="2:6" ht="13.5">
      <c r="B51" s="121">
        <v>40212</v>
      </c>
      <c r="C51" s="123">
        <v>3.73</v>
      </c>
      <c r="D51" s="73">
        <f t="shared" si="0"/>
        <v>3.73E-2</v>
      </c>
      <c r="F51" s="33"/>
    </row>
    <row r="52" spans="2:6" ht="13.5">
      <c r="B52" s="121">
        <v>40213</v>
      </c>
      <c r="C52" s="123">
        <v>3.62</v>
      </c>
      <c r="D52" s="73">
        <f t="shared" si="0"/>
        <v>3.6200000000000003E-2</v>
      </c>
      <c r="F52" s="33"/>
    </row>
    <row r="53" spans="2:6" ht="13.5">
      <c r="B53" s="121">
        <v>40214</v>
      </c>
      <c r="C53" s="123">
        <v>3.59</v>
      </c>
      <c r="D53" s="73">
        <f t="shared" si="0"/>
        <v>3.5900000000000001E-2</v>
      </c>
      <c r="F53" s="33"/>
    </row>
    <row r="54" spans="2:6" ht="13.5">
      <c r="B54" s="121">
        <v>40217</v>
      </c>
      <c r="C54" s="123">
        <v>3.62</v>
      </c>
      <c r="D54" s="73">
        <f t="shared" si="0"/>
        <v>3.6200000000000003E-2</v>
      </c>
      <c r="F54" s="33"/>
    </row>
    <row r="55" spans="2:6" ht="13.5">
      <c r="B55" s="121">
        <v>40218</v>
      </c>
      <c r="C55" s="123">
        <v>3.67</v>
      </c>
      <c r="D55" s="73">
        <f t="shared" si="0"/>
        <v>3.6699999999999997E-2</v>
      </c>
      <c r="F55" s="33"/>
    </row>
    <row r="56" spans="2:6" ht="13.5">
      <c r="B56" s="121">
        <v>40219</v>
      </c>
      <c r="C56" s="123">
        <v>3.72</v>
      </c>
      <c r="D56" s="73">
        <f t="shared" si="0"/>
        <v>3.7200000000000004E-2</v>
      </c>
      <c r="F56" s="33"/>
    </row>
    <row r="57" spans="2:6" ht="13.5">
      <c r="B57" s="121">
        <v>40220</v>
      </c>
      <c r="C57" s="123">
        <v>3.73</v>
      </c>
      <c r="D57" s="73">
        <f t="shared" si="0"/>
        <v>3.73E-2</v>
      </c>
      <c r="F57" s="33"/>
    </row>
    <row r="58" spans="2:6" ht="13.5">
      <c r="B58" s="121">
        <v>40221</v>
      </c>
      <c r="C58" s="123">
        <v>3.69</v>
      </c>
      <c r="D58" s="73">
        <f t="shared" si="0"/>
        <v>3.6900000000000002E-2</v>
      </c>
      <c r="F58" s="33"/>
    </row>
    <row r="59" spans="2:6" ht="13.5">
      <c r="B59" s="121">
        <v>40225</v>
      </c>
      <c r="C59" s="123">
        <v>3.66</v>
      </c>
      <c r="D59" s="73">
        <f t="shared" si="0"/>
        <v>3.6600000000000001E-2</v>
      </c>
      <c r="F59" s="33"/>
    </row>
    <row r="60" spans="2:6" ht="13.5">
      <c r="B60" s="121">
        <v>40226</v>
      </c>
      <c r="C60" s="123">
        <v>3.74</v>
      </c>
      <c r="D60" s="73">
        <f t="shared" si="0"/>
        <v>3.7400000000000003E-2</v>
      </c>
      <c r="F60" s="33"/>
    </row>
    <row r="61" spans="2:6" ht="13.5">
      <c r="B61" s="121">
        <v>40227</v>
      </c>
      <c r="C61" s="123">
        <v>3.79</v>
      </c>
      <c r="D61" s="73">
        <f t="shared" si="0"/>
        <v>3.7900000000000003E-2</v>
      </c>
      <c r="F61" s="33"/>
    </row>
    <row r="62" spans="2:6" ht="13.5">
      <c r="B62" s="121">
        <v>40228</v>
      </c>
      <c r="C62" s="123">
        <v>3.78</v>
      </c>
      <c r="D62" s="73">
        <f t="shared" si="0"/>
        <v>3.78E-2</v>
      </c>
      <c r="F62" s="33"/>
    </row>
    <row r="63" spans="2:6" ht="13.5">
      <c r="B63" s="121">
        <v>40231</v>
      </c>
      <c r="C63" s="123">
        <v>3.8</v>
      </c>
      <c r="D63" s="73">
        <f t="shared" si="0"/>
        <v>3.7999999999999999E-2</v>
      </c>
      <c r="F63" s="33"/>
    </row>
    <row r="64" spans="2:6" ht="13.5">
      <c r="B64" s="121">
        <v>40232</v>
      </c>
      <c r="C64" s="123">
        <v>3.69</v>
      </c>
      <c r="D64" s="73">
        <f t="shared" si="0"/>
        <v>3.6900000000000002E-2</v>
      </c>
      <c r="F64" s="33"/>
    </row>
    <row r="65" spans="2:6" ht="13.5">
      <c r="B65" s="121">
        <v>40233</v>
      </c>
      <c r="C65" s="123">
        <v>3.7</v>
      </c>
      <c r="D65" s="73">
        <f t="shared" si="0"/>
        <v>3.7000000000000005E-2</v>
      </c>
      <c r="F65" s="33"/>
    </row>
    <row r="66" spans="2:6" ht="13.5">
      <c r="B66" s="121">
        <v>40234</v>
      </c>
      <c r="C66" s="123">
        <v>3.64</v>
      </c>
      <c r="D66" s="73">
        <f t="shared" si="0"/>
        <v>3.6400000000000002E-2</v>
      </c>
      <c r="F66" s="33"/>
    </row>
    <row r="67" spans="2:6" ht="13.5">
      <c r="B67" s="121">
        <v>40235</v>
      </c>
      <c r="C67" s="123">
        <v>3.61</v>
      </c>
      <c r="D67" s="73">
        <f t="shared" si="0"/>
        <v>3.61E-2</v>
      </c>
      <c r="F67" s="33"/>
    </row>
    <row r="68" spans="2:6" ht="13.5">
      <c r="B68" s="121">
        <v>40238</v>
      </c>
      <c r="C68" s="123">
        <v>3.61</v>
      </c>
      <c r="D68" s="73">
        <f t="shared" si="0"/>
        <v>3.61E-2</v>
      </c>
      <c r="F68" s="33"/>
    </row>
    <row r="69" spans="2:6" ht="13.5">
      <c r="B69" s="121">
        <v>40239</v>
      </c>
      <c r="C69" s="123">
        <v>3.62</v>
      </c>
      <c r="D69" s="73">
        <f t="shared" si="0"/>
        <v>3.6200000000000003E-2</v>
      </c>
      <c r="F69" s="33"/>
    </row>
    <row r="70" spans="2:6" ht="13.5">
      <c r="B70" s="121">
        <v>40240</v>
      </c>
      <c r="C70" s="123">
        <v>3.63</v>
      </c>
      <c r="D70" s="73">
        <f t="shared" si="0"/>
        <v>3.6299999999999999E-2</v>
      </c>
      <c r="F70" s="33"/>
    </row>
    <row r="71" spans="2:6" ht="13.5">
      <c r="B71" s="121">
        <v>40241</v>
      </c>
      <c r="C71" s="123">
        <v>3.61</v>
      </c>
      <c r="D71" s="73">
        <f t="shared" si="0"/>
        <v>3.61E-2</v>
      </c>
      <c r="F71" s="33"/>
    </row>
    <row r="72" spans="2:6" ht="13.5">
      <c r="B72" s="121">
        <v>40242</v>
      </c>
      <c r="C72" s="123">
        <v>3.69</v>
      </c>
      <c r="D72" s="73">
        <f t="shared" si="0"/>
        <v>3.6900000000000002E-2</v>
      </c>
      <c r="F72" s="33"/>
    </row>
    <row r="73" spans="2:6" ht="13.5">
      <c r="B73" s="121">
        <v>40245</v>
      </c>
      <c r="C73" s="123">
        <v>3.72</v>
      </c>
      <c r="D73" s="73">
        <f t="shared" si="0"/>
        <v>3.7200000000000004E-2</v>
      </c>
      <c r="F73" s="33"/>
    </row>
    <row r="74" spans="2:6" ht="13.5">
      <c r="B74" s="121">
        <v>40246</v>
      </c>
      <c r="C74" s="123">
        <v>3.71</v>
      </c>
      <c r="D74" s="73">
        <f t="shared" si="0"/>
        <v>3.7100000000000001E-2</v>
      </c>
      <c r="F74" s="33"/>
    </row>
    <row r="75" spans="2:6" ht="13.5">
      <c r="B75" s="121">
        <v>40247</v>
      </c>
      <c r="C75" s="123">
        <v>3.73</v>
      </c>
      <c r="D75" s="73">
        <f t="shared" si="0"/>
        <v>3.73E-2</v>
      </c>
      <c r="F75" s="33"/>
    </row>
    <row r="76" spans="2:6" ht="13.5">
      <c r="B76" s="121">
        <v>40248</v>
      </c>
      <c r="C76" s="123">
        <v>3.73</v>
      </c>
      <c r="D76" s="73">
        <f t="shared" si="0"/>
        <v>3.73E-2</v>
      </c>
      <c r="F76" s="33"/>
    </row>
    <row r="77" spans="2:6" ht="13.5">
      <c r="B77" s="121">
        <v>40249</v>
      </c>
      <c r="C77" s="123">
        <v>3.71</v>
      </c>
      <c r="D77" s="73">
        <f t="shared" si="0"/>
        <v>3.7100000000000001E-2</v>
      </c>
      <c r="F77" s="33"/>
    </row>
    <row r="78" spans="2:6" ht="13.5">
      <c r="B78" s="121">
        <v>40252</v>
      </c>
      <c r="C78" s="123">
        <v>3.71</v>
      </c>
      <c r="D78" s="73">
        <f t="shared" si="0"/>
        <v>3.7100000000000001E-2</v>
      </c>
      <c r="F78" s="33"/>
    </row>
    <row r="79" spans="2:6" ht="13.5">
      <c r="B79" s="121">
        <v>40253</v>
      </c>
      <c r="C79" s="123">
        <v>3.66</v>
      </c>
      <c r="D79" s="73">
        <f t="shared" si="0"/>
        <v>3.6600000000000001E-2</v>
      </c>
      <c r="F79" s="33"/>
    </row>
    <row r="80" spans="2:6" ht="13.5">
      <c r="B80" s="121">
        <v>40254</v>
      </c>
      <c r="C80" s="123">
        <v>3.65</v>
      </c>
      <c r="D80" s="73">
        <f t="shared" si="0"/>
        <v>3.6499999999999998E-2</v>
      </c>
      <c r="F80" s="33"/>
    </row>
    <row r="81" spans="2:6" ht="13.5">
      <c r="B81" s="121">
        <v>40255</v>
      </c>
      <c r="C81" s="123">
        <v>3.68</v>
      </c>
      <c r="D81" s="73">
        <f t="shared" si="0"/>
        <v>3.6799999999999999E-2</v>
      </c>
      <c r="F81" s="33"/>
    </row>
    <row r="82" spans="2:6" ht="13.5">
      <c r="B82" s="121">
        <v>40256</v>
      </c>
      <c r="C82" s="123">
        <v>3.7</v>
      </c>
      <c r="D82" s="73">
        <f t="shared" si="0"/>
        <v>3.7000000000000005E-2</v>
      </c>
      <c r="F82" s="33"/>
    </row>
    <row r="83" spans="2:6" ht="13.5">
      <c r="B83" s="121">
        <v>40259</v>
      </c>
      <c r="C83" s="123">
        <v>3.67</v>
      </c>
      <c r="D83" s="73">
        <f t="shared" si="0"/>
        <v>3.6699999999999997E-2</v>
      </c>
      <c r="F83" s="33"/>
    </row>
    <row r="84" spans="2:6" ht="13.5">
      <c r="B84" s="121">
        <v>40260</v>
      </c>
      <c r="C84" s="123">
        <v>3.69</v>
      </c>
      <c r="D84" s="73">
        <f t="shared" si="0"/>
        <v>3.6900000000000002E-2</v>
      </c>
      <c r="F84" s="33"/>
    </row>
    <row r="85" spans="2:6" ht="13.5">
      <c r="B85" s="121">
        <v>40261</v>
      </c>
      <c r="C85" s="123">
        <v>3.84</v>
      </c>
      <c r="D85" s="73">
        <f t="shared" si="0"/>
        <v>3.8399999999999997E-2</v>
      </c>
      <c r="F85" s="33"/>
    </row>
    <row r="86" spans="2:6" ht="13.5">
      <c r="B86" s="121">
        <v>40262</v>
      </c>
      <c r="C86" s="123">
        <v>3.91</v>
      </c>
      <c r="D86" s="73">
        <f t="shared" si="0"/>
        <v>3.9100000000000003E-2</v>
      </c>
      <c r="F86" s="33"/>
    </row>
    <row r="87" spans="2:6" ht="13.5">
      <c r="B87" s="121">
        <v>40263</v>
      </c>
      <c r="C87" s="123">
        <v>3.86</v>
      </c>
      <c r="D87" s="73">
        <f t="shared" si="0"/>
        <v>3.8599999999999995E-2</v>
      </c>
      <c r="F87" s="33"/>
    </row>
    <row r="88" spans="2:6" ht="13.5">
      <c r="B88" s="121">
        <v>40266</v>
      </c>
      <c r="C88" s="123">
        <v>3.88</v>
      </c>
      <c r="D88" s="73">
        <f t="shared" si="0"/>
        <v>3.8800000000000001E-2</v>
      </c>
      <c r="F88" s="33"/>
    </row>
    <row r="89" spans="2:6" ht="13.5">
      <c r="B89" s="121">
        <v>40267</v>
      </c>
      <c r="C89" s="123">
        <v>3.88</v>
      </c>
      <c r="D89" s="73">
        <f t="shared" si="0"/>
        <v>3.8800000000000001E-2</v>
      </c>
      <c r="F89" s="33"/>
    </row>
    <row r="90" spans="2:6" ht="13.5">
      <c r="B90" s="121">
        <v>40268</v>
      </c>
      <c r="C90" s="123">
        <v>3.84</v>
      </c>
      <c r="D90" s="73">
        <f t="shared" si="0"/>
        <v>3.8399999999999997E-2</v>
      </c>
      <c r="F90" s="33"/>
    </row>
    <row r="91" spans="2:6" ht="13.5">
      <c r="B91" s="121">
        <v>40269</v>
      </c>
      <c r="C91" s="123">
        <v>3.89</v>
      </c>
      <c r="D91" s="73">
        <f t="shared" ref="D91:D154" si="1">IF( LEN( C91 ) = 0, #N/A, IF( C91 = "ND", D90, C91 / 100 ) )</f>
        <v>3.8900000000000004E-2</v>
      </c>
      <c r="F91" s="33"/>
    </row>
    <row r="92" spans="2:6" ht="13.5">
      <c r="B92" s="121">
        <v>40270</v>
      </c>
      <c r="C92" s="123">
        <v>3.96</v>
      </c>
      <c r="D92" s="73">
        <f t="shared" si="1"/>
        <v>3.9599999999999996E-2</v>
      </c>
      <c r="F92" s="33"/>
    </row>
    <row r="93" spans="2:6" ht="13.5">
      <c r="B93" s="121">
        <v>40273</v>
      </c>
      <c r="C93" s="123">
        <v>4.01</v>
      </c>
      <c r="D93" s="73">
        <f t="shared" si="1"/>
        <v>4.0099999999999997E-2</v>
      </c>
      <c r="F93" s="33"/>
    </row>
    <row r="94" spans="2:6" ht="13.5">
      <c r="B94" s="121">
        <v>40274</v>
      </c>
      <c r="C94" s="123">
        <v>3.98</v>
      </c>
      <c r="D94" s="73">
        <f t="shared" si="1"/>
        <v>3.9800000000000002E-2</v>
      </c>
      <c r="F94" s="33"/>
    </row>
    <row r="95" spans="2:6" ht="13.5">
      <c r="B95" s="121">
        <v>40275</v>
      </c>
      <c r="C95" s="123">
        <v>3.89</v>
      </c>
      <c r="D95" s="73">
        <f t="shared" si="1"/>
        <v>3.8900000000000004E-2</v>
      </c>
      <c r="F95" s="33"/>
    </row>
    <row r="96" spans="2:6" ht="13.5">
      <c r="B96" s="121">
        <v>40276</v>
      </c>
      <c r="C96" s="123">
        <v>3.91</v>
      </c>
      <c r="D96" s="73">
        <f t="shared" si="1"/>
        <v>3.9100000000000003E-2</v>
      </c>
      <c r="F96" s="33"/>
    </row>
    <row r="97" spans="2:6" ht="13.5">
      <c r="B97" s="121">
        <v>40277</v>
      </c>
      <c r="C97" s="123">
        <v>3.9</v>
      </c>
      <c r="D97" s="73">
        <f t="shared" si="1"/>
        <v>3.9E-2</v>
      </c>
      <c r="F97" s="33"/>
    </row>
    <row r="98" spans="2:6" ht="13.5">
      <c r="B98" s="121">
        <v>40280</v>
      </c>
      <c r="C98" s="123">
        <v>3.87</v>
      </c>
      <c r="D98" s="73">
        <f t="shared" si="1"/>
        <v>3.8699999999999998E-2</v>
      </c>
      <c r="F98" s="33"/>
    </row>
    <row r="99" spans="2:6" ht="13.5">
      <c r="B99" s="121">
        <v>40281</v>
      </c>
      <c r="C99" s="123">
        <v>3.84</v>
      </c>
      <c r="D99" s="73">
        <f t="shared" si="1"/>
        <v>3.8399999999999997E-2</v>
      </c>
      <c r="F99" s="33"/>
    </row>
    <row r="100" spans="2:6" ht="13.5">
      <c r="B100" s="121">
        <v>40282</v>
      </c>
      <c r="C100" s="123">
        <v>3.88</v>
      </c>
      <c r="D100" s="73">
        <f t="shared" si="1"/>
        <v>3.8800000000000001E-2</v>
      </c>
      <c r="F100" s="33"/>
    </row>
    <row r="101" spans="2:6" ht="13.5">
      <c r="B101" s="121">
        <v>40283</v>
      </c>
      <c r="C101" s="123">
        <v>3.86</v>
      </c>
      <c r="D101" s="73">
        <f t="shared" si="1"/>
        <v>3.8599999999999995E-2</v>
      </c>
      <c r="F101" s="33"/>
    </row>
    <row r="102" spans="2:6" ht="13.5">
      <c r="B102" s="121">
        <v>40284</v>
      </c>
      <c r="C102" s="123">
        <v>3.79</v>
      </c>
      <c r="D102" s="73">
        <f t="shared" si="1"/>
        <v>3.7900000000000003E-2</v>
      </c>
      <c r="F102" s="33"/>
    </row>
    <row r="103" spans="2:6" ht="13.5">
      <c r="B103" s="121">
        <v>40287</v>
      </c>
      <c r="C103" s="123">
        <v>3.83</v>
      </c>
      <c r="D103" s="73">
        <f t="shared" si="1"/>
        <v>3.8300000000000001E-2</v>
      </c>
      <c r="F103" s="33"/>
    </row>
    <row r="104" spans="2:6" ht="13.5">
      <c r="B104" s="121">
        <v>40288</v>
      </c>
      <c r="C104" s="123">
        <v>3.82</v>
      </c>
      <c r="D104" s="73">
        <f t="shared" si="1"/>
        <v>3.8199999999999998E-2</v>
      </c>
      <c r="F104" s="33"/>
    </row>
    <row r="105" spans="2:6" ht="13.5">
      <c r="B105" s="121">
        <v>40289</v>
      </c>
      <c r="C105" s="123">
        <v>3.77</v>
      </c>
      <c r="D105" s="73">
        <f t="shared" si="1"/>
        <v>3.7699999999999997E-2</v>
      </c>
      <c r="F105" s="33"/>
    </row>
    <row r="106" spans="2:6" ht="13.5">
      <c r="B106" s="121">
        <v>40290</v>
      </c>
      <c r="C106" s="123">
        <v>3.8</v>
      </c>
      <c r="D106" s="73">
        <f t="shared" si="1"/>
        <v>3.7999999999999999E-2</v>
      </c>
      <c r="F106" s="33"/>
    </row>
    <row r="107" spans="2:6" ht="13.5">
      <c r="B107" s="121">
        <v>40291</v>
      </c>
      <c r="C107" s="123">
        <v>3.84</v>
      </c>
      <c r="D107" s="73">
        <f t="shared" si="1"/>
        <v>3.8399999999999997E-2</v>
      </c>
      <c r="F107" s="33"/>
    </row>
    <row r="108" spans="2:6" ht="13.5">
      <c r="B108" s="121">
        <v>40294</v>
      </c>
      <c r="C108" s="123">
        <v>3.83</v>
      </c>
      <c r="D108" s="73">
        <f t="shared" si="1"/>
        <v>3.8300000000000001E-2</v>
      </c>
      <c r="F108" s="33"/>
    </row>
    <row r="109" spans="2:6" ht="13.5">
      <c r="B109" s="121">
        <v>40295</v>
      </c>
      <c r="C109" s="123">
        <v>3.71</v>
      </c>
      <c r="D109" s="73">
        <f t="shared" si="1"/>
        <v>3.7100000000000001E-2</v>
      </c>
      <c r="F109" s="33"/>
    </row>
    <row r="110" spans="2:6" ht="13.5">
      <c r="B110" s="121">
        <v>40296</v>
      </c>
      <c r="C110" s="123">
        <v>3.8</v>
      </c>
      <c r="D110" s="73">
        <f t="shared" si="1"/>
        <v>3.7999999999999999E-2</v>
      </c>
      <c r="F110" s="33"/>
    </row>
    <row r="111" spans="2:6" ht="13.5">
      <c r="B111" s="121">
        <v>40297</v>
      </c>
      <c r="C111" s="123">
        <v>3.76</v>
      </c>
      <c r="D111" s="73">
        <f t="shared" si="1"/>
        <v>3.7599999999999995E-2</v>
      </c>
      <c r="F111" s="33"/>
    </row>
    <row r="112" spans="2:6" ht="13.5">
      <c r="B112" s="121">
        <v>40298</v>
      </c>
      <c r="C112" s="123">
        <v>3.69</v>
      </c>
      <c r="D112" s="73">
        <f t="shared" si="1"/>
        <v>3.6900000000000002E-2</v>
      </c>
      <c r="F112" s="33"/>
    </row>
    <row r="113" spans="2:6" ht="13.5">
      <c r="B113" s="121">
        <v>40301</v>
      </c>
      <c r="C113" s="123">
        <v>3.72</v>
      </c>
      <c r="D113" s="73">
        <f t="shared" si="1"/>
        <v>3.7200000000000004E-2</v>
      </c>
      <c r="F113" s="33"/>
    </row>
    <row r="114" spans="2:6" ht="13.5">
      <c r="B114" s="121">
        <v>40302</v>
      </c>
      <c r="C114" s="123">
        <v>3.63</v>
      </c>
      <c r="D114" s="73">
        <f t="shared" si="1"/>
        <v>3.6299999999999999E-2</v>
      </c>
      <c r="F114" s="33"/>
    </row>
    <row r="115" spans="2:6" ht="13.5">
      <c r="B115" s="121">
        <v>40303</v>
      </c>
      <c r="C115" s="123">
        <v>3.58</v>
      </c>
      <c r="D115" s="73">
        <f t="shared" si="1"/>
        <v>3.5799999999999998E-2</v>
      </c>
      <c r="F115" s="33"/>
    </row>
    <row r="116" spans="2:6" ht="13.5">
      <c r="B116" s="121">
        <v>40304</v>
      </c>
      <c r="C116" s="123">
        <v>3.41</v>
      </c>
      <c r="D116" s="73">
        <f t="shared" si="1"/>
        <v>3.4099999999999998E-2</v>
      </c>
      <c r="F116" s="33"/>
    </row>
    <row r="117" spans="2:6" ht="13.5">
      <c r="B117" s="121">
        <v>40305</v>
      </c>
      <c r="C117" s="123">
        <v>3.45</v>
      </c>
      <c r="D117" s="73">
        <f t="shared" si="1"/>
        <v>3.4500000000000003E-2</v>
      </c>
      <c r="F117" s="33"/>
    </row>
    <row r="118" spans="2:6" ht="13.5">
      <c r="B118" s="121">
        <v>40308</v>
      </c>
      <c r="C118" s="123">
        <v>3.57</v>
      </c>
      <c r="D118" s="73">
        <f t="shared" si="1"/>
        <v>3.5699999999999996E-2</v>
      </c>
      <c r="F118" s="33"/>
    </row>
    <row r="119" spans="2:6" ht="13.5">
      <c r="B119" s="121">
        <v>40309</v>
      </c>
      <c r="C119" s="123">
        <v>3.56</v>
      </c>
      <c r="D119" s="73">
        <f t="shared" si="1"/>
        <v>3.56E-2</v>
      </c>
      <c r="F119" s="33"/>
    </row>
    <row r="120" spans="2:6" ht="13.5">
      <c r="B120" s="121">
        <v>40310</v>
      </c>
      <c r="C120" s="123">
        <v>3.56</v>
      </c>
      <c r="D120" s="73">
        <f t="shared" si="1"/>
        <v>3.56E-2</v>
      </c>
      <c r="F120" s="33"/>
    </row>
    <row r="121" spans="2:6" ht="13.5">
      <c r="B121" s="121">
        <v>40311</v>
      </c>
      <c r="C121" s="123">
        <v>3.55</v>
      </c>
      <c r="D121" s="73">
        <f t="shared" si="1"/>
        <v>3.5499999999999997E-2</v>
      </c>
      <c r="F121" s="33"/>
    </row>
    <row r="122" spans="2:6" ht="13.5">
      <c r="B122" s="121">
        <v>40312</v>
      </c>
      <c r="C122" s="123">
        <v>3.44</v>
      </c>
      <c r="D122" s="73">
        <f t="shared" si="1"/>
        <v>3.44E-2</v>
      </c>
      <c r="F122" s="33"/>
    </row>
    <row r="123" spans="2:6" ht="13.5">
      <c r="B123" s="121">
        <v>40315</v>
      </c>
      <c r="C123" s="123">
        <v>3.47</v>
      </c>
      <c r="D123" s="73">
        <f t="shared" si="1"/>
        <v>3.4700000000000002E-2</v>
      </c>
      <c r="F123" s="33"/>
    </row>
    <row r="124" spans="2:6" ht="13.5">
      <c r="B124" s="121">
        <v>40316</v>
      </c>
      <c r="C124" s="123">
        <v>3.38</v>
      </c>
      <c r="D124" s="73">
        <f t="shared" si="1"/>
        <v>3.3799999999999997E-2</v>
      </c>
      <c r="F124" s="33"/>
    </row>
    <row r="125" spans="2:6" ht="13.5">
      <c r="B125" s="121">
        <v>40317</v>
      </c>
      <c r="C125" s="123">
        <v>3.36</v>
      </c>
      <c r="D125" s="73">
        <f t="shared" si="1"/>
        <v>3.3599999999999998E-2</v>
      </c>
      <c r="F125" s="33"/>
    </row>
    <row r="126" spans="2:6" ht="13.5">
      <c r="B126" s="121">
        <v>40318</v>
      </c>
      <c r="C126" s="123">
        <v>3.25</v>
      </c>
      <c r="D126" s="73">
        <f t="shared" si="1"/>
        <v>3.2500000000000001E-2</v>
      </c>
      <c r="F126" s="33"/>
    </row>
    <row r="127" spans="2:6" ht="13.5">
      <c r="B127" s="121">
        <v>40319</v>
      </c>
      <c r="C127" s="123">
        <v>3.2</v>
      </c>
      <c r="D127" s="73">
        <f t="shared" si="1"/>
        <v>3.2000000000000001E-2</v>
      </c>
      <c r="F127" s="33"/>
    </row>
    <row r="128" spans="2:6" ht="13.5">
      <c r="B128" s="121">
        <v>40322</v>
      </c>
      <c r="C128" s="123">
        <v>3.23</v>
      </c>
      <c r="D128" s="73">
        <f t="shared" si="1"/>
        <v>3.2300000000000002E-2</v>
      </c>
      <c r="F128" s="33"/>
    </row>
    <row r="129" spans="2:6" ht="13.5">
      <c r="B129" s="121">
        <v>40323</v>
      </c>
      <c r="C129" s="123">
        <v>3.18</v>
      </c>
      <c r="D129" s="73">
        <f t="shared" si="1"/>
        <v>3.1800000000000002E-2</v>
      </c>
      <c r="F129" s="33"/>
    </row>
    <row r="130" spans="2:6" ht="13.5">
      <c r="B130" s="121">
        <v>40324</v>
      </c>
      <c r="C130" s="123">
        <v>3.21</v>
      </c>
      <c r="D130" s="73">
        <f t="shared" si="1"/>
        <v>3.2099999999999997E-2</v>
      </c>
      <c r="F130" s="33"/>
    </row>
    <row r="131" spans="2:6" ht="13.5">
      <c r="B131" s="121">
        <v>40325</v>
      </c>
      <c r="C131" s="123">
        <v>3.34</v>
      </c>
      <c r="D131" s="73">
        <f t="shared" si="1"/>
        <v>3.3399999999999999E-2</v>
      </c>
      <c r="F131" s="33"/>
    </row>
    <row r="132" spans="2:6" ht="13.5">
      <c r="B132" s="121">
        <v>40326</v>
      </c>
      <c r="C132" s="123">
        <v>3.31</v>
      </c>
      <c r="D132" s="73">
        <f t="shared" si="1"/>
        <v>3.3099999999999997E-2</v>
      </c>
      <c r="F132" s="33"/>
    </row>
    <row r="133" spans="2:6" ht="13.5">
      <c r="B133" s="121">
        <v>40330</v>
      </c>
      <c r="C133" s="123">
        <v>3.29</v>
      </c>
      <c r="D133" s="73">
        <f t="shared" si="1"/>
        <v>3.2899999999999999E-2</v>
      </c>
      <c r="F133" s="33"/>
    </row>
    <row r="134" spans="2:6" ht="13.5">
      <c r="B134" s="121">
        <v>40331</v>
      </c>
      <c r="C134" s="123">
        <v>3.35</v>
      </c>
      <c r="D134" s="73">
        <f t="shared" si="1"/>
        <v>3.3500000000000002E-2</v>
      </c>
      <c r="F134" s="33"/>
    </row>
    <row r="135" spans="2:6" ht="13.5">
      <c r="B135" s="121">
        <v>40332</v>
      </c>
      <c r="C135" s="123">
        <v>3.39</v>
      </c>
      <c r="D135" s="73">
        <f t="shared" si="1"/>
        <v>3.39E-2</v>
      </c>
      <c r="F135" s="33"/>
    </row>
    <row r="136" spans="2:6" ht="13.5">
      <c r="B136" s="121">
        <v>40333</v>
      </c>
      <c r="C136" s="123">
        <v>3.2</v>
      </c>
      <c r="D136" s="73">
        <f t="shared" si="1"/>
        <v>3.2000000000000001E-2</v>
      </c>
      <c r="F136" s="33"/>
    </row>
    <row r="137" spans="2:6" ht="13.5">
      <c r="B137" s="121">
        <v>40336</v>
      </c>
      <c r="C137" s="123">
        <v>3.17</v>
      </c>
      <c r="D137" s="73">
        <f t="shared" si="1"/>
        <v>3.1699999999999999E-2</v>
      </c>
      <c r="F137" s="33"/>
    </row>
    <row r="138" spans="2:6" ht="13.5">
      <c r="B138" s="121">
        <v>40337</v>
      </c>
      <c r="C138" s="123">
        <v>3.18</v>
      </c>
      <c r="D138" s="73">
        <f t="shared" si="1"/>
        <v>3.1800000000000002E-2</v>
      </c>
      <c r="F138" s="33"/>
    </row>
    <row r="139" spans="2:6" ht="13.5">
      <c r="B139" s="121">
        <v>40338</v>
      </c>
      <c r="C139" s="123">
        <v>3.2</v>
      </c>
      <c r="D139" s="73">
        <f t="shared" si="1"/>
        <v>3.2000000000000001E-2</v>
      </c>
      <c r="F139" s="33"/>
    </row>
    <row r="140" spans="2:6" ht="13.5">
      <c r="B140" s="121">
        <v>40339</v>
      </c>
      <c r="C140" s="123">
        <v>3.33</v>
      </c>
      <c r="D140" s="73">
        <f t="shared" si="1"/>
        <v>3.3300000000000003E-2</v>
      </c>
      <c r="F140" s="33"/>
    </row>
    <row r="141" spans="2:6" ht="13.5">
      <c r="B141" s="121">
        <v>40340</v>
      </c>
      <c r="C141" s="123">
        <v>3.24</v>
      </c>
      <c r="D141" s="73">
        <f t="shared" si="1"/>
        <v>3.2400000000000005E-2</v>
      </c>
      <c r="F141" s="33"/>
    </row>
    <row r="142" spans="2:6" ht="13.5">
      <c r="B142" s="121">
        <v>40343</v>
      </c>
      <c r="C142" s="123">
        <v>3.28</v>
      </c>
      <c r="D142" s="73">
        <f t="shared" si="1"/>
        <v>3.2799999999999996E-2</v>
      </c>
      <c r="F142" s="33"/>
    </row>
    <row r="143" spans="2:6" ht="13.5">
      <c r="B143" s="121">
        <v>40344</v>
      </c>
      <c r="C143" s="123">
        <v>3.32</v>
      </c>
      <c r="D143" s="73">
        <f t="shared" si="1"/>
        <v>3.32E-2</v>
      </c>
      <c r="F143" s="33"/>
    </row>
    <row r="144" spans="2:6" ht="13.5">
      <c r="B144" s="121">
        <v>40345</v>
      </c>
      <c r="C144" s="123">
        <v>3.27</v>
      </c>
      <c r="D144" s="73">
        <f t="shared" si="1"/>
        <v>3.27E-2</v>
      </c>
      <c r="F144" s="33"/>
    </row>
    <row r="145" spans="2:6" ht="13.5">
      <c r="B145" s="121">
        <v>40346</v>
      </c>
      <c r="C145" s="123">
        <v>3.21</v>
      </c>
      <c r="D145" s="73">
        <f t="shared" si="1"/>
        <v>3.2099999999999997E-2</v>
      </c>
      <c r="F145" s="33"/>
    </row>
    <row r="146" spans="2:6" ht="13.5">
      <c r="B146" s="121">
        <v>40347</v>
      </c>
      <c r="C146" s="123">
        <v>3.24</v>
      </c>
      <c r="D146" s="73">
        <f t="shared" si="1"/>
        <v>3.2400000000000005E-2</v>
      </c>
      <c r="F146" s="33"/>
    </row>
    <row r="147" spans="2:6" ht="13.5">
      <c r="B147" s="121">
        <v>40350</v>
      </c>
      <c r="C147" s="123">
        <v>3.26</v>
      </c>
      <c r="D147" s="73">
        <f t="shared" si="1"/>
        <v>3.2599999999999997E-2</v>
      </c>
      <c r="F147" s="33"/>
    </row>
    <row r="148" spans="2:6" ht="13.5">
      <c r="B148" s="121">
        <v>40351</v>
      </c>
      <c r="C148" s="123">
        <v>3.18</v>
      </c>
      <c r="D148" s="73">
        <f t="shared" si="1"/>
        <v>3.1800000000000002E-2</v>
      </c>
      <c r="F148" s="33"/>
    </row>
    <row r="149" spans="2:6" ht="13.5">
      <c r="B149" s="121">
        <v>40352</v>
      </c>
      <c r="C149" s="123">
        <v>3.13</v>
      </c>
      <c r="D149" s="73">
        <f t="shared" si="1"/>
        <v>3.1300000000000001E-2</v>
      </c>
      <c r="F149" s="33"/>
    </row>
    <row r="150" spans="2:6" ht="13.5">
      <c r="B150" s="121">
        <v>40353</v>
      </c>
      <c r="C150" s="123">
        <v>3.14</v>
      </c>
      <c r="D150" s="73">
        <f t="shared" si="1"/>
        <v>3.1400000000000004E-2</v>
      </c>
      <c r="F150" s="33"/>
    </row>
    <row r="151" spans="2:6" ht="13.5">
      <c r="B151" s="121">
        <v>40354</v>
      </c>
      <c r="C151" s="123">
        <v>3.12</v>
      </c>
      <c r="D151" s="73">
        <f t="shared" si="1"/>
        <v>3.1200000000000002E-2</v>
      </c>
      <c r="F151" s="33"/>
    </row>
    <row r="152" spans="2:6" ht="13.5">
      <c r="B152" s="121">
        <v>40357</v>
      </c>
      <c r="C152" s="123">
        <v>3.05</v>
      </c>
      <c r="D152" s="73">
        <f t="shared" si="1"/>
        <v>3.0499999999999999E-2</v>
      </c>
      <c r="F152" s="33"/>
    </row>
    <row r="153" spans="2:6" ht="13.5">
      <c r="B153" s="121">
        <v>40358</v>
      </c>
      <c r="C153" s="123">
        <v>2.97</v>
      </c>
      <c r="D153" s="73">
        <f t="shared" si="1"/>
        <v>2.9700000000000001E-2</v>
      </c>
      <c r="F153" s="33"/>
    </row>
    <row r="154" spans="2:6" ht="13.5">
      <c r="B154" s="121">
        <v>40359</v>
      </c>
      <c r="C154" s="123">
        <v>2.97</v>
      </c>
      <c r="D154" s="73">
        <f t="shared" si="1"/>
        <v>2.9700000000000001E-2</v>
      </c>
      <c r="F154" s="33"/>
    </row>
    <row r="155" spans="2:6" ht="13.5">
      <c r="B155" s="121">
        <v>40360</v>
      </c>
      <c r="C155" s="123">
        <v>2.96</v>
      </c>
      <c r="D155" s="73">
        <f t="shared" ref="D155:D218" si="2">IF( LEN( C155 ) = 0, #N/A, IF( C155 = "ND", D154, C155 / 100 ) )</f>
        <v>2.9600000000000001E-2</v>
      </c>
      <c r="F155" s="33"/>
    </row>
    <row r="156" spans="2:6" ht="13.5">
      <c r="B156" s="121">
        <v>40361</v>
      </c>
      <c r="C156" s="123">
        <v>3</v>
      </c>
      <c r="D156" s="73">
        <f t="shared" si="2"/>
        <v>0.03</v>
      </c>
      <c r="F156" s="33"/>
    </row>
    <row r="157" spans="2:6" ht="13.5">
      <c r="B157" s="121">
        <v>40365</v>
      </c>
      <c r="C157" s="123">
        <v>2.95</v>
      </c>
      <c r="D157" s="73">
        <f t="shared" si="2"/>
        <v>2.9500000000000002E-2</v>
      </c>
      <c r="F157" s="33"/>
    </row>
    <row r="158" spans="2:6" ht="13.5">
      <c r="B158" s="121">
        <v>40366</v>
      </c>
      <c r="C158" s="123">
        <v>3</v>
      </c>
      <c r="D158" s="73">
        <f t="shared" si="2"/>
        <v>0.03</v>
      </c>
      <c r="F158" s="33"/>
    </row>
    <row r="159" spans="2:6" ht="13.5">
      <c r="B159" s="121">
        <v>40367</v>
      </c>
      <c r="C159" s="123">
        <v>3.04</v>
      </c>
      <c r="D159" s="73">
        <f t="shared" si="2"/>
        <v>3.04E-2</v>
      </c>
      <c r="F159" s="33"/>
    </row>
    <row r="160" spans="2:6" ht="13.5">
      <c r="B160" s="121">
        <v>40368</v>
      </c>
      <c r="C160" s="123">
        <v>3.07</v>
      </c>
      <c r="D160" s="73">
        <f t="shared" si="2"/>
        <v>3.0699999999999998E-2</v>
      </c>
      <c r="F160" s="33"/>
    </row>
    <row r="161" spans="2:6" ht="13.5">
      <c r="B161" s="121">
        <v>40371</v>
      </c>
      <c r="C161" s="123">
        <v>3.08</v>
      </c>
      <c r="D161" s="73">
        <f t="shared" si="2"/>
        <v>3.0800000000000001E-2</v>
      </c>
      <c r="F161" s="33"/>
    </row>
    <row r="162" spans="2:6" ht="13.5">
      <c r="B162" s="121">
        <v>40372</v>
      </c>
      <c r="C162" s="123">
        <v>3.15</v>
      </c>
      <c r="D162" s="73">
        <f t="shared" si="2"/>
        <v>3.15E-2</v>
      </c>
      <c r="F162" s="33"/>
    </row>
    <row r="163" spans="2:6" ht="13.5">
      <c r="B163" s="121">
        <v>40373</v>
      </c>
      <c r="C163" s="123">
        <v>3.07</v>
      </c>
      <c r="D163" s="73">
        <f t="shared" si="2"/>
        <v>3.0699999999999998E-2</v>
      </c>
      <c r="F163" s="33"/>
    </row>
    <row r="164" spans="2:6" ht="13.5">
      <c r="B164" s="121">
        <v>40374</v>
      </c>
      <c r="C164" s="123">
        <v>3</v>
      </c>
      <c r="D164" s="73">
        <f t="shared" si="2"/>
        <v>0.03</v>
      </c>
      <c r="F164" s="33"/>
    </row>
    <row r="165" spans="2:6" ht="13.5">
      <c r="B165" s="121">
        <v>40375</v>
      </c>
      <c r="C165" s="123">
        <v>2.96</v>
      </c>
      <c r="D165" s="73">
        <f t="shared" si="2"/>
        <v>2.9600000000000001E-2</v>
      </c>
      <c r="F165" s="33"/>
    </row>
    <row r="166" spans="2:6" ht="13.5">
      <c r="B166" s="121">
        <v>40378</v>
      </c>
      <c r="C166" s="123">
        <v>2.99</v>
      </c>
      <c r="D166" s="73">
        <f t="shared" si="2"/>
        <v>2.9900000000000003E-2</v>
      </c>
      <c r="F166" s="33"/>
    </row>
    <row r="167" spans="2:6" ht="13.5">
      <c r="B167" s="121">
        <v>40379</v>
      </c>
      <c r="C167" s="123">
        <v>2.98</v>
      </c>
      <c r="D167" s="73">
        <f t="shared" si="2"/>
        <v>2.98E-2</v>
      </c>
      <c r="F167" s="33"/>
    </row>
    <row r="168" spans="2:6" ht="13.5">
      <c r="B168" s="121">
        <v>40380</v>
      </c>
      <c r="C168" s="123">
        <v>2.9</v>
      </c>
      <c r="D168" s="73">
        <f t="shared" si="2"/>
        <v>2.8999999999999998E-2</v>
      </c>
      <c r="F168" s="33"/>
    </row>
    <row r="169" spans="2:6" ht="13.5">
      <c r="B169" s="121">
        <v>40381</v>
      </c>
      <c r="C169" s="123">
        <v>2.96</v>
      </c>
      <c r="D169" s="73">
        <f t="shared" si="2"/>
        <v>2.9600000000000001E-2</v>
      </c>
      <c r="F169" s="33"/>
    </row>
    <row r="170" spans="2:6" ht="13.5">
      <c r="B170" s="121">
        <v>40382</v>
      </c>
      <c r="C170" s="123">
        <v>3.02</v>
      </c>
      <c r="D170" s="73">
        <f t="shared" si="2"/>
        <v>3.0200000000000001E-2</v>
      </c>
      <c r="F170" s="33"/>
    </row>
    <row r="171" spans="2:6" ht="13.5">
      <c r="B171" s="121">
        <v>40385</v>
      </c>
      <c r="C171" s="123">
        <v>3.03</v>
      </c>
      <c r="D171" s="73">
        <f t="shared" si="2"/>
        <v>3.0299999999999997E-2</v>
      </c>
      <c r="F171" s="33"/>
    </row>
    <row r="172" spans="2:6" ht="13.5">
      <c r="B172" s="121">
        <v>40386</v>
      </c>
      <c r="C172" s="123">
        <v>3.08</v>
      </c>
      <c r="D172" s="73">
        <f t="shared" si="2"/>
        <v>3.0800000000000001E-2</v>
      </c>
      <c r="F172" s="33"/>
    </row>
    <row r="173" spans="2:6" ht="13.5">
      <c r="B173" s="121">
        <v>40387</v>
      </c>
      <c r="C173" s="123">
        <v>3.03</v>
      </c>
      <c r="D173" s="73">
        <f t="shared" si="2"/>
        <v>3.0299999999999997E-2</v>
      </c>
      <c r="F173" s="33"/>
    </row>
    <row r="174" spans="2:6" ht="13.5">
      <c r="B174" s="121">
        <v>40388</v>
      </c>
      <c r="C174" s="123">
        <v>3.03</v>
      </c>
      <c r="D174" s="73">
        <f t="shared" si="2"/>
        <v>3.0299999999999997E-2</v>
      </c>
      <c r="F174" s="33"/>
    </row>
    <row r="175" spans="2:6" ht="13.5">
      <c r="B175" s="121">
        <v>40389</v>
      </c>
      <c r="C175" s="123">
        <v>2.94</v>
      </c>
      <c r="D175" s="73">
        <f t="shared" si="2"/>
        <v>2.9399999999999999E-2</v>
      </c>
      <c r="F175" s="33"/>
    </row>
    <row r="176" spans="2:6" ht="13.5">
      <c r="B176" s="121">
        <v>40392</v>
      </c>
      <c r="C176" s="123">
        <v>2.99</v>
      </c>
      <c r="D176" s="73">
        <f t="shared" si="2"/>
        <v>2.9900000000000003E-2</v>
      </c>
      <c r="F176" s="33"/>
    </row>
    <row r="177" spans="2:6" ht="13.5">
      <c r="B177" s="121">
        <v>40393</v>
      </c>
      <c r="C177" s="123">
        <v>2.94</v>
      </c>
      <c r="D177" s="73">
        <f t="shared" si="2"/>
        <v>2.9399999999999999E-2</v>
      </c>
      <c r="F177" s="33"/>
    </row>
    <row r="178" spans="2:6" ht="13.5">
      <c r="B178" s="121">
        <v>40394</v>
      </c>
      <c r="C178" s="123">
        <v>2.98</v>
      </c>
      <c r="D178" s="73">
        <f t="shared" si="2"/>
        <v>2.98E-2</v>
      </c>
      <c r="F178" s="33"/>
    </row>
    <row r="179" spans="2:6" ht="13.5">
      <c r="B179" s="121">
        <v>40395</v>
      </c>
      <c r="C179" s="123">
        <v>2.94</v>
      </c>
      <c r="D179" s="73">
        <f t="shared" si="2"/>
        <v>2.9399999999999999E-2</v>
      </c>
      <c r="F179" s="33"/>
    </row>
    <row r="180" spans="2:6" ht="13.5">
      <c r="B180" s="121">
        <v>40396</v>
      </c>
      <c r="C180" s="123">
        <v>2.86</v>
      </c>
      <c r="D180" s="73">
        <f t="shared" si="2"/>
        <v>2.86E-2</v>
      </c>
      <c r="F180" s="33"/>
    </row>
    <row r="181" spans="2:6" ht="13.5">
      <c r="B181" s="121">
        <v>40399</v>
      </c>
      <c r="C181" s="123">
        <v>2.86</v>
      </c>
      <c r="D181" s="73">
        <f t="shared" si="2"/>
        <v>2.86E-2</v>
      </c>
      <c r="F181" s="33"/>
    </row>
    <row r="182" spans="2:6" ht="13.5">
      <c r="B182" s="121">
        <v>40400</v>
      </c>
      <c r="C182" s="123">
        <v>2.79</v>
      </c>
      <c r="D182" s="73">
        <f t="shared" si="2"/>
        <v>2.7900000000000001E-2</v>
      </c>
      <c r="F182" s="33"/>
    </row>
    <row r="183" spans="2:6" ht="13.5">
      <c r="B183" s="121">
        <v>40401</v>
      </c>
      <c r="C183" s="123">
        <v>2.72</v>
      </c>
      <c r="D183" s="73">
        <f t="shared" si="2"/>
        <v>2.7200000000000002E-2</v>
      </c>
      <c r="F183" s="33"/>
    </row>
    <row r="184" spans="2:6" ht="13.5">
      <c r="B184" s="121">
        <v>40402</v>
      </c>
      <c r="C184" s="123">
        <v>2.74</v>
      </c>
      <c r="D184" s="73">
        <f t="shared" si="2"/>
        <v>2.7400000000000001E-2</v>
      </c>
      <c r="F184" s="33"/>
    </row>
    <row r="185" spans="2:6" ht="13.5">
      <c r="B185" s="121">
        <v>40403</v>
      </c>
      <c r="C185" s="123">
        <v>2.68</v>
      </c>
      <c r="D185" s="73">
        <f t="shared" si="2"/>
        <v>2.6800000000000001E-2</v>
      </c>
      <c r="F185" s="33"/>
    </row>
    <row r="186" spans="2:6" ht="13.5">
      <c r="B186" s="121">
        <v>40406</v>
      </c>
      <c r="C186" s="123">
        <v>2.58</v>
      </c>
      <c r="D186" s="73">
        <f t="shared" si="2"/>
        <v>2.58E-2</v>
      </c>
      <c r="F186" s="33"/>
    </row>
    <row r="187" spans="2:6" ht="13.5">
      <c r="B187" s="121">
        <v>40407</v>
      </c>
      <c r="C187" s="123">
        <v>2.64</v>
      </c>
      <c r="D187" s="73">
        <f t="shared" si="2"/>
        <v>2.64E-2</v>
      </c>
      <c r="F187" s="33"/>
    </row>
    <row r="188" spans="2:6" ht="13.5">
      <c r="B188" s="121">
        <v>40408</v>
      </c>
      <c r="C188" s="123">
        <v>2.64</v>
      </c>
      <c r="D188" s="73">
        <f t="shared" si="2"/>
        <v>2.64E-2</v>
      </c>
      <c r="F188" s="33"/>
    </row>
    <row r="189" spans="2:6" ht="13.5">
      <c r="B189" s="121">
        <v>40409</v>
      </c>
      <c r="C189" s="123">
        <v>2.58</v>
      </c>
      <c r="D189" s="73">
        <f t="shared" si="2"/>
        <v>2.58E-2</v>
      </c>
      <c r="F189" s="33"/>
    </row>
    <row r="190" spans="2:6" ht="13.5">
      <c r="B190" s="121">
        <v>40410</v>
      </c>
      <c r="C190" s="123">
        <v>2.62</v>
      </c>
      <c r="D190" s="73">
        <f t="shared" si="2"/>
        <v>2.6200000000000001E-2</v>
      </c>
      <c r="F190" s="33"/>
    </row>
    <row r="191" spans="2:6" ht="13.5">
      <c r="B191" s="121">
        <v>40413</v>
      </c>
      <c r="C191" s="123">
        <v>2.6</v>
      </c>
      <c r="D191" s="73">
        <f t="shared" si="2"/>
        <v>2.6000000000000002E-2</v>
      </c>
      <c r="F191" s="33"/>
    </row>
    <row r="192" spans="2:6" ht="13.5">
      <c r="B192" s="121">
        <v>40414</v>
      </c>
      <c r="C192" s="123">
        <v>2.5</v>
      </c>
      <c r="D192" s="73">
        <f t="shared" si="2"/>
        <v>2.5000000000000001E-2</v>
      </c>
      <c r="F192" s="33"/>
    </row>
    <row r="193" spans="2:6" ht="13.5">
      <c r="B193" s="121">
        <v>40415</v>
      </c>
      <c r="C193" s="123">
        <v>2.54</v>
      </c>
      <c r="D193" s="73">
        <f t="shared" si="2"/>
        <v>2.5399999999999999E-2</v>
      </c>
      <c r="F193" s="33"/>
    </row>
    <row r="194" spans="2:6" ht="13.5">
      <c r="B194" s="121">
        <v>40416</v>
      </c>
      <c r="C194" s="123">
        <v>2.5</v>
      </c>
      <c r="D194" s="73">
        <f t="shared" si="2"/>
        <v>2.5000000000000001E-2</v>
      </c>
      <c r="F194" s="33"/>
    </row>
    <row r="195" spans="2:6" ht="13.5">
      <c r="B195" s="121">
        <v>40417</v>
      </c>
      <c r="C195" s="123">
        <v>2.66</v>
      </c>
      <c r="D195" s="73">
        <f t="shared" si="2"/>
        <v>2.6600000000000002E-2</v>
      </c>
      <c r="F195" s="33"/>
    </row>
    <row r="196" spans="2:6" ht="13.5">
      <c r="B196" s="121">
        <v>40420</v>
      </c>
      <c r="C196" s="123">
        <v>2.54</v>
      </c>
      <c r="D196" s="73">
        <f t="shared" si="2"/>
        <v>2.5399999999999999E-2</v>
      </c>
      <c r="F196" s="33"/>
    </row>
    <row r="197" spans="2:6" ht="13.5">
      <c r="B197" s="121">
        <v>40421</v>
      </c>
      <c r="C197" s="123">
        <v>2.4700000000000002</v>
      </c>
      <c r="D197" s="73">
        <f t="shared" si="2"/>
        <v>2.4700000000000003E-2</v>
      </c>
      <c r="F197" s="33"/>
    </row>
    <row r="198" spans="2:6" ht="13.5">
      <c r="B198" s="121">
        <v>40422</v>
      </c>
      <c r="C198" s="123">
        <v>2.58</v>
      </c>
      <c r="D198" s="73">
        <f t="shared" si="2"/>
        <v>2.58E-2</v>
      </c>
      <c r="F198" s="33"/>
    </row>
    <row r="199" spans="2:6" ht="13.5">
      <c r="B199" s="121">
        <v>40423</v>
      </c>
      <c r="C199" s="123">
        <v>2.63</v>
      </c>
      <c r="D199" s="73">
        <f t="shared" si="2"/>
        <v>2.63E-2</v>
      </c>
      <c r="F199" s="33"/>
    </row>
    <row r="200" spans="2:6" ht="13.5">
      <c r="B200" s="121">
        <v>40424</v>
      </c>
      <c r="C200" s="123">
        <v>2.72</v>
      </c>
      <c r="D200" s="73">
        <f t="shared" si="2"/>
        <v>2.7200000000000002E-2</v>
      </c>
      <c r="F200" s="33"/>
    </row>
    <row r="201" spans="2:6" ht="13.5">
      <c r="B201" s="121">
        <v>40428</v>
      </c>
      <c r="C201" s="123">
        <v>2.61</v>
      </c>
      <c r="D201" s="73">
        <f t="shared" si="2"/>
        <v>2.6099999999999998E-2</v>
      </c>
      <c r="F201" s="33"/>
    </row>
    <row r="202" spans="2:6" ht="13.5">
      <c r="B202" s="121">
        <v>40429</v>
      </c>
      <c r="C202" s="123">
        <v>2.66</v>
      </c>
      <c r="D202" s="73">
        <f t="shared" si="2"/>
        <v>2.6600000000000002E-2</v>
      </c>
      <c r="F202" s="33"/>
    </row>
    <row r="203" spans="2:6" ht="13.5">
      <c r="B203" s="121">
        <v>40430</v>
      </c>
      <c r="C203" s="123">
        <v>2.77</v>
      </c>
      <c r="D203" s="73">
        <f t="shared" si="2"/>
        <v>2.7699999999999999E-2</v>
      </c>
      <c r="F203" s="33"/>
    </row>
    <row r="204" spans="2:6" ht="13.5">
      <c r="B204" s="121">
        <v>40431</v>
      </c>
      <c r="C204" s="123">
        <v>2.81</v>
      </c>
      <c r="D204" s="73">
        <f t="shared" si="2"/>
        <v>2.81E-2</v>
      </c>
      <c r="F204" s="33"/>
    </row>
    <row r="205" spans="2:6" ht="13.5">
      <c r="B205" s="121">
        <v>40434</v>
      </c>
      <c r="C205" s="123">
        <v>2.74</v>
      </c>
      <c r="D205" s="73">
        <f t="shared" si="2"/>
        <v>2.7400000000000001E-2</v>
      </c>
      <c r="F205" s="33"/>
    </row>
    <row r="206" spans="2:6" ht="13.5">
      <c r="B206" s="121">
        <v>40435</v>
      </c>
      <c r="C206" s="123">
        <v>2.68</v>
      </c>
      <c r="D206" s="73">
        <f t="shared" si="2"/>
        <v>2.6800000000000001E-2</v>
      </c>
      <c r="F206" s="33"/>
    </row>
    <row r="207" spans="2:6" ht="13.5">
      <c r="B207" s="121">
        <v>40436</v>
      </c>
      <c r="C207" s="123">
        <v>2.74</v>
      </c>
      <c r="D207" s="73">
        <f t="shared" si="2"/>
        <v>2.7400000000000001E-2</v>
      </c>
      <c r="F207" s="33"/>
    </row>
    <row r="208" spans="2:6" ht="13.5">
      <c r="B208" s="121">
        <v>40437</v>
      </c>
      <c r="C208" s="123">
        <v>2.77</v>
      </c>
      <c r="D208" s="73">
        <f t="shared" si="2"/>
        <v>2.7699999999999999E-2</v>
      </c>
      <c r="F208" s="33"/>
    </row>
    <row r="209" spans="2:6" ht="13.5">
      <c r="B209" s="121">
        <v>40438</v>
      </c>
      <c r="C209" s="123">
        <v>2.75</v>
      </c>
      <c r="D209" s="73">
        <f t="shared" si="2"/>
        <v>2.75E-2</v>
      </c>
      <c r="F209" s="33"/>
    </row>
    <row r="210" spans="2:6" ht="13.5">
      <c r="B210" s="121">
        <v>40441</v>
      </c>
      <c r="C210" s="123">
        <v>2.72</v>
      </c>
      <c r="D210" s="73">
        <f t="shared" si="2"/>
        <v>2.7200000000000002E-2</v>
      </c>
      <c r="F210" s="33"/>
    </row>
    <row r="211" spans="2:6" ht="13.5">
      <c r="B211" s="121">
        <v>40442</v>
      </c>
      <c r="C211" s="123">
        <v>2.61</v>
      </c>
      <c r="D211" s="73">
        <f t="shared" si="2"/>
        <v>2.6099999999999998E-2</v>
      </c>
      <c r="F211" s="33"/>
    </row>
    <row r="212" spans="2:6" ht="13.5">
      <c r="B212" s="121">
        <v>40443</v>
      </c>
      <c r="C212" s="123">
        <v>2.56</v>
      </c>
      <c r="D212" s="73">
        <f t="shared" si="2"/>
        <v>2.5600000000000001E-2</v>
      </c>
      <c r="F212" s="33"/>
    </row>
    <row r="213" spans="2:6" ht="13.5">
      <c r="B213" s="121">
        <v>40444</v>
      </c>
      <c r="C213" s="123">
        <v>2.56</v>
      </c>
      <c r="D213" s="73">
        <f t="shared" si="2"/>
        <v>2.5600000000000001E-2</v>
      </c>
      <c r="F213" s="33"/>
    </row>
    <row r="214" spans="2:6" ht="13.5">
      <c r="B214" s="121">
        <v>40445</v>
      </c>
      <c r="C214" s="123">
        <v>2.62</v>
      </c>
      <c r="D214" s="73">
        <f t="shared" si="2"/>
        <v>2.6200000000000001E-2</v>
      </c>
      <c r="F214" s="33"/>
    </row>
    <row r="215" spans="2:6" ht="13.5">
      <c r="B215" s="121">
        <v>40448</v>
      </c>
      <c r="C215" s="123">
        <v>2.54</v>
      </c>
      <c r="D215" s="73">
        <f t="shared" si="2"/>
        <v>2.5399999999999999E-2</v>
      </c>
      <c r="F215" s="33"/>
    </row>
    <row r="216" spans="2:6" ht="13.5">
      <c r="B216" s="121">
        <v>40449</v>
      </c>
      <c r="C216" s="123">
        <v>2.48</v>
      </c>
      <c r="D216" s="73">
        <f t="shared" si="2"/>
        <v>2.4799999999999999E-2</v>
      </c>
      <c r="F216" s="33"/>
    </row>
    <row r="217" spans="2:6" ht="13.5">
      <c r="B217" s="121">
        <v>40450</v>
      </c>
      <c r="C217" s="123">
        <v>2.52</v>
      </c>
      <c r="D217" s="73">
        <f t="shared" si="2"/>
        <v>2.52E-2</v>
      </c>
      <c r="F217" s="33"/>
    </row>
    <row r="218" spans="2:6" ht="13.5">
      <c r="B218" s="121">
        <v>40451</v>
      </c>
      <c r="C218" s="123">
        <v>2.5299999999999998</v>
      </c>
      <c r="D218" s="73">
        <f t="shared" si="2"/>
        <v>2.53E-2</v>
      </c>
      <c r="F218" s="33"/>
    </row>
    <row r="219" spans="2:6" ht="13.5">
      <c r="B219" s="121">
        <v>40452</v>
      </c>
      <c r="C219" s="123">
        <v>2.54</v>
      </c>
      <c r="D219" s="73">
        <f t="shared" ref="D219:D282" si="3">IF( LEN( C219 ) = 0, #N/A, IF( C219 = "ND", D218, C219 / 100 ) )</f>
        <v>2.5399999999999999E-2</v>
      </c>
      <c r="F219" s="33"/>
    </row>
    <row r="220" spans="2:6" ht="13.5">
      <c r="B220" s="121">
        <v>40455</v>
      </c>
      <c r="C220" s="123">
        <v>2.5</v>
      </c>
      <c r="D220" s="73">
        <f t="shared" si="3"/>
        <v>2.5000000000000001E-2</v>
      </c>
      <c r="F220" s="33"/>
    </row>
    <row r="221" spans="2:6" ht="13.5">
      <c r="B221" s="121">
        <v>40456</v>
      </c>
      <c r="C221" s="123">
        <v>2.5</v>
      </c>
      <c r="D221" s="73">
        <f t="shared" si="3"/>
        <v>2.5000000000000001E-2</v>
      </c>
      <c r="F221" s="33"/>
    </row>
    <row r="222" spans="2:6" ht="13.5">
      <c r="B222" s="121">
        <v>40457</v>
      </c>
      <c r="C222" s="123">
        <v>2.41</v>
      </c>
      <c r="D222" s="73">
        <f t="shared" si="3"/>
        <v>2.41E-2</v>
      </c>
      <c r="F222" s="33"/>
    </row>
    <row r="223" spans="2:6" ht="13.5">
      <c r="B223" s="121">
        <v>40458</v>
      </c>
      <c r="C223" s="123">
        <v>2.41</v>
      </c>
      <c r="D223" s="73">
        <f t="shared" si="3"/>
        <v>2.41E-2</v>
      </c>
      <c r="F223" s="33"/>
    </row>
    <row r="224" spans="2:6" ht="13.5">
      <c r="B224" s="121">
        <v>40459</v>
      </c>
      <c r="C224" s="123">
        <v>2.41</v>
      </c>
      <c r="D224" s="73">
        <f t="shared" si="3"/>
        <v>2.41E-2</v>
      </c>
      <c r="F224" s="33"/>
    </row>
    <row r="225" spans="2:6" ht="13.5">
      <c r="B225" s="121">
        <v>40463</v>
      </c>
      <c r="C225" s="123">
        <v>2.44</v>
      </c>
      <c r="D225" s="73">
        <f t="shared" si="3"/>
        <v>2.4399999999999998E-2</v>
      </c>
      <c r="F225" s="33"/>
    </row>
    <row r="226" spans="2:6" ht="13.5">
      <c r="B226" s="121">
        <v>40464</v>
      </c>
      <c r="C226" s="123">
        <v>2.46</v>
      </c>
      <c r="D226" s="73">
        <f t="shared" si="3"/>
        <v>2.46E-2</v>
      </c>
      <c r="F226" s="33"/>
    </row>
    <row r="227" spans="2:6" ht="13.5">
      <c r="B227" s="121">
        <v>40465</v>
      </c>
      <c r="C227" s="123">
        <v>2.52</v>
      </c>
      <c r="D227" s="73">
        <f t="shared" si="3"/>
        <v>2.52E-2</v>
      </c>
      <c r="F227" s="33"/>
    </row>
    <row r="228" spans="2:6" ht="13.5">
      <c r="B228" s="121">
        <v>40466</v>
      </c>
      <c r="C228" s="123">
        <v>2.59</v>
      </c>
      <c r="D228" s="73">
        <f t="shared" si="3"/>
        <v>2.5899999999999999E-2</v>
      </c>
      <c r="F228" s="33"/>
    </row>
    <row r="229" spans="2:6" ht="13.5">
      <c r="B229" s="121">
        <v>40469</v>
      </c>
      <c r="C229" s="123">
        <v>2.52</v>
      </c>
      <c r="D229" s="73">
        <f t="shared" si="3"/>
        <v>2.52E-2</v>
      </c>
      <c r="F229" s="33"/>
    </row>
    <row r="230" spans="2:6" ht="13.5">
      <c r="B230" s="121">
        <v>40470</v>
      </c>
      <c r="C230" s="123">
        <v>2.5</v>
      </c>
      <c r="D230" s="73">
        <f t="shared" si="3"/>
        <v>2.5000000000000001E-2</v>
      </c>
      <c r="F230" s="33"/>
    </row>
    <row r="231" spans="2:6" ht="13.5">
      <c r="B231" s="121">
        <v>40471</v>
      </c>
      <c r="C231" s="123">
        <v>2.5099999999999998</v>
      </c>
      <c r="D231" s="73">
        <f t="shared" si="3"/>
        <v>2.5099999999999997E-2</v>
      </c>
      <c r="F231" s="33"/>
    </row>
    <row r="232" spans="2:6" ht="13.5">
      <c r="B232" s="121">
        <v>40472</v>
      </c>
      <c r="C232" s="123">
        <v>2.57</v>
      </c>
      <c r="D232" s="73">
        <f t="shared" si="3"/>
        <v>2.5699999999999997E-2</v>
      </c>
      <c r="F232" s="33"/>
    </row>
    <row r="233" spans="2:6" ht="13.5">
      <c r="B233" s="121">
        <v>40473</v>
      </c>
      <c r="C233" s="123">
        <v>2.59</v>
      </c>
      <c r="D233" s="73">
        <f t="shared" si="3"/>
        <v>2.5899999999999999E-2</v>
      </c>
      <c r="F233" s="33"/>
    </row>
    <row r="234" spans="2:6" ht="13.5">
      <c r="B234" s="121">
        <v>40476</v>
      </c>
      <c r="C234" s="123">
        <v>2.59</v>
      </c>
      <c r="D234" s="73">
        <f t="shared" si="3"/>
        <v>2.5899999999999999E-2</v>
      </c>
      <c r="F234" s="33"/>
    </row>
    <row r="235" spans="2:6" ht="13.5">
      <c r="B235" s="121">
        <v>40477</v>
      </c>
      <c r="C235" s="123">
        <v>2.67</v>
      </c>
      <c r="D235" s="73">
        <f t="shared" si="3"/>
        <v>2.6699999999999998E-2</v>
      </c>
      <c r="F235" s="33"/>
    </row>
    <row r="236" spans="2:6" ht="13.5">
      <c r="B236" s="121">
        <v>40478</v>
      </c>
      <c r="C236" s="123">
        <v>2.75</v>
      </c>
      <c r="D236" s="73">
        <f t="shared" si="3"/>
        <v>2.75E-2</v>
      </c>
      <c r="F236" s="33"/>
    </row>
    <row r="237" spans="2:6" ht="13.5">
      <c r="B237" s="121">
        <v>40479</v>
      </c>
      <c r="C237" s="123">
        <v>2.69</v>
      </c>
      <c r="D237" s="73">
        <f t="shared" si="3"/>
        <v>2.69E-2</v>
      </c>
      <c r="F237" s="33"/>
    </row>
    <row r="238" spans="2:6" ht="13.5">
      <c r="B238" s="121">
        <v>40480</v>
      </c>
      <c r="C238" s="123">
        <v>2.63</v>
      </c>
      <c r="D238" s="73">
        <f t="shared" si="3"/>
        <v>2.63E-2</v>
      </c>
      <c r="F238" s="33"/>
    </row>
    <row r="239" spans="2:6" ht="13.5">
      <c r="B239" s="121">
        <v>40483</v>
      </c>
      <c r="C239" s="123">
        <v>2.66</v>
      </c>
      <c r="D239" s="73">
        <f t="shared" si="3"/>
        <v>2.6600000000000002E-2</v>
      </c>
      <c r="F239" s="33"/>
    </row>
    <row r="240" spans="2:6" ht="13.5">
      <c r="B240" s="121">
        <v>40484</v>
      </c>
      <c r="C240" s="123">
        <v>2.63</v>
      </c>
      <c r="D240" s="73">
        <f t="shared" si="3"/>
        <v>2.63E-2</v>
      </c>
      <c r="F240" s="33"/>
    </row>
    <row r="241" spans="2:6" ht="13.5">
      <c r="B241" s="121">
        <v>40485</v>
      </c>
      <c r="C241" s="123">
        <v>2.67</v>
      </c>
      <c r="D241" s="73">
        <f t="shared" si="3"/>
        <v>2.6699999999999998E-2</v>
      </c>
      <c r="F241" s="33"/>
    </row>
    <row r="242" spans="2:6" ht="13.5">
      <c r="B242" s="121">
        <v>40486</v>
      </c>
      <c r="C242" s="123">
        <v>2.5299999999999998</v>
      </c>
      <c r="D242" s="73">
        <f t="shared" si="3"/>
        <v>2.53E-2</v>
      </c>
      <c r="F242" s="33"/>
    </row>
    <row r="243" spans="2:6" ht="13.5">
      <c r="B243" s="121">
        <v>40487</v>
      </c>
      <c r="C243" s="123">
        <v>2.58</v>
      </c>
      <c r="D243" s="73">
        <f t="shared" si="3"/>
        <v>2.58E-2</v>
      </c>
      <c r="F243" s="33"/>
    </row>
    <row r="244" spans="2:6" ht="13.5">
      <c r="B244" s="121">
        <v>40490</v>
      </c>
      <c r="C244" s="123">
        <v>2.6</v>
      </c>
      <c r="D244" s="73">
        <f t="shared" si="3"/>
        <v>2.6000000000000002E-2</v>
      </c>
      <c r="F244" s="33"/>
    </row>
    <row r="245" spans="2:6" ht="13.5">
      <c r="B245" s="121">
        <v>40491</v>
      </c>
      <c r="C245" s="123">
        <v>2.72</v>
      </c>
      <c r="D245" s="73">
        <f t="shared" si="3"/>
        <v>2.7200000000000002E-2</v>
      </c>
      <c r="F245" s="33"/>
    </row>
    <row r="246" spans="2:6" ht="13.5">
      <c r="B246" s="121">
        <v>40492</v>
      </c>
      <c r="C246" s="123">
        <v>2.65</v>
      </c>
      <c r="D246" s="73">
        <f t="shared" si="3"/>
        <v>2.6499999999999999E-2</v>
      </c>
      <c r="F246" s="33"/>
    </row>
    <row r="247" spans="2:6" ht="13.5">
      <c r="B247" s="121">
        <v>40494</v>
      </c>
      <c r="C247" s="123">
        <v>2.76</v>
      </c>
      <c r="D247" s="73">
        <f t="shared" si="3"/>
        <v>2.76E-2</v>
      </c>
      <c r="F247" s="33"/>
    </row>
    <row r="248" spans="2:6" ht="13.5">
      <c r="B248" s="121">
        <v>40497</v>
      </c>
      <c r="C248" s="123">
        <v>2.92</v>
      </c>
      <c r="D248" s="73">
        <f t="shared" si="3"/>
        <v>2.92E-2</v>
      </c>
      <c r="F248" s="33"/>
    </row>
    <row r="249" spans="2:6" ht="13.5">
      <c r="B249" s="121">
        <v>40498</v>
      </c>
      <c r="C249" s="123">
        <v>2.85</v>
      </c>
      <c r="D249" s="73">
        <f t="shared" si="3"/>
        <v>2.8500000000000001E-2</v>
      </c>
      <c r="F249" s="33"/>
    </row>
    <row r="250" spans="2:6" ht="13.5">
      <c r="B250" s="121">
        <v>40499</v>
      </c>
      <c r="C250" s="123">
        <v>2.89</v>
      </c>
      <c r="D250" s="73">
        <f t="shared" si="3"/>
        <v>2.8900000000000002E-2</v>
      </c>
      <c r="F250" s="33"/>
    </row>
    <row r="251" spans="2:6" ht="13.5">
      <c r="B251" s="121">
        <v>40500</v>
      </c>
      <c r="C251" s="123">
        <v>2.9</v>
      </c>
      <c r="D251" s="73">
        <f t="shared" si="3"/>
        <v>2.8999999999999998E-2</v>
      </c>
      <c r="F251" s="33"/>
    </row>
    <row r="252" spans="2:6" ht="13.5">
      <c r="B252" s="121">
        <v>40501</v>
      </c>
      <c r="C252" s="123">
        <v>2.88</v>
      </c>
      <c r="D252" s="73">
        <f t="shared" si="3"/>
        <v>2.8799999999999999E-2</v>
      </c>
      <c r="F252" s="33"/>
    </row>
    <row r="253" spans="2:6" ht="13.5">
      <c r="B253" s="121">
        <v>40504</v>
      </c>
      <c r="C253" s="123">
        <v>2.8</v>
      </c>
      <c r="D253" s="73">
        <f t="shared" si="3"/>
        <v>2.7999999999999997E-2</v>
      </c>
      <c r="F253" s="33"/>
    </row>
    <row r="254" spans="2:6" ht="13.5">
      <c r="B254" s="121">
        <v>40505</v>
      </c>
      <c r="C254" s="123">
        <v>2.77</v>
      </c>
      <c r="D254" s="73">
        <f t="shared" si="3"/>
        <v>2.7699999999999999E-2</v>
      </c>
      <c r="F254" s="33"/>
    </row>
    <row r="255" spans="2:6" ht="13.5">
      <c r="B255" s="121">
        <v>40506</v>
      </c>
      <c r="C255" s="123">
        <v>2.93</v>
      </c>
      <c r="D255" s="73">
        <f t="shared" si="3"/>
        <v>2.9300000000000003E-2</v>
      </c>
      <c r="F255" s="33"/>
    </row>
    <row r="256" spans="2:6" ht="13.5">
      <c r="B256" s="121">
        <v>40508</v>
      </c>
      <c r="C256" s="123">
        <v>2.87</v>
      </c>
      <c r="D256" s="73">
        <f t="shared" si="3"/>
        <v>2.87E-2</v>
      </c>
      <c r="F256" s="33"/>
    </row>
    <row r="257" spans="2:6" ht="13.5">
      <c r="B257" s="121">
        <v>40511</v>
      </c>
      <c r="C257" s="123">
        <v>2.84</v>
      </c>
      <c r="D257" s="73">
        <f t="shared" si="3"/>
        <v>2.8399999999999998E-2</v>
      </c>
      <c r="F257" s="33"/>
    </row>
    <row r="258" spans="2:6" ht="13.5">
      <c r="B258" s="121">
        <v>40512</v>
      </c>
      <c r="C258" s="123">
        <v>2.81</v>
      </c>
      <c r="D258" s="73">
        <f t="shared" si="3"/>
        <v>2.81E-2</v>
      </c>
      <c r="F258" s="33"/>
    </row>
    <row r="259" spans="2:6" ht="13.5">
      <c r="B259" s="121">
        <v>40513</v>
      </c>
      <c r="C259" s="123">
        <v>2.97</v>
      </c>
      <c r="D259" s="73">
        <f t="shared" si="3"/>
        <v>2.9700000000000001E-2</v>
      </c>
      <c r="F259" s="33"/>
    </row>
    <row r="260" spans="2:6" ht="13.5">
      <c r="B260" s="121">
        <v>40514</v>
      </c>
      <c r="C260" s="123">
        <v>3.01</v>
      </c>
      <c r="D260" s="73">
        <f t="shared" si="3"/>
        <v>3.0099999999999998E-2</v>
      </c>
      <c r="F260" s="33"/>
    </row>
    <row r="261" spans="2:6" ht="13.5">
      <c r="B261" s="121">
        <v>40515</v>
      </c>
      <c r="C261" s="123">
        <v>3.03</v>
      </c>
      <c r="D261" s="73">
        <f t="shared" si="3"/>
        <v>3.0299999999999997E-2</v>
      </c>
      <c r="F261" s="33"/>
    </row>
    <row r="262" spans="2:6" ht="13.5">
      <c r="B262" s="121">
        <v>40518</v>
      </c>
      <c r="C262" s="123">
        <v>2.95</v>
      </c>
      <c r="D262" s="73">
        <f t="shared" si="3"/>
        <v>2.9500000000000002E-2</v>
      </c>
      <c r="F262" s="33"/>
    </row>
    <row r="263" spans="2:6" ht="13.5">
      <c r="B263" s="121">
        <v>40519</v>
      </c>
      <c r="C263" s="123">
        <v>3.15</v>
      </c>
      <c r="D263" s="73">
        <f t="shared" si="3"/>
        <v>3.15E-2</v>
      </c>
      <c r="F263" s="33"/>
    </row>
    <row r="264" spans="2:6" ht="13.5">
      <c r="B264" s="121">
        <v>40520</v>
      </c>
      <c r="C264" s="123">
        <v>3.26</v>
      </c>
      <c r="D264" s="73">
        <f t="shared" si="3"/>
        <v>3.2599999999999997E-2</v>
      </c>
      <c r="F264" s="33"/>
    </row>
    <row r="265" spans="2:6" ht="13.5">
      <c r="B265" s="121">
        <v>40521</v>
      </c>
      <c r="C265" s="123">
        <v>3.23</v>
      </c>
      <c r="D265" s="73">
        <f t="shared" si="3"/>
        <v>3.2300000000000002E-2</v>
      </c>
      <c r="F265" s="33"/>
    </row>
    <row r="266" spans="2:6" ht="13.5">
      <c r="B266" s="121">
        <v>40522</v>
      </c>
      <c r="C266" s="123">
        <v>3.32</v>
      </c>
      <c r="D266" s="73">
        <f t="shared" si="3"/>
        <v>3.32E-2</v>
      </c>
      <c r="F266" s="33"/>
    </row>
    <row r="267" spans="2:6" ht="13.5">
      <c r="B267" s="121">
        <v>40525</v>
      </c>
      <c r="C267" s="123">
        <v>3.29</v>
      </c>
      <c r="D267" s="73">
        <f t="shared" si="3"/>
        <v>3.2899999999999999E-2</v>
      </c>
      <c r="F267" s="33"/>
    </row>
    <row r="268" spans="2:6" ht="13.5">
      <c r="B268" s="121">
        <v>40526</v>
      </c>
      <c r="C268" s="123">
        <v>3.49</v>
      </c>
      <c r="D268" s="73">
        <f t="shared" si="3"/>
        <v>3.49E-2</v>
      </c>
      <c r="F268" s="33"/>
    </row>
    <row r="269" spans="2:6" ht="13.5">
      <c r="B269" s="121">
        <v>40527</v>
      </c>
      <c r="C269" s="123">
        <v>3.53</v>
      </c>
      <c r="D269" s="73">
        <f t="shared" si="3"/>
        <v>3.5299999999999998E-2</v>
      </c>
      <c r="F269" s="33"/>
    </row>
    <row r="270" spans="2:6" ht="13.5">
      <c r="B270" s="121">
        <v>40528</v>
      </c>
      <c r="C270" s="123">
        <v>3.47</v>
      </c>
      <c r="D270" s="73">
        <f t="shared" si="3"/>
        <v>3.4700000000000002E-2</v>
      </c>
      <c r="F270" s="33"/>
    </row>
    <row r="271" spans="2:6" ht="13.5">
      <c r="B271" s="121">
        <v>40529</v>
      </c>
      <c r="C271" s="123">
        <v>3.33</v>
      </c>
      <c r="D271" s="73">
        <f t="shared" si="3"/>
        <v>3.3300000000000003E-2</v>
      </c>
      <c r="F271" s="33"/>
    </row>
    <row r="272" spans="2:6" ht="13.5">
      <c r="B272" s="121">
        <v>40532</v>
      </c>
      <c r="C272" s="123">
        <v>3.36</v>
      </c>
      <c r="D272" s="73">
        <f t="shared" si="3"/>
        <v>3.3599999999999998E-2</v>
      </c>
      <c r="F272" s="33"/>
    </row>
    <row r="273" spans="2:6" ht="13.5">
      <c r="B273" s="121">
        <v>40533</v>
      </c>
      <c r="C273" s="123">
        <v>3.35</v>
      </c>
      <c r="D273" s="73">
        <f t="shared" si="3"/>
        <v>3.3500000000000002E-2</v>
      </c>
      <c r="F273" s="33"/>
    </row>
    <row r="274" spans="2:6" ht="13.5">
      <c r="B274" s="121">
        <v>40534</v>
      </c>
      <c r="C274" s="123">
        <v>3.36</v>
      </c>
      <c r="D274" s="73">
        <f t="shared" si="3"/>
        <v>3.3599999999999998E-2</v>
      </c>
      <c r="F274" s="33"/>
    </row>
    <row r="275" spans="2:6" ht="13.5">
      <c r="B275" s="121">
        <v>40535</v>
      </c>
      <c r="C275" s="123">
        <v>3.41</v>
      </c>
      <c r="D275" s="73">
        <f t="shared" si="3"/>
        <v>3.4099999999999998E-2</v>
      </c>
      <c r="F275" s="33"/>
    </row>
    <row r="276" spans="2:6" ht="13.5">
      <c r="B276" s="121">
        <v>40539</v>
      </c>
      <c r="C276" s="123">
        <v>3.36</v>
      </c>
      <c r="D276" s="73">
        <f t="shared" si="3"/>
        <v>3.3599999999999998E-2</v>
      </c>
      <c r="F276" s="33"/>
    </row>
    <row r="277" spans="2:6" ht="13.5">
      <c r="B277" s="121">
        <v>40540</v>
      </c>
      <c r="C277" s="123">
        <v>3.5</v>
      </c>
      <c r="D277" s="73">
        <f t="shared" si="3"/>
        <v>3.5000000000000003E-2</v>
      </c>
      <c r="F277" s="33"/>
    </row>
    <row r="278" spans="2:6" ht="13.5">
      <c r="B278" s="121">
        <v>40541</v>
      </c>
      <c r="C278" s="123">
        <v>3.35</v>
      </c>
      <c r="D278" s="73">
        <f t="shared" si="3"/>
        <v>3.3500000000000002E-2</v>
      </c>
      <c r="F278" s="33"/>
    </row>
    <row r="279" spans="2:6" ht="13.5">
      <c r="B279" s="121">
        <v>40542</v>
      </c>
      <c r="C279" s="123">
        <v>3.38</v>
      </c>
      <c r="D279" s="73">
        <f t="shared" si="3"/>
        <v>3.3799999999999997E-2</v>
      </c>
      <c r="F279" s="33"/>
    </row>
    <row r="280" spans="2:6" ht="13.5">
      <c r="B280" s="121">
        <v>40543</v>
      </c>
      <c r="C280" s="123">
        <v>3.3</v>
      </c>
      <c r="D280" s="73">
        <f t="shared" si="3"/>
        <v>3.3000000000000002E-2</v>
      </c>
      <c r="F280" s="33"/>
    </row>
    <row r="281" spans="2:6">
      <c r="B281" s="121">
        <v>40546</v>
      </c>
      <c r="C281" s="123">
        <v>3.36</v>
      </c>
      <c r="D281" s="73">
        <f t="shared" si="3"/>
        <v>3.3599999999999998E-2</v>
      </c>
    </row>
    <row r="282" spans="2:6">
      <c r="B282" s="121">
        <v>40547</v>
      </c>
      <c r="C282" s="123">
        <v>3.36</v>
      </c>
      <c r="D282" s="73">
        <f t="shared" si="3"/>
        <v>3.3599999999999998E-2</v>
      </c>
    </row>
    <row r="283" spans="2:6">
      <c r="B283" s="121">
        <v>40548</v>
      </c>
      <c r="C283" s="123">
        <v>3.5</v>
      </c>
      <c r="D283" s="73">
        <f t="shared" ref="D283:D346" si="4">IF( LEN( C283 ) = 0, #N/A, IF( C283 = "ND", D282, C283 / 100 ) )</f>
        <v>3.5000000000000003E-2</v>
      </c>
    </row>
    <row r="284" spans="2:6">
      <c r="B284" s="121">
        <v>40549</v>
      </c>
      <c r="C284" s="123">
        <v>3.44</v>
      </c>
      <c r="D284" s="73">
        <f t="shared" si="4"/>
        <v>3.44E-2</v>
      </c>
    </row>
    <row r="285" spans="2:6">
      <c r="B285" s="121">
        <v>40550</v>
      </c>
      <c r="C285" s="123">
        <v>3.34</v>
      </c>
      <c r="D285" s="73">
        <f t="shared" si="4"/>
        <v>3.3399999999999999E-2</v>
      </c>
    </row>
    <row r="286" spans="2:6">
      <c r="B286" s="121">
        <v>40553</v>
      </c>
      <c r="C286" s="123">
        <v>3.32</v>
      </c>
      <c r="D286" s="73">
        <f t="shared" si="4"/>
        <v>3.32E-2</v>
      </c>
    </row>
    <row r="287" spans="2:6">
      <c r="B287" s="121">
        <v>40554</v>
      </c>
      <c r="C287" s="123">
        <v>3.37</v>
      </c>
      <c r="D287" s="73">
        <f t="shared" si="4"/>
        <v>3.3700000000000001E-2</v>
      </c>
    </row>
    <row r="288" spans="2:6">
      <c r="B288" s="121">
        <v>40555</v>
      </c>
      <c r="C288" s="123">
        <v>3.4</v>
      </c>
      <c r="D288" s="73">
        <f t="shared" si="4"/>
        <v>3.4000000000000002E-2</v>
      </c>
    </row>
    <row r="289" spans="2:4">
      <c r="B289" s="121">
        <v>40556</v>
      </c>
      <c r="C289" s="123">
        <v>3.34</v>
      </c>
      <c r="D289" s="73">
        <f t="shared" si="4"/>
        <v>3.3399999999999999E-2</v>
      </c>
    </row>
    <row r="290" spans="2:4">
      <c r="B290" s="121">
        <v>40557</v>
      </c>
      <c r="C290" s="123">
        <v>3.35</v>
      </c>
      <c r="D290" s="73">
        <f t="shared" si="4"/>
        <v>3.3500000000000002E-2</v>
      </c>
    </row>
    <row r="291" spans="2:4">
      <c r="B291" s="121">
        <v>40561</v>
      </c>
      <c r="C291" s="123">
        <v>3.39</v>
      </c>
      <c r="D291" s="73">
        <f t="shared" si="4"/>
        <v>3.39E-2</v>
      </c>
    </row>
    <row r="292" spans="2:4">
      <c r="B292" s="121">
        <v>40562</v>
      </c>
      <c r="C292" s="123">
        <v>3.37</v>
      </c>
      <c r="D292" s="73">
        <f t="shared" si="4"/>
        <v>3.3700000000000001E-2</v>
      </c>
    </row>
    <row r="293" spans="2:4">
      <c r="B293" s="121">
        <v>40563</v>
      </c>
      <c r="C293" s="123">
        <v>3.47</v>
      </c>
      <c r="D293" s="73">
        <f t="shared" si="4"/>
        <v>3.4700000000000002E-2</v>
      </c>
    </row>
    <row r="294" spans="2:4">
      <c r="B294" s="121">
        <v>40564</v>
      </c>
      <c r="C294" s="123">
        <v>3.44</v>
      </c>
      <c r="D294" s="73">
        <f t="shared" si="4"/>
        <v>3.44E-2</v>
      </c>
    </row>
    <row r="295" spans="2:4">
      <c r="B295" s="121">
        <v>40567</v>
      </c>
      <c r="C295" s="123">
        <v>3.43</v>
      </c>
      <c r="D295" s="73">
        <f t="shared" si="4"/>
        <v>3.4300000000000004E-2</v>
      </c>
    </row>
    <row r="296" spans="2:4">
      <c r="B296" s="121">
        <v>40568</v>
      </c>
      <c r="C296" s="123">
        <v>3.35</v>
      </c>
      <c r="D296" s="73">
        <f t="shared" si="4"/>
        <v>3.3500000000000002E-2</v>
      </c>
    </row>
    <row r="297" spans="2:4">
      <c r="B297" s="121">
        <v>40569</v>
      </c>
      <c r="C297" s="123">
        <v>3.45</v>
      </c>
      <c r="D297" s="73">
        <f t="shared" si="4"/>
        <v>3.4500000000000003E-2</v>
      </c>
    </row>
    <row r="298" spans="2:4">
      <c r="B298" s="121">
        <v>40570</v>
      </c>
      <c r="C298" s="123">
        <v>3.42</v>
      </c>
      <c r="D298" s="73">
        <f t="shared" si="4"/>
        <v>3.4200000000000001E-2</v>
      </c>
    </row>
    <row r="299" spans="2:4">
      <c r="B299" s="121">
        <v>40571</v>
      </c>
      <c r="C299" s="123">
        <v>3.36</v>
      </c>
      <c r="D299" s="73">
        <f t="shared" si="4"/>
        <v>3.3599999999999998E-2</v>
      </c>
    </row>
    <row r="300" spans="2:4">
      <c r="B300" s="121">
        <v>40574</v>
      </c>
      <c r="C300" s="123">
        <v>3.42</v>
      </c>
      <c r="D300" s="73">
        <f t="shared" si="4"/>
        <v>3.4200000000000001E-2</v>
      </c>
    </row>
    <row r="301" spans="2:4">
      <c r="B301" s="121">
        <v>40575</v>
      </c>
      <c r="C301" s="123">
        <v>3.48</v>
      </c>
      <c r="D301" s="73">
        <f t="shared" si="4"/>
        <v>3.4799999999999998E-2</v>
      </c>
    </row>
    <row r="302" spans="2:4">
      <c r="B302" s="121">
        <v>40576</v>
      </c>
      <c r="C302" s="123">
        <v>3.52</v>
      </c>
      <c r="D302" s="73">
        <f t="shared" si="4"/>
        <v>3.5200000000000002E-2</v>
      </c>
    </row>
    <row r="303" spans="2:4">
      <c r="B303" s="121">
        <v>40577</v>
      </c>
      <c r="C303" s="123">
        <v>3.58</v>
      </c>
      <c r="D303" s="73">
        <f t="shared" si="4"/>
        <v>3.5799999999999998E-2</v>
      </c>
    </row>
    <row r="304" spans="2:4">
      <c r="B304" s="121">
        <v>40578</v>
      </c>
      <c r="C304" s="123">
        <v>3.68</v>
      </c>
      <c r="D304" s="73">
        <f t="shared" si="4"/>
        <v>3.6799999999999999E-2</v>
      </c>
    </row>
    <row r="305" spans="2:4">
      <c r="B305" s="121">
        <v>40581</v>
      </c>
      <c r="C305" s="123">
        <v>3.68</v>
      </c>
      <c r="D305" s="73">
        <f t="shared" si="4"/>
        <v>3.6799999999999999E-2</v>
      </c>
    </row>
    <row r="306" spans="2:4">
      <c r="B306" s="121">
        <v>40582</v>
      </c>
      <c r="C306" s="123">
        <v>3.75</v>
      </c>
      <c r="D306" s="73">
        <f t="shared" si="4"/>
        <v>3.7499999999999999E-2</v>
      </c>
    </row>
    <row r="307" spans="2:4">
      <c r="B307" s="121">
        <v>40583</v>
      </c>
      <c r="C307" s="123">
        <v>3.65</v>
      </c>
      <c r="D307" s="73">
        <f t="shared" si="4"/>
        <v>3.6499999999999998E-2</v>
      </c>
    </row>
    <row r="308" spans="2:4">
      <c r="B308" s="121">
        <v>40584</v>
      </c>
      <c r="C308" s="123">
        <v>3.7</v>
      </c>
      <c r="D308" s="73">
        <f t="shared" si="4"/>
        <v>3.7000000000000005E-2</v>
      </c>
    </row>
    <row r="309" spans="2:4">
      <c r="B309" s="121">
        <v>40585</v>
      </c>
      <c r="C309" s="123">
        <v>3.64</v>
      </c>
      <c r="D309" s="73">
        <f t="shared" si="4"/>
        <v>3.6400000000000002E-2</v>
      </c>
    </row>
    <row r="310" spans="2:4">
      <c r="B310" s="121">
        <v>40588</v>
      </c>
      <c r="C310" s="123">
        <v>3.62</v>
      </c>
      <c r="D310" s="73">
        <f t="shared" si="4"/>
        <v>3.6200000000000003E-2</v>
      </c>
    </row>
    <row r="311" spans="2:4">
      <c r="B311" s="121">
        <v>40589</v>
      </c>
      <c r="C311" s="123">
        <v>3.61</v>
      </c>
      <c r="D311" s="73">
        <f t="shared" si="4"/>
        <v>3.61E-2</v>
      </c>
    </row>
    <row r="312" spans="2:4">
      <c r="B312" s="121">
        <v>40590</v>
      </c>
      <c r="C312" s="123">
        <v>3.62</v>
      </c>
      <c r="D312" s="73">
        <f t="shared" si="4"/>
        <v>3.6200000000000003E-2</v>
      </c>
    </row>
    <row r="313" spans="2:4">
      <c r="B313" s="121">
        <v>40591</v>
      </c>
      <c r="C313" s="123">
        <v>3.58</v>
      </c>
      <c r="D313" s="73">
        <f t="shared" si="4"/>
        <v>3.5799999999999998E-2</v>
      </c>
    </row>
    <row r="314" spans="2:4">
      <c r="B314" s="121">
        <v>40592</v>
      </c>
      <c r="C314" s="123">
        <v>3.59</v>
      </c>
      <c r="D314" s="73">
        <f t="shared" si="4"/>
        <v>3.5900000000000001E-2</v>
      </c>
    </row>
    <row r="315" spans="2:4">
      <c r="B315" s="121">
        <v>40596</v>
      </c>
      <c r="C315" s="123">
        <v>3.46</v>
      </c>
      <c r="D315" s="73">
        <f t="shared" si="4"/>
        <v>3.4599999999999999E-2</v>
      </c>
    </row>
    <row r="316" spans="2:4">
      <c r="B316" s="121">
        <v>40597</v>
      </c>
      <c r="C316" s="123">
        <v>3.49</v>
      </c>
      <c r="D316" s="73">
        <f t="shared" si="4"/>
        <v>3.49E-2</v>
      </c>
    </row>
    <row r="317" spans="2:4">
      <c r="B317" s="121">
        <v>40598</v>
      </c>
      <c r="C317" s="123">
        <v>3.46</v>
      </c>
      <c r="D317" s="73">
        <f t="shared" si="4"/>
        <v>3.4599999999999999E-2</v>
      </c>
    </row>
    <row r="318" spans="2:4">
      <c r="B318" s="121">
        <v>40599</v>
      </c>
      <c r="C318" s="123">
        <v>3.42</v>
      </c>
      <c r="D318" s="73">
        <f t="shared" si="4"/>
        <v>3.4200000000000001E-2</v>
      </c>
    </row>
    <row r="319" spans="2:4">
      <c r="B319" s="121">
        <v>40602</v>
      </c>
      <c r="C319" s="123">
        <v>3.42</v>
      </c>
      <c r="D319" s="73">
        <f t="shared" si="4"/>
        <v>3.4200000000000001E-2</v>
      </c>
    </row>
    <row r="320" spans="2:4">
      <c r="B320" s="121">
        <v>40603</v>
      </c>
      <c r="C320" s="123">
        <v>3.41</v>
      </c>
      <c r="D320" s="73">
        <f t="shared" si="4"/>
        <v>3.4099999999999998E-2</v>
      </c>
    </row>
    <row r="321" spans="2:4">
      <c r="B321" s="121">
        <v>40604</v>
      </c>
      <c r="C321" s="123">
        <v>3.46</v>
      </c>
      <c r="D321" s="73">
        <f t="shared" si="4"/>
        <v>3.4599999999999999E-2</v>
      </c>
    </row>
    <row r="322" spans="2:4">
      <c r="B322" s="121">
        <v>40605</v>
      </c>
      <c r="C322" s="123">
        <v>3.58</v>
      </c>
      <c r="D322" s="73">
        <f t="shared" si="4"/>
        <v>3.5799999999999998E-2</v>
      </c>
    </row>
    <row r="323" spans="2:4">
      <c r="B323" s="121">
        <v>40606</v>
      </c>
      <c r="C323" s="123">
        <v>3.49</v>
      </c>
      <c r="D323" s="73">
        <f t="shared" si="4"/>
        <v>3.49E-2</v>
      </c>
    </row>
    <row r="324" spans="2:4">
      <c r="B324" s="121">
        <v>40609</v>
      </c>
      <c r="C324" s="123">
        <v>3.51</v>
      </c>
      <c r="D324" s="73">
        <f t="shared" si="4"/>
        <v>3.5099999999999999E-2</v>
      </c>
    </row>
    <row r="325" spans="2:4">
      <c r="B325" s="121">
        <v>40610</v>
      </c>
      <c r="C325" s="123">
        <v>3.56</v>
      </c>
      <c r="D325" s="73">
        <f t="shared" si="4"/>
        <v>3.56E-2</v>
      </c>
    </row>
    <row r="326" spans="2:4">
      <c r="B326" s="121">
        <v>40611</v>
      </c>
      <c r="C326" s="123">
        <v>3.48</v>
      </c>
      <c r="D326" s="73">
        <f t="shared" si="4"/>
        <v>3.4799999999999998E-2</v>
      </c>
    </row>
    <row r="327" spans="2:4">
      <c r="B327" s="121">
        <v>40612</v>
      </c>
      <c r="C327" s="123">
        <v>3.37</v>
      </c>
      <c r="D327" s="73">
        <f t="shared" si="4"/>
        <v>3.3700000000000001E-2</v>
      </c>
    </row>
    <row r="328" spans="2:4">
      <c r="B328" s="121">
        <v>40613</v>
      </c>
      <c r="C328" s="123">
        <v>3.4</v>
      </c>
      <c r="D328" s="73">
        <f t="shared" si="4"/>
        <v>3.4000000000000002E-2</v>
      </c>
    </row>
    <row r="329" spans="2:4">
      <c r="B329" s="121">
        <v>40616</v>
      </c>
      <c r="C329" s="123">
        <v>3.36</v>
      </c>
      <c r="D329" s="73">
        <f t="shared" si="4"/>
        <v>3.3599999999999998E-2</v>
      </c>
    </row>
    <row r="330" spans="2:4">
      <c r="B330" s="121">
        <v>40617</v>
      </c>
      <c r="C330" s="123">
        <v>3.33</v>
      </c>
      <c r="D330" s="73">
        <f t="shared" si="4"/>
        <v>3.3300000000000003E-2</v>
      </c>
    </row>
    <row r="331" spans="2:4">
      <c r="B331" s="121">
        <v>40618</v>
      </c>
      <c r="C331" s="123">
        <v>3.22</v>
      </c>
      <c r="D331" s="73">
        <f t="shared" si="4"/>
        <v>3.2199999999999999E-2</v>
      </c>
    </row>
    <row r="332" spans="2:4">
      <c r="B332" s="121">
        <v>40619</v>
      </c>
      <c r="C332" s="123">
        <v>3.25</v>
      </c>
      <c r="D332" s="73">
        <f t="shared" si="4"/>
        <v>3.2500000000000001E-2</v>
      </c>
    </row>
    <row r="333" spans="2:4">
      <c r="B333" s="121">
        <v>40620</v>
      </c>
      <c r="C333" s="123">
        <v>3.28</v>
      </c>
      <c r="D333" s="73">
        <f t="shared" si="4"/>
        <v>3.2799999999999996E-2</v>
      </c>
    </row>
    <row r="334" spans="2:4">
      <c r="B334" s="121">
        <v>40623</v>
      </c>
      <c r="C334" s="123">
        <v>3.34</v>
      </c>
      <c r="D334" s="73">
        <f t="shared" si="4"/>
        <v>3.3399999999999999E-2</v>
      </c>
    </row>
    <row r="335" spans="2:4">
      <c r="B335" s="121">
        <v>40624</v>
      </c>
      <c r="C335" s="123">
        <v>3.34</v>
      </c>
      <c r="D335" s="73">
        <f t="shared" si="4"/>
        <v>3.3399999999999999E-2</v>
      </c>
    </row>
    <row r="336" spans="2:4">
      <c r="B336" s="121">
        <v>40625</v>
      </c>
      <c r="C336" s="123">
        <v>3.36</v>
      </c>
      <c r="D336" s="73">
        <f t="shared" si="4"/>
        <v>3.3599999999999998E-2</v>
      </c>
    </row>
    <row r="337" spans="2:4">
      <c r="B337" s="121">
        <v>40626</v>
      </c>
      <c r="C337" s="123">
        <v>3.42</v>
      </c>
      <c r="D337" s="73">
        <f t="shared" si="4"/>
        <v>3.4200000000000001E-2</v>
      </c>
    </row>
    <row r="338" spans="2:4">
      <c r="B338" s="121">
        <v>40627</v>
      </c>
      <c r="C338" s="123">
        <v>3.46</v>
      </c>
      <c r="D338" s="73">
        <f t="shared" si="4"/>
        <v>3.4599999999999999E-2</v>
      </c>
    </row>
    <row r="339" spans="2:4">
      <c r="B339" s="121">
        <v>40630</v>
      </c>
      <c r="C339" s="123">
        <v>3.47</v>
      </c>
      <c r="D339" s="73">
        <f t="shared" si="4"/>
        <v>3.4700000000000002E-2</v>
      </c>
    </row>
    <row r="340" spans="2:4">
      <c r="B340" s="121">
        <v>40631</v>
      </c>
      <c r="C340" s="123">
        <v>3.5</v>
      </c>
      <c r="D340" s="73">
        <f t="shared" si="4"/>
        <v>3.5000000000000003E-2</v>
      </c>
    </row>
    <row r="341" spans="2:4">
      <c r="B341" s="121">
        <v>40632</v>
      </c>
      <c r="C341" s="123">
        <v>3.47</v>
      </c>
      <c r="D341" s="73">
        <f t="shared" si="4"/>
        <v>3.4700000000000002E-2</v>
      </c>
    </row>
    <row r="342" spans="2:4">
      <c r="B342" s="121">
        <v>40633</v>
      </c>
      <c r="C342" s="123">
        <v>3.47</v>
      </c>
      <c r="D342" s="73">
        <f t="shared" si="4"/>
        <v>3.4700000000000002E-2</v>
      </c>
    </row>
    <row r="343" spans="2:4">
      <c r="B343" s="121">
        <v>40634</v>
      </c>
      <c r="C343" s="123">
        <v>3.46</v>
      </c>
      <c r="D343" s="73">
        <f t="shared" si="4"/>
        <v>3.4599999999999999E-2</v>
      </c>
    </row>
    <row r="344" spans="2:4">
      <c r="B344" s="121">
        <v>40637</v>
      </c>
      <c r="C344" s="123">
        <v>3.45</v>
      </c>
      <c r="D344" s="73">
        <f t="shared" si="4"/>
        <v>3.4500000000000003E-2</v>
      </c>
    </row>
    <row r="345" spans="2:4">
      <c r="B345" s="121">
        <v>40638</v>
      </c>
      <c r="C345" s="123">
        <v>3.5</v>
      </c>
      <c r="D345" s="73">
        <f t="shared" si="4"/>
        <v>3.5000000000000003E-2</v>
      </c>
    </row>
    <row r="346" spans="2:4">
      <c r="B346" s="121">
        <v>40639</v>
      </c>
      <c r="C346" s="123">
        <v>3.56</v>
      </c>
      <c r="D346" s="73">
        <f t="shared" si="4"/>
        <v>3.56E-2</v>
      </c>
    </row>
    <row r="347" spans="2:4">
      <c r="B347" s="121">
        <v>40640</v>
      </c>
      <c r="C347" s="123">
        <v>3.58</v>
      </c>
      <c r="D347" s="73">
        <f t="shared" ref="D347:D410" si="5">IF( LEN( C347 ) = 0, #N/A, IF( C347 = "ND", D346, C347 / 100 ) )</f>
        <v>3.5799999999999998E-2</v>
      </c>
    </row>
    <row r="348" spans="2:4">
      <c r="B348" s="121">
        <v>40641</v>
      </c>
      <c r="C348" s="123">
        <v>3.59</v>
      </c>
      <c r="D348" s="73">
        <f t="shared" si="5"/>
        <v>3.5900000000000001E-2</v>
      </c>
    </row>
    <row r="349" spans="2:4">
      <c r="B349" s="121">
        <v>40644</v>
      </c>
      <c r="C349" s="123">
        <v>3.59</v>
      </c>
      <c r="D349" s="73">
        <f t="shared" si="5"/>
        <v>3.5900000000000001E-2</v>
      </c>
    </row>
    <row r="350" spans="2:4">
      <c r="B350" s="121">
        <v>40645</v>
      </c>
      <c r="C350" s="123">
        <v>3.52</v>
      </c>
      <c r="D350" s="73">
        <f t="shared" si="5"/>
        <v>3.5200000000000002E-2</v>
      </c>
    </row>
    <row r="351" spans="2:4">
      <c r="B351" s="121">
        <v>40646</v>
      </c>
      <c r="C351" s="123">
        <v>3.49</v>
      </c>
      <c r="D351" s="73">
        <f t="shared" si="5"/>
        <v>3.49E-2</v>
      </c>
    </row>
    <row r="352" spans="2:4">
      <c r="B352" s="121">
        <v>40647</v>
      </c>
      <c r="C352" s="123">
        <v>3.51</v>
      </c>
      <c r="D352" s="73">
        <f t="shared" si="5"/>
        <v>3.5099999999999999E-2</v>
      </c>
    </row>
    <row r="353" spans="2:4">
      <c r="B353" s="121">
        <v>40648</v>
      </c>
      <c r="C353" s="123">
        <v>3.43</v>
      </c>
      <c r="D353" s="73">
        <f t="shared" si="5"/>
        <v>3.4300000000000004E-2</v>
      </c>
    </row>
    <row r="354" spans="2:4">
      <c r="B354" s="121">
        <v>40651</v>
      </c>
      <c r="C354" s="123">
        <v>3.4</v>
      </c>
      <c r="D354" s="73">
        <f t="shared" si="5"/>
        <v>3.4000000000000002E-2</v>
      </c>
    </row>
    <row r="355" spans="2:4">
      <c r="B355" s="121">
        <v>40652</v>
      </c>
      <c r="C355" s="123">
        <v>3.39</v>
      </c>
      <c r="D355" s="73">
        <f t="shared" si="5"/>
        <v>3.39E-2</v>
      </c>
    </row>
    <row r="356" spans="2:4">
      <c r="B356" s="121">
        <v>40653</v>
      </c>
      <c r="C356" s="123">
        <v>3.43</v>
      </c>
      <c r="D356" s="73">
        <f t="shared" si="5"/>
        <v>3.4300000000000004E-2</v>
      </c>
    </row>
    <row r="357" spans="2:4">
      <c r="B357" s="121">
        <v>40654</v>
      </c>
      <c r="C357" s="123">
        <v>3.42</v>
      </c>
      <c r="D357" s="73">
        <f t="shared" si="5"/>
        <v>3.4200000000000001E-2</v>
      </c>
    </row>
    <row r="358" spans="2:4">
      <c r="B358" s="121">
        <v>40658</v>
      </c>
      <c r="C358" s="123">
        <v>3.39</v>
      </c>
      <c r="D358" s="73">
        <f t="shared" si="5"/>
        <v>3.39E-2</v>
      </c>
    </row>
    <row r="359" spans="2:4">
      <c r="B359" s="121">
        <v>40659</v>
      </c>
      <c r="C359" s="123">
        <v>3.34</v>
      </c>
      <c r="D359" s="73">
        <f t="shared" si="5"/>
        <v>3.3399999999999999E-2</v>
      </c>
    </row>
    <row r="360" spans="2:4">
      <c r="B360" s="121">
        <v>40660</v>
      </c>
      <c r="C360" s="123">
        <v>3.39</v>
      </c>
      <c r="D360" s="73">
        <f t="shared" si="5"/>
        <v>3.39E-2</v>
      </c>
    </row>
    <row r="361" spans="2:4">
      <c r="B361" s="121">
        <v>40661</v>
      </c>
      <c r="C361" s="123">
        <v>3.34</v>
      </c>
      <c r="D361" s="73">
        <f t="shared" si="5"/>
        <v>3.3399999999999999E-2</v>
      </c>
    </row>
    <row r="362" spans="2:4">
      <c r="B362" s="121">
        <v>40662</v>
      </c>
      <c r="C362" s="123">
        <v>3.32</v>
      </c>
      <c r="D362" s="73">
        <f t="shared" si="5"/>
        <v>3.32E-2</v>
      </c>
    </row>
    <row r="363" spans="2:4">
      <c r="B363" s="121">
        <v>40665</v>
      </c>
      <c r="C363" s="123">
        <v>3.31</v>
      </c>
      <c r="D363" s="73">
        <f t="shared" si="5"/>
        <v>3.3099999999999997E-2</v>
      </c>
    </row>
    <row r="364" spans="2:4">
      <c r="B364" s="121">
        <v>40666</v>
      </c>
      <c r="C364" s="123">
        <v>3.28</v>
      </c>
      <c r="D364" s="73">
        <f t="shared" si="5"/>
        <v>3.2799999999999996E-2</v>
      </c>
    </row>
    <row r="365" spans="2:4">
      <c r="B365" s="121">
        <v>40667</v>
      </c>
      <c r="C365" s="123">
        <v>3.25</v>
      </c>
      <c r="D365" s="73">
        <f t="shared" si="5"/>
        <v>3.2500000000000001E-2</v>
      </c>
    </row>
    <row r="366" spans="2:4">
      <c r="B366" s="121">
        <v>40668</v>
      </c>
      <c r="C366" s="123">
        <v>3.18</v>
      </c>
      <c r="D366" s="73">
        <f t="shared" si="5"/>
        <v>3.1800000000000002E-2</v>
      </c>
    </row>
    <row r="367" spans="2:4">
      <c r="B367" s="121">
        <v>40669</v>
      </c>
      <c r="C367" s="123">
        <v>3.19</v>
      </c>
      <c r="D367" s="73">
        <f t="shared" si="5"/>
        <v>3.1899999999999998E-2</v>
      </c>
    </row>
    <row r="368" spans="2:4">
      <c r="B368" s="121">
        <v>40672</v>
      </c>
      <c r="C368" s="123">
        <v>3.17</v>
      </c>
      <c r="D368" s="73">
        <f t="shared" si="5"/>
        <v>3.1699999999999999E-2</v>
      </c>
    </row>
    <row r="369" spans="2:4">
      <c r="B369" s="121">
        <v>40673</v>
      </c>
      <c r="C369" s="123">
        <v>3.23</v>
      </c>
      <c r="D369" s="73">
        <f t="shared" si="5"/>
        <v>3.2300000000000002E-2</v>
      </c>
    </row>
    <row r="370" spans="2:4">
      <c r="B370" s="121">
        <v>40674</v>
      </c>
      <c r="C370" s="123">
        <v>3.19</v>
      </c>
      <c r="D370" s="73">
        <f t="shared" si="5"/>
        <v>3.1899999999999998E-2</v>
      </c>
    </row>
    <row r="371" spans="2:4">
      <c r="B371" s="121">
        <v>40675</v>
      </c>
      <c r="C371" s="123">
        <v>3.22</v>
      </c>
      <c r="D371" s="73">
        <f t="shared" si="5"/>
        <v>3.2199999999999999E-2</v>
      </c>
    </row>
    <row r="372" spans="2:4">
      <c r="B372" s="121">
        <v>40676</v>
      </c>
      <c r="C372" s="123">
        <v>3.18</v>
      </c>
      <c r="D372" s="73">
        <f t="shared" si="5"/>
        <v>3.1800000000000002E-2</v>
      </c>
    </row>
    <row r="373" spans="2:4">
      <c r="B373" s="121">
        <v>40679</v>
      </c>
      <c r="C373" s="123">
        <v>3.15</v>
      </c>
      <c r="D373" s="73">
        <f t="shared" si="5"/>
        <v>3.15E-2</v>
      </c>
    </row>
    <row r="374" spans="2:4">
      <c r="B374" s="121">
        <v>40680</v>
      </c>
      <c r="C374" s="123">
        <v>3.12</v>
      </c>
      <c r="D374" s="73">
        <f t="shared" si="5"/>
        <v>3.1200000000000002E-2</v>
      </c>
    </row>
    <row r="375" spans="2:4">
      <c r="B375" s="121">
        <v>40681</v>
      </c>
      <c r="C375" s="123">
        <v>3.18</v>
      </c>
      <c r="D375" s="73">
        <f t="shared" si="5"/>
        <v>3.1800000000000002E-2</v>
      </c>
    </row>
    <row r="376" spans="2:4">
      <c r="B376" s="121">
        <v>40682</v>
      </c>
      <c r="C376" s="123">
        <v>3.17</v>
      </c>
      <c r="D376" s="73">
        <f t="shared" si="5"/>
        <v>3.1699999999999999E-2</v>
      </c>
    </row>
    <row r="377" spans="2:4">
      <c r="B377" s="121">
        <v>40683</v>
      </c>
      <c r="C377" s="123">
        <v>3.15</v>
      </c>
      <c r="D377" s="73">
        <f t="shared" si="5"/>
        <v>3.15E-2</v>
      </c>
    </row>
    <row r="378" spans="2:4">
      <c r="B378" s="121">
        <v>40686</v>
      </c>
      <c r="C378" s="123">
        <v>3.13</v>
      </c>
      <c r="D378" s="73">
        <f t="shared" si="5"/>
        <v>3.1300000000000001E-2</v>
      </c>
    </row>
    <row r="379" spans="2:4">
      <c r="B379" s="121">
        <v>40687</v>
      </c>
      <c r="C379" s="123">
        <v>3.12</v>
      </c>
      <c r="D379" s="73">
        <f t="shared" si="5"/>
        <v>3.1200000000000002E-2</v>
      </c>
    </row>
    <row r="380" spans="2:4">
      <c r="B380" s="121">
        <v>40688</v>
      </c>
      <c r="C380" s="123">
        <v>3.13</v>
      </c>
      <c r="D380" s="73">
        <f t="shared" si="5"/>
        <v>3.1300000000000001E-2</v>
      </c>
    </row>
    <row r="381" spans="2:4">
      <c r="B381" s="121">
        <v>40689</v>
      </c>
      <c r="C381" s="123">
        <v>3.07</v>
      </c>
      <c r="D381" s="73">
        <f t="shared" si="5"/>
        <v>3.0699999999999998E-2</v>
      </c>
    </row>
    <row r="382" spans="2:4">
      <c r="B382" s="121">
        <v>40690</v>
      </c>
      <c r="C382" s="123">
        <v>3.07</v>
      </c>
      <c r="D382" s="73">
        <f t="shared" si="5"/>
        <v>3.0699999999999998E-2</v>
      </c>
    </row>
    <row r="383" spans="2:4">
      <c r="B383" s="121">
        <v>40694</v>
      </c>
      <c r="C383" s="123">
        <v>3.05</v>
      </c>
      <c r="D383" s="73">
        <f t="shared" si="5"/>
        <v>3.0499999999999999E-2</v>
      </c>
    </row>
    <row r="384" spans="2:4">
      <c r="B384" s="121">
        <v>40695</v>
      </c>
      <c r="C384" s="123">
        <v>2.96</v>
      </c>
      <c r="D384" s="73">
        <f t="shared" si="5"/>
        <v>2.9600000000000001E-2</v>
      </c>
    </row>
    <row r="385" spans="2:4">
      <c r="B385" s="121">
        <v>40696</v>
      </c>
      <c r="C385" s="123">
        <v>3.04</v>
      </c>
      <c r="D385" s="73">
        <f t="shared" si="5"/>
        <v>3.04E-2</v>
      </c>
    </row>
    <row r="386" spans="2:4">
      <c r="B386" s="121">
        <v>40697</v>
      </c>
      <c r="C386" s="123">
        <v>2.99</v>
      </c>
      <c r="D386" s="73">
        <f t="shared" si="5"/>
        <v>2.9900000000000003E-2</v>
      </c>
    </row>
    <row r="387" spans="2:4">
      <c r="B387" s="121">
        <v>40700</v>
      </c>
      <c r="C387" s="123">
        <v>3.01</v>
      </c>
      <c r="D387" s="73">
        <f t="shared" si="5"/>
        <v>3.0099999999999998E-2</v>
      </c>
    </row>
    <row r="388" spans="2:4">
      <c r="B388" s="121">
        <v>40701</v>
      </c>
      <c r="C388" s="123">
        <v>3.01</v>
      </c>
      <c r="D388" s="73">
        <f t="shared" si="5"/>
        <v>3.0099999999999998E-2</v>
      </c>
    </row>
    <row r="389" spans="2:4">
      <c r="B389" s="121">
        <v>40702</v>
      </c>
      <c r="C389" s="123">
        <v>2.98</v>
      </c>
      <c r="D389" s="73">
        <f t="shared" si="5"/>
        <v>2.98E-2</v>
      </c>
    </row>
    <row r="390" spans="2:4">
      <c r="B390" s="121">
        <v>40703</v>
      </c>
      <c r="C390" s="123">
        <v>3.01</v>
      </c>
      <c r="D390" s="73">
        <f t="shared" si="5"/>
        <v>3.0099999999999998E-2</v>
      </c>
    </row>
    <row r="391" spans="2:4">
      <c r="B391" s="121">
        <v>40704</v>
      </c>
      <c r="C391" s="123">
        <v>2.99</v>
      </c>
      <c r="D391" s="73">
        <f t="shared" si="5"/>
        <v>2.9900000000000003E-2</v>
      </c>
    </row>
    <row r="392" spans="2:4">
      <c r="B392" s="121">
        <v>40707</v>
      </c>
      <c r="C392" s="123">
        <v>3</v>
      </c>
      <c r="D392" s="73">
        <f t="shared" si="5"/>
        <v>0.03</v>
      </c>
    </row>
    <row r="393" spans="2:4">
      <c r="B393" s="121">
        <v>40708</v>
      </c>
      <c r="C393" s="123">
        <v>3.11</v>
      </c>
      <c r="D393" s="73">
        <f t="shared" si="5"/>
        <v>3.1099999999999999E-2</v>
      </c>
    </row>
    <row r="394" spans="2:4">
      <c r="B394" s="121">
        <v>40709</v>
      </c>
      <c r="C394" s="123">
        <v>2.98</v>
      </c>
      <c r="D394" s="73">
        <f t="shared" si="5"/>
        <v>2.98E-2</v>
      </c>
    </row>
    <row r="395" spans="2:4">
      <c r="B395" s="121">
        <v>40710</v>
      </c>
      <c r="C395" s="123">
        <v>2.93</v>
      </c>
      <c r="D395" s="73">
        <f t="shared" si="5"/>
        <v>2.9300000000000003E-2</v>
      </c>
    </row>
    <row r="396" spans="2:4">
      <c r="B396" s="121">
        <v>40711</v>
      </c>
      <c r="C396" s="123">
        <v>2.94</v>
      </c>
      <c r="D396" s="73">
        <f t="shared" si="5"/>
        <v>2.9399999999999999E-2</v>
      </c>
    </row>
    <row r="397" spans="2:4">
      <c r="B397" s="121">
        <v>40714</v>
      </c>
      <c r="C397" s="123">
        <v>2.97</v>
      </c>
      <c r="D397" s="73">
        <f t="shared" si="5"/>
        <v>2.9700000000000001E-2</v>
      </c>
    </row>
    <row r="398" spans="2:4">
      <c r="B398" s="121">
        <v>40715</v>
      </c>
      <c r="C398" s="123">
        <v>2.99</v>
      </c>
      <c r="D398" s="73">
        <f t="shared" si="5"/>
        <v>2.9900000000000003E-2</v>
      </c>
    </row>
    <row r="399" spans="2:4">
      <c r="B399" s="121">
        <v>40716</v>
      </c>
      <c r="C399" s="123">
        <v>3.01</v>
      </c>
      <c r="D399" s="73">
        <f t="shared" si="5"/>
        <v>3.0099999999999998E-2</v>
      </c>
    </row>
    <row r="400" spans="2:4">
      <c r="B400" s="121">
        <v>40717</v>
      </c>
      <c r="C400" s="123">
        <v>2.93</v>
      </c>
      <c r="D400" s="73">
        <f t="shared" si="5"/>
        <v>2.9300000000000003E-2</v>
      </c>
    </row>
    <row r="401" spans="2:4">
      <c r="B401" s="121">
        <v>40718</v>
      </c>
      <c r="C401" s="123">
        <v>2.88</v>
      </c>
      <c r="D401" s="73">
        <f t="shared" si="5"/>
        <v>2.8799999999999999E-2</v>
      </c>
    </row>
    <row r="402" spans="2:4">
      <c r="B402" s="121">
        <v>40721</v>
      </c>
      <c r="C402" s="123">
        <v>2.95</v>
      </c>
      <c r="D402" s="73">
        <f t="shared" si="5"/>
        <v>2.9500000000000002E-2</v>
      </c>
    </row>
    <row r="403" spans="2:4">
      <c r="B403" s="121">
        <v>40722</v>
      </c>
      <c r="C403" s="123">
        <v>3.05</v>
      </c>
      <c r="D403" s="73">
        <f t="shared" si="5"/>
        <v>3.0499999999999999E-2</v>
      </c>
    </row>
    <row r="404" spans="2:4">
      <c r="B404" s="121">
        <v>40723</v>
      </c>
      <c r="C404" s="123">
        <v>3.14</v>
      </c>
      <c r="D404" s="73">
        <f t="shared" si="5"/>
        <v>3.1400000000000004E-2</v>
      </c>
    </row>
    <row r="405" spans="2:4">
      <c r="B405" s="121">
        <v>40724</v>
      </c>
      <c r="C405" s="123">
        <v>3.18</v>
      </c>
      <c r="D405" s="73">
        <f t="shared" si="5"/>
        <v>3.1800000000000002E-2</v>
      </c>
    </row>
    <row r="406" spans="2:4">
      <c r="B406" s="121">
        <v>40725</v>
      </c>
      <c r="C406" s="123">
        <v>3.22</v>
      </c>
      <c r="D406" s="73">
        <f t="shared" si="5"/>
        <v>3.2199999999999999E-2</v>
      </c>
    </row>
    <row r="407" spans="2:4">
      <c r="B407" s="121">
        <v>40729</v>
      </c>
      <c r="C407" s="123">
        <v>3.16</v>
      </c>
      <c r="D407" s="73">
        <f t="shared" si="5"/>
        <v>3.1600000000000003E-2</v>
      </c>
    </row>
    <row r="408" spans="2:4">
      <c r="B408" s="121">
        <v>40730</v>
      </c>
      <c r="C408" s="123">
        <v>3.12</v>
      </c>
      <c r="D408" s="73">
        <f t="shared" si="5"/>
        <v>3.1200000000000002E-2</v>
      </c>
    </row>
    <row r="409" spans="2:4">
      <c r="B409" s="121">
        <v>40731</v>
      </c>
      <c r="C409" s="123">
        <v>3.17</v>
      </c>
      <c r="D409" s="73">
        <f t="shared" si="5"/>
        <v>3.1699999999999999E-2</v>
      </c>
    </row>
    <row r="410" spans="2:4">
      <c r="B410" s="121">
        <v>40732</v>
      </c>
      <c r="C410" s="123">
        <v>3.03</v>
      </c>
      <c r="D410" s="73">
        <f t="shared" si="5"/>
        <v>3.0299999999999997E-2</v>
      </c>
    </row>
    <row r="411" spans="2:4">
      <c r="B411" s="121">
        <v>40735</v>
      </c>
      <c r="C411" s="123">
        <v>2.94</v>
      </c>
      <c r="D411" s="73">
        <f t="shared" ref="D411:D474" si="6">IF( LEN( C411 ) = 0, #N/A, IF( C411 = "ND", D410, C411 / 100 ) )</f>
        <v>2.9399999999999999E-2</v>
      </c>
    </row>
    <row r="412" spans="2:4">
      <c r="B412" s="121">
        <v>40736</v>
      </c>
      <c r="C412" s="123">
        <v>2.92</v>
      </c>
      <c r="D412" s="73">
        <f t="shared" si="6"/>
        <v>2.92E-2</v>
      </c>
    </row>
    <row r="413" spans="2:4">
      <c r="B413" s="121">
        <v>40737</v>
      </c>
      <c r="C413" s="123">
        <v>2.92</v>
      </c>
      <c r="D413" s="73">
        <f t="shared" si="6"/>
        <v>2.92E-2</v>
      </c>
    </row>
    <row r="414" spans="2:4">
      <c r="B414" s="121">
        <v>40738</v>
      </c>
      <c r="C414" s="123">
        <v>2.98</v>
      </c>
      <c r="D414" s="73">
        <f t="shared" si="6"/>
        <v>2.98E-2</v>
      </c>
    </row>
    <row r="415" spans="2:4">
      <c r="B415" s="121">
        <v>40739</v>
      </c>
      <c r="C415" s="123">
        <v>2.94</v>
      </c>
      <c r="D415" s="73">
        <f t="shared" si="6"/>
        <v>2.9399999999999999E-2</v>
      </c>
    </row>
    <row r="416" spans="2:4">
      <c r="B416" s="121">
        <v>40742</v>
      </c>
      <c r="C416" s="123">
        <v>2.94</v>
      </c>
      <c r="D416" s="73">
        <f t="shared" si="6"/>
        <v>2.9399999999999999E-2</v>
      </c>
    </row>
    <row r="417" spans="2:4">
      <c r="B417" s="121">
        <v>40743</v>
      </c>
      <c r="C417" s="123">
        <v>2.91</v>
      </c>
      <c r="D417" s="73">
        <f t="shared" si="6"/>
        <v>2.9100000000000001E-2</v>
      </c>
    </row>
    <row r="418" spans="2:4">
      <c r="B418" s="121">
        <v>40744</v>
      </c>
      <c r="C418" s="123">
        <v>2.96</v>
      </c>
      <c r="D418" s="73">
        <f t="shared" si="6"/>
        <v>2.9600000000000001E-2</v>
      </c>
    </row>
    <row r="419" spans="2:4">
      <c r="B419" s="121">
        <v>40745</v>
      </c>
      <c r="C419" s="123">
        <v>3.03</v>
      </c>
      <c r="D419" s="73">
        <f t="shared" si="6"/>
        <v>3.0299999999999997E-2</v>
      </c>
    </row>
    <row r="420" spans="2:4">
      <c r="B420" s="121">
        <v>40746</v>
      </c>
      <c r="C420" s="123">
        <v>2.99</v>
      </c>
      <c r="D420" s="73">
        <f t="shared" si="6"/>
        <v>2.9900000000000003E-2</v>
      </c>
    </row>
    <row r="421" spans="2:4">
      <c r="B421" s="121">
        <v>40749</v>
      </c>
      <c r="C421" s="123">
        <v>3.03</v>
      </c>
      <c r="D421" s="73">
        <f t="shared" si="6"/>
        <v>3.0299999999999997E-2</v>
      </c>
    </row>
    <row r="422" spans="2:4">
      <c r="B422" s="121">
        <v>40750</v>
      </c>
      <c r="C422" s="123">
        <v>2.99</v>
      </c>
      <c r="D422" s="73">
        <f t="shared" si="6"/>
        <v>2.9900000000000003E-2</v>
      </c>
    </row>
    <row r="423" spans="2:4">
      <c r="B423" s="121">
        <v>40751</v>
      </c>
      <c r="C423" s="123">
        <v>3.01</v>
      </c>
      <c r="D423" s="73">
        <f t="shared" si="6"/>
        <v>3.0099999999999998E-2</v>
      </c>
    </row>
    <row r="424" spans="2:4">
      <c r="B424" s="121">
        <v>40752</v>
      </c>
      <c r="C424" s="123">
        <v>2.98</v>
      </c>
      <c r="D424" s="73">
        <f t="shared" si="6"/>
        <v>2.98E-2</v>
      </c>
    </row>
    <row r="425" spans="2:4">
      <c r="B425" s="121">
        <v>40753</v>
      </c>
      <c r="C425" s="123">
        <v>2.82</v>
      </c>
      <c r="D425" s="73">
        <f t="shared" si="6"/>
        <v>2.8199999999999999E-2</v>
      </c>
    </row>
    <row r="426" spans="2:4">
      <c r="B426" s="121">
        <v>40756</v>
      </c>
      <c r="C426" s="123">
        <v>2.77</v>
      </c>
      <c r="D426" s="73">
        <f t="shared" si="6"/>
        <v>2.7699999999999999E-2</v>
      </c>
    </row>
    <row r="427" spans="2:4">
      <c r="B427" s="121">
        <v>40757</v>
      </c>
      <c r="C427" s="123">
        <v>2.66</v>
      </c>
      <c r="D427" s="73">
        <f t="shared" si="6"/>
        <v>2.6600000000000002E-2</v>
      </c>
    </row>
    <row r="428" spans="2:4">
      <c r="B428" s="121">
        <v>40758</v>
      </c>
      <c r="C428" s="123">
        <v>2.64</v>
      </c>
      <c r="D428" s="73">
        <f t="shared" si="6"/>
        <v>2.64E-2</v>
      </c>
    </row>
    <row r="429" spans="2:4">
      <c r="B429" s="121">
        <v>40759</v>
      </c>
      <c r="C429" s="123">
        <v>2.4700000000000002</v>
      </c>
      <c r="D429" s="73">
        <f t="shared" si="6"/>
        <v>2.4700000000000003E-2</v>
      </c>
    </row>
    <row r="430" spans="2:4">
      <c r="B430" s="121">
        <v>40760</v>
      </c>
      <c r="C430" s="123">
        <v>2.58</v>
      </c>
      <c r="D430" s="73">
        <f t="shared" si="6"/>
        <v>2.58E-2</v>
      </c>
    </row>
    <row r="431" spans="2:4">
      <c r="B431" s="121">
        <v>40763</v>
      </c>
      <c r="C431" s="123">
        <v>2.4</v>
      </c>
      <c r="D431" s="73">
        <f t="shared" si="6"/>
        <v>2.4E-2</v>
      </c>
    </row>
    <row r="432" spans="2:4">
      <c r="B432" s="121">
        <v>40764</v>
      </c>
      <c r="C432" s="123">
        <v>2.2000000000000002</v>
      </c>
      <c r="D432" s="73">
        <f t="shared" si="6"/>
        <v>2.2000000000000002E-2</v>
      </c>
    </row>
    <row r="433" spans="2:4">
      <c r="B433" s="121">
        <v>40765</v>
      </c>
      <c r="C433" s="123">
        <v>2.17</v>
      </c>
      <c r="D433" s="73">
        <f t="shared" si="6"/>
        <v>2.1700000000000001E-2</v>
      </c>
    </row>
    <row r="434" spans="2:4">
      <c r="B434" s="121">
        <v>40766</v>
      </c>
      <c r="C434" s="123">
        <v>2.34</v>
      </c>
      <c r="D434" s="73">
        <f t="shared" si="6"/>
        <v>2.3399999999999997E-2</v>
      </c>
    </row>
    <row r="435" spans="2:4">
      <c r="B435" s="121">
        <v>40767</v>
      </c>
      <c r="C435" s="123">
        <v>2.2400000000000002</v>
      </c>
      <c r="D435" s="73">
        <f t="shared" si="6"/>
        <v>2.2400000000000003E-2</v>
      </c>
    </row>
    <row r="436" spans="2:4">
      <c r="B436" s="121">
        <v>40770</v>
      </c>
      <c r="C436" s="123">
        <v>2.29</v>
      </c>
      <c r="D436" s="73">
        <f t="shared" si="6"/>
        <v>2.29E-2</v>
      </c>
    </row>
    <row r="437" spans="2:4">
      <c r="B437" s="121">
        <v>40771</v>
      </c>
      <c r="C437" s="123">
        <v>2.23</v>
      </c>
      <c r="D437" s="73">
        <f t="shared" si="6"/>
        <v>2.23E-2</v>
      </c>
    </row>
    <row r="438" spans="2:4">
      <c r="B438" s="121">
        <v>40772</v>
      </c>
      <c r="C438" s="123">
        <v>2.17</v>
      </c>
      <c r="D438" s="73">
        <f t="shared" si="6"/>
        <v>2.1700000000000001E-2</v>
      </c>
    </row>
    <row r="439" spans="2:4">
      <c r="B439" s="121">
        <v>40773</v>
      </c>
      <c r="C439" s="123">
        <v>2.08</v>
      </c>
      <c r="D439" s="73">
        <f t="shared" si="6"/>
        <v>2.0799999999999999E-2</v>
      </c>
    </row>
    <row r="440" spans="2:4">
      <c r="B440" s="121">
        <v>40774</v>
      </c>
      <c r="C440" s="123">
        <v>2.0699999999999998</v>
      </c>
      <c r="D440" s="73">
        <f t="shared" si="6"/>
        <v>2.07E-2</v>
      </c>
    </row>
    <row r="441" spans="2:4">
      <c r="B441" s="121">
        <v>40777</v>
      </c>
      <c r="C441" s="123">
        <v>2.1</v>
      </c>
      <c r="D441" s="73">
        <f t="shared" si="6"/>
        <v>2.1000000000000001E-2</v>
      </c>
    </row>
    <row r="442" spans="2:4">
      <c r="B442" s="121">
        <v>40778</v>
      </c>
      <c r="C442" s="123">
        <v>2.15</v>
      </c>
      <c r="D442" s="73">
        <f t="shared" si="6"/>
        <v>2.1499999999999998E-2</v>
      </c>
    </row>
    <row r="443" spans="2:4">
      <c r="B443" s="121">
        <v>40779</v>
      </c>
      <c r="C443" s="123">
        <v>2.29</v>
      </c>
      <c r="D443" s="73">
        <f t="shared" si="6"/>
        <v>2.29E-2</v>
      </c>
    </row>
    <row r="444" spans="2:4">
      <c r="B444" s="121">
        <v>40780</v>
      </c>
      <c r="C444" s="123">
        <v>2.23</v>
      </c>
      <c r="D444" s="73">
        <f t="shared" si="6"/>
        <v>2.23E-2</v>
      </c>
    </row>
    <row r="445" spans="2:4">
      <c r="B445" s="121">
        <v>40781</v>
      </c>
      <c r="C445" s="123">
        <v>2.19</v>
      </c>
      <c r="D445" s="73">
        <f t="shared" si="6"/>
        <v>2.1899999999999999E-2</v>
      </c>
    </row>
    <row r="446" spans="2:4">
      <c r="B446" s="121">
        <v>40784</v>
      </c>
      <c r="C446" s="123">
        <v>2.2799999999999998</v>
      </c>
      <c r="D446" s="73">
        <f t="shared" si="6"/>
        <v>2.2799999999999997E-2</v>
      </c>
    </row>
    <row r="447" spans="2:4">
      <c r="B447" s="121">
        <v>40785</v>
      </c>
      <c r="C447" s="123">
        <v>2.19</v>
      </c>
      <c r="D447" s="73">
        <f t="shared" si="6"/>
        <v>2.1899999999999999E-2</v>
      </c>
    </row>
    <row r="448" spans="2:4">
      <c r="B448" s="121">
        <v>40786</v>
      </c>
      <c r="C448" s="123">
        <v>2.23</v>
      </c>
      <c r="D448" s="73">
        <f t="shared" si="6"/>
        <v>2.23E-2</v>
      </c>
    </row>
    <row r="449" spans="2:4">
      <c r="B449" s="121">
        <v>40787</v>
      </c>
      <c r="C449" s="123">
        <v>2.15</v>
      </c>
      <c r="D449" s="73">
        <f t="shared" si="6"/>
        <v>2.1499999999999998E-2</v>
      </c>
    </row>
    <row r="450" spans="2:4">
      <c r="B450" s="121">
        <v>40788</v>
      </c>
      <c r="C450" s="123">
        <v>2.02</v>
      </c>
      <c r="D450" s="73">
        <f t="shared" si="6"/>
        <v>2.0199999999999999E-2</v>
      </c>
    </row>
    <row r="451" spans="2:4">
      <c r="B451" s="121">
        <v>40792</v>
      </c>
      <c r="C451" s="123">
        <v>1.98</v>
      </c>
      <c r="D451" s="73">
        <f t="shared" si="6"/>
        <v>1.9799999999999998E-2</v>
      </c>
    </row>
    <row r="452" spans="2:4">
      <c r="B452" s="121">
        <v>40793</v>
      </c>
      <c r="C452" s="123">
        <v>2.0499999999999998</v>
      </c>
      <c r="D452" s="73">
        <f t="shared" si="6"/>
        <v>2.0499999999999997E-2</v>
      </c>
    </row>
    <row r="453" spans="2:4">
      <c r="B453" s="121">
        <v>40794</v>
      </c>
      <c r="C453" s="123">
        <v>2</v>
      </c>
      <c r="D453" s="73">
        <f t="shared" si="6"/>
        <v>0.02</v>
      </c>
    </row>
    <row r="454" spans="2:4">
      <c r="B454" s="121">
        <v>40795</v>
      </c>
      <c r="C454" s="123">
        <v>1.93</v>
      </c>
      <c r="D454" s="73">
        <f t="shared" si="6"/>
        <v>1.9299999999999998E-2</v>
      </c>
    </row>
    <row r="455" spans="2:4">
      <c r="B455" s="121">
        <v>40798</v>
      </c>
      <c r="C455" s="123">
        <v>1.94</v>
      </c>
      <c r="D455" s="73">
        <f t="shared" si="6"/>
        <v>1.9400000000000001E-2</v>
      </c>
    </row>
    <row r="456" spans="2:4">
      <c r="B456" s="121">
        <v>40799</v>
      </c>
      <c r="C456" s="123">
        <v>2</v>
      </c>
      <c r="D456" s="73">
        <f t="shared" si="6"/>
        <v>0.02</v>
      </c>
    </row>
    <row r="457" spans="2:4">
      <c r="B457" s="121">
        <v>40800</v>
      </c>
      <c r="C457" s="123">
        <v>2.0299999999999998</v>
      </c>
      <c r="D457" s="73">
        <f t="shared" si="6"/>
        <v>2.0299999999999999E-2</v>
      </c>
    </row>
    <row r="458" spans="2:4">
      <c r="B458" s="121">
        <v>40801</v>
      </c>
      <c r="C458" s="123">
        <v>2.09</v>
      </c>
      <c r="D458" s="73">
        <f t="shared" si="6"/>
        <v>2.0899999999999998E-2</v>
      </c>
    </row>
    <row r="459" spans="2:4">
      <c r="B459" s="121">
        <v>40802</v>
      </c>
      <c r="C459" s="123">
        <v>2.08</v>
      </c>
      <c r="D459" s="73">
        <f t="shared" si="6"/>
        <v>2.0799999999999999E-2</v>
      </c>
    </row>
    <row r="460" spans="2:4">
      <c r="B460" s="121">
        <v>40805</v>
      </c>
      <c r="C460" s="123">
        <v>1.97</v>
      </c>
      <c r="D460" s="73">
        <f t="shared" si="6"/>
        <v>1.9699999999999999E-2</v>
      </c>
    </row>
    <row r="461" spans="2:4">
      <c r="B461" s="121">
        <v>40806</v>
      </c>
      <c r="C461" s="123">
        <v>1.95</v>
      </c>
      <c r="D461" s="73">
        <f t="shared" si="6"/>
        <v>1.95E-2</v>
      </c>
    </row>
    <row r="462" spans="2:4">
      <c r="B462" s="121">
        <v>40807</v>
      </c>
      <c r="C462" s="123">
        <v>1.88</v>
      </c>
      <c r="D462" s="73">
        <f t="shared" si="6"/>
        <v>1.8799999999999997E-2</v>
      </c>
    </row>
    <row r="463" spans="2:4">
      <c r="B463" s="121">
        <v>40808</v>
      </c>
      <c r="C463" s="123">
        <v>1.72</v>
      </c>
      <c r="D463" s="73">
        <f t="shared" si="6"/>
        <v>1.72E-2</v>
      </c>
    </row>
    <row r="464" spans="2:4">
      <c r="B464" s="121">
        <v>40809</v>
      </c>
      <c r="C464" s="123">
        <v>1.84</v>
      </c>
      <c r="D464" s="73">
        <f t="shared" si="6"/>
        <v>1.84E-2</v>
      </c>
    </row>
    <row r="465" spans="2:4">
      <c r="B465" s="121">
        <v>40812</v>
      </c>
      <c r="C465" s="123">
        <v>1.91</v>
      </c>
      <c r="D465" s="73">
        <f t="shared" si="6"/>
        <v>1.9099999999999999E-2</v>
      </c>
    </row>
    <row r="466" spans="2:4">
      <c r="B466" s="121">
        <v>40813</v>
      </c>
      <c r="C466" s="123">
        <v>2</v>
      </c>
      <c r="D466" s="73">
        <f t="shared" si="6"/>
        <v>0.02</v>
      </c>
    </row>
    <row r="467" spans="2:4">
      <c r="B467" s="121">
        <v>40814</v>
      </c>
      <c r="C467" s="123">
        <v>2.0299999999999998</v>
      </c>
      <c r="D467" s="73">
        <f t="shared" si="6"/>
        <v>2.0299999999999999E-2</v>
      </c>
    </row>
    <row r="468" spans="2:4">
      <c r="B468" s="121">
        <v>40815</v>
      </c>
      <c r="C468" s="123">
        <v>1.99</v>
      </c>
      <c r="D468" s="73">
        <f t="shared" si="6"/>
        <v>1.9900000000000001E-2</v>
      </c>
    </row>
    <row r="469" spans="2:4">
      <c r="B469" s="121">
        <v>40816</v>
      </c>
      <c r="C469" s="123">
        <v>1.92</v>
      </c>
      <c r="D469" s="73">
        <f t="shared" si="6"/>
        <v>1.9199999999999998E-2</v>
      </c>
    </row>
    <row r="470" spans="2:4">
      <c r="B470" s="121">
        <v>40819</v>
      </c>
      <c r="C470" s="123">
        <v>1.8</v>
      </c>
      <c r="D470" s="73">
        <f t="shared" si="6"/>
        <v>1.8000000000000002E-2</v>
      </c>
    </row>
    <row r="471" spans="2:4">
      <c r="B471" s="121">
        <v>40820</v>
      </c>
      <c r="C471" s="123">
        <v>1.81</v>
      </c>
      <c r="D471" s="73">
        <f t="shared" si="6"/>
        <v>1.8100000000000002E-2</v>
      </c>
    </row>
    <row r="472" spans="2:4">
      <c r="B472" s="121">
        <v>40821</v>
      </c>
      <c r="C472" s="123">
        <v>1.92</v>
      </c>
      <c r="D472" s="73">
        <f t="shared" si="6"/>
        <v>1.9199999999999998E-2</v>
      </c>
    </row>
    <row r="473" spans="2:4">
      <c r="B473" s="121">
        <v>40822</v>
      </c>
      <c r="C473" s="123">
        <v>2.0099999999999998</v>
      </c>
      <c r="D473" s="73">
        <f t="shared" si="6"/>
        <v>2.0099999999999996E-2</v>
      </c>
    </row>
    <row r="474" spans="2:4">
      <c r="B474" s="121">
        <v>40823</v>
      </c>
      <c r="C474" s="123">
        <v>2.1</v>
      </c>
      <c r="D474" s="73">
        <f t="shared" si="6"/>
        <v>2.1000000000000001E-2</v>
      </c>
    </row>
    <row r="475" spans="2:4">
      <c r="B475" s="121">
        <v>40827</v>
      </c>
      <c r="C475" s="123">
        <v>2.1800000000000002</v>
      </c>
      <c r="D475" s="73">
        <f t="shared" ref="D475:D538" si="7">IF( LEN( C475 ) = 0, #N/A, IF( C475 = "ND", D474, C475 / 100 ) )</f>
        <v>2.18E-2</v>
      </c>
    </row>
    <row r="476" spans="2:4">
      <c r="B476" s="121">
        <v>40828</v>
      </c>
      <c r="C476" s="123">
        <v>2.2400000000000002</v>
      </c>
      <c r="D476" s="73">
        <f t="shared" si="7"/>
        <v>2.2400000000000003E-2</v>
      </c>
    </row>
    <row r="477" spans="2:4">
      <c r="B477" s="121">
        <v>40829</v>
      </c>
      <c r="C477" s="123">
        <v>2.19</v>
      </c>
      <c r="D477" s="73">
        <f t="shared" si="7"/>
        <v>2.1899999999999999E-2</v>
      </c>
    </row>
    <row r="478" spans="2:4">
      <c r="B478" s="121">
        <v>40830</v>
      </c>
      <c r="C478" s="123">
        <v>2.2599999999999998</v>
      </c>
      <c r="D478" s="73">
        <f t="shared" si="7"/>
        <v>2.2599999999999999E-2</v>
      </c>
    </row>
    <row r="479" spans="2:4">
      <c r="B479" s="121">
        <v>40833</v>
      </c>
      <c r="C479" s="123">
        <v>2.1800000000000002</v>
      </c>
      <c r="D479" s="73">
        <f t="shared" si="7"/>
        <v>2.18E-2</v>
      </c>
    </row>
    <row r="480" spans="2:4">
      <c r="B480" s="121">
        <v>40834</v>
      </c>
      <c r="C480" s="123">
        <v>2.19</v>
      </c>
      <c r="D480" s="73">
        <f t="shared" si="7"/>
        <v>2.1899999999999999E-2</v>
      </c>
    </row>
    <row r="481" spans="2:4">
      <c r="B481" s="121">
        <v>40835</v>
      </c>
      <c r="C481" s="123">
        <v>2.1800000000000002</v>
      </c>
      <c r="D481" s="73">
        <f t="shared" si="7"/>
        <v>2.18E-2</v>
      </c>
    </row>
    <row r="482" spans="2:4">
      <c r="B482" s="121">
        <v>40836</v>
      </c>
      <c r="C482" s="123">
        <v>2.2000000000000002</v>
      </c>
      <c r="D482" s="73">
        <f t="shared" si="7"/>
        <v>2.2000000000000002E-2</v>
      </c>
    </row>
    <row r="483" spans="2:4">
      <c r="B483" s="121">
        <v>40837</v>
      </c>
      <c r="C483" s="123">
        <v>2.23</v>
      </c>
      <c r="D483" s="73">
        <f t="shared" si="7"/>
        <v>2.23E-2</v>
      </c>
    </row>
    <row r="484" spans="2:4">
      <c r="B484" s="121">
        <v>40840</v>
      </c>
      <c r="C484" s="123">
        <v>2.25</v>
      </c>
      <c r="D484" s="73">
        <f t="shared" si="7"/>
        <v>2.2499999999999999E-2</v>
      </c>
    </row>
    <row r="485" spans="2:4">
      <c r="B485" s="121">
        <v>40841</v>
      </c>
      <c r="C485" s="123">
        <v>2.14</v>
      </c>
      <c r="D485" s="73">
        <f t="shared" si="7"/>
        <v>2.1400000000000002E-2</v>
      </c>
    </row>
    <row r="486" spans="2:4">
      <c r="B486" s="121">
        <v>40842</v>
      </c>
      <c r="C486" s="123">
        <v>2.23</v>
      </c>
      <c r="D486" s="73">
        <f t="shared" si="7"/>
        <v>2.23E-2</v>
      </c>
    </row>
    <row r="487" spans="2:4">
      <c r="B487" s="121">
        <v>40843</v>
      </c>
      <c r="C487" s="123">
        <v>2.42</v>
      </c>
      <c r="D487" s="73">
        <f t="shared" si="7"/>
        <v>2.4199999999999999E-2</v>
      </c>
    </row>
    <row r="488" spans="2:4">
      <c r="B488" s="121">
        <v>40844</v>
      </c>
      <c r="C488" s="123">
        <v>2.34</v>
      </c>
      <c r="D488" s="73">
        <f t="shared" si="7"/>
        <v>2.3399999999999997E-2</v>
      </c>
    </row>
    <row r="489" spans="2:4">
      <c r="B489" s="121">
        <v>40847</v>
      </c>
      <c r="C489" s="123">
        <v>2.17</v>
      </c>
      <c r="D489" s="73">
        <f t="shared" si="7"/>
        <v>2.1700000000000001E-2</v>
      </c>
    </row>
    <row r="490" spans="2:4">
      <c r="B490" s="121">
        <v>40848</v>
      </c>
      <c r="C490" s="123">
        <v>2.0099999999999998</v>
      </c>
      <c r="D490" s="73">
        <f t="shared" si="7"/>
        <v>2.0099999999999996E-2</v>
      </c>
    </row>
    <row r="491" spans="2:4">
      <c r="B491" s="121">
        <v>40849</v>
      </c>
      <c r="C491" s="123">
        <v>2.0299999999999998</v>
      </c>
      <c r="D491" s="73">
        <f t="shared" si="7"/>
        <v>2.0299999999999999E-2</v>
      </c>
    </row>
    <row r="492" spans="2:4">
      <c r="B492" s="121">
        <v>40850</v>
      </c>
      <c r="C492" s="123">
        <v>2.09</v>
      </c>
      <c r="D492" s="73">
        <f t="shared" si="7"/>
        <v>2.0899999999999998E-2</v>
      </c>
    </row>
    <row r="493" spans="2:4">
      <c r="B493" s="121">
        <v>40851</v>
      </c>
      <c r="C493" s="123">
        <v>2.06</v>
      </c>
      <c r="D493" s="73">
        <f t="shared" si="7"/>
        <v>2.06E-2</v>
      </c>
    </row>
    <row r="494" spans="2:4">
      <c r="B494" s="121">
        <v>40854</v>
      </c>
      <c r="C494" s="123">
        <v>2.04</v>
      </c>
      <c r="D494" s="73">
        <f t="shared" si="7"/>
        <v>2.0400000000000001E-2</v>
      </c>
    </row>
    <row r="495" spans="2:4">
      <c r="B495" s="121">
        <v>40855</v>
      </c>
      <c r="C495" s="123">
        <v>2.1</v>
      </c>
      <c r="D495" s="73">
        <f t="shared" si="7"/>
        <v>2.1000000000000001E-2</v>
      </c>
    </row>
    <row r="496" spans="2:4">
      <c r="B496" s="121">
        <v>40856</v>
      </c>
      <c r="C496" s="123">
        <v>2</v>
      </c>
      <c r="D496" s="73">
        <f t="shared" si="7"/>
        <v>0.02</v>
      </c>
    </row>
    <row r="497" spans="2:4">
      <c r="B497" s="121">
        <v>40857</v>
      </c>
      <c r="C497" s="123">
        <v>2.04</v>
      </c>
      <c r="D497" s="73">
        <f t="shared" si="7"/>
        <v>2.0400000000000001E-2</v>
      </c>
    </row>
    <row r="498" spans="2:4">
      <c r="B498" s="121">
        <v>40861</v>
      </c>
      <c r="C498" s="123">
        <v>2.04</v>
      </c>
      <c r="D498" s="73">
        <f t="shared" si="7"/>
        <v>2.0400000000000001E-2</v>
      </c>
    </row>
    <row r="499" spans="2:4">
      <c r="B499" s="121">
        <v>40862</v>
      </c>
      <c r="C499" s="123">
        <v>2.06</v>
      </c>
      <c r="D499" s="73">
        <f t="shared" si="7"/>
        <v>2.06E-2</v>
      </c>
    </row>
    <row r="500" spans="2:4">
      <c r="B500" s="121">
        <v>40863</v>
      </c>
      <c r="C500" s="123">
        <v>2.0099999999999998</v>
      </c>
      <c r="D500" s="73">
        <f t="shared" si="7"/>
        <v>2.0099999999999996E-2</v>
      </c>
    </row>
    <row r="501" spans="2:4">
      <c r="B501" s="121">
        <v>40864</v>
      </c>
      <c r="C501" s="123">
        <v>1.96</v>
      </c>
      <c r="D501" s="73">
        <f t="shared" si="7"/>
        <v>1.9599999999999999E-2</v>
      </c>
    </row>
    <row r="502" spans="2:4">
      <c r="B502" s="121">
        <v>40865</v>
      </c>
      <c r="C502" s="123">
        <v>2.0099999999999998</v>
      </c>
      <c r="D502" s="73">
        <f t="shared" si="7"/>
        <v>2.0099999999999996E-2</v>
      </c>
    </row>
    <row r="503" spans="2:4">
      <c r="B503" s="121">
        <v>40868</v>
      </c>
      <c r="C503" s="123">
        <v>1.97</v>
      </c>
      <c r="D503" s="73">
        <f t="shared" si="7"/>
        <v>1.9699999999999999E-2</v>
      </c>
    </row>
    <row r="504" spans="2:4">
      <c r="B504" s="121">
        <v>40869</v>
      </c>
      <c r="C504" s="123">
        <v>1.94</v>
      </c>
      <c r="D504" s="73">
        <f t="shared" si="7"/>
        <v>1.9400000000000001E-2</v>
      </c>
    </row>
    <row r="505" spans="2:4">
      <c r="B505" s="121">
        <v>40870</v>
      </c>
      <c r="C505" s="123">
        <v>1.89</v>
      </c>
      <c r="D505" s="73">
        <f t="shared" si="7"/>
        <v>1.89E-2</v>
      </c>
    </row>
    <row r="506" spans="2:4">
      <c r="B506" s="121">
        <v>40872</v>
      </c>
      <c r="C506" s="123">
        <v>1.97</v>
      </c>
      <c r="D506" s="73">
        <f t="shared" si="7"/>
        <v>1.9699999999999999E-2</v>
      </c>
    </row>
    <row r="507" spans="2:4">
      <c r="B507" s="121">
        <v>40875</v>
      </c>
      <c r="C507" s="123">
        <v>1.97</v>
      </c>
      <c r="D507" s="73">
        <f t="shared" si="7"/>
        <v>1.9699999999999999E-2</v>
      </c>
    </row>
    <row r="508" spans="2:4">
      <c r="B508" s="121">
        <v>40876</v>
      </c>
      <c r="C508" s="123">
        <v>2</v>
      </c>
      <c r="D508" s="73">
        <f t="shared" si="7"/>
        <v>0.02</v>
      </c>
    </row>
    <row r="509" spans="2:4">
      <c r="B509" s="121">
        <v>40877</v>
      </c>
      <c r="C509" s="123">
        <v>2.08</v>
      </c>
      <c r="D509" s="73">
        <f t="shared" si="7"/>
        <v>2.0799999999999999E-2</v>
      </c>
    </row>
    <row r="510" spans="2:4">
      <c r="B510" s="121">
        <v>40878</v>
      </c>
      <c r="C510" s="123">
        <v>2.11</v>
      </c>
      <c r="D510" s="73">
        <f t="shared" si="7"/>
        <v>2.1099999999999997E-2</v>
      </c>
    </row>
    <row r="511" spans="2:4">
      <c r="B511" s="121">
        <v>40879</v>
      </c>
      <c r="C511" s="123">
        <v>2.0499999999999998</v>
      </c>
      <c r="D511" s="73">
        <f t="shared" si="7"/>
        <v>2.0499999999999997E-2</v>
      </c>
    </row>
    <row r="512" spans="2:4">
      <c r="B512" s="121">
        <v>40882</v>
      </c>
      <c r="C512" s="123">
        <v>2.04</v>
      </c>
      <c r="D512" s="73">
        <f t="shared" si="7"/>
        <v>2.0400000000000001E-2</v>
      </c>
    </row>
    <row r="513" spans="2:4">
      <c r="B513" s="121">
        <v>40883</v>
      </c>
      <c r="C513" s="123">
        <v>2.08</v>
      </c>
      <c r="D513" s="73">
        <f t="shared" si="7"/>
        <v>2.0799999999999999E-2</v>
      </c>
    </row>
    <row r="514" spans="2:4">
      <c r="B514" s="121">
        <v>40884</v>
      </c>
      <c r="C514" s="123">
        <v>2.02</v>
      </c>
      <c r="D514" s="73">
        <f t="shared" si="7"/>
        <v>2.0199999999999999E-2</v>
      </c>
    </row>
    <row r="515" spans="2:4">
      <c r="B515" s="121">
        <v>40885</v>
      </c>
      <c r="C515" s="123">
        <v>1.99</v>
      </c>
      <c r="D515" s="73">
        <f t="shared" si="7"/>
        <v>1.9900000000000001E-2</v>
      </c>
    </row>
    <row r="516" spans="2:4">
      <c r="B516" s="121">
        <v>40886</v>
      </c>
      <c r="C516" s="123">
        <v>2.0699999999999998</v>
      </c>
      <c r="D516" s="73">
        <f t="shared" si="7"/>
        <v>2.07E-2</v>
      </c>
    </row>
    <row r="517" spans="2:4">
      <c r="B517" s="121">
        <v>40889</v>
      </c>
      <c r="C517" s="123">
        <v>2.0299999999999998</v>
      </c>
      <c r="D517" s="73">
        <f t="shared" si="7"/>
        <v>2.0299999999999999E-2</v>
      </c>
    </row>
    <row r="518" spans="2:4">
      <c r="B518" s="121">
        <v>40890</v>
      </c>
      <c r="C518" s="123">
        <v>1.96</v>
      </c>
      <c r="D518" s="73">
        <f t="shared" si="7"/>
        <v>1.9599999999999999E-2</v>
      </c>
    </row>
    <row r="519" spans="2:4">
      <c r="B519" s="121">
        <v>40891</v>
      </c>
      <c r="C519" s="123">
        <v>1.92</v>
      </c>
      <c r="D519" s="73">
        <f t="shared" si="7"/>
        <v>1.9199999999999998E-2</v>
      </c>
    </row>
    <row r="520" spans="2:4">
      <c r="B520" s="121">
        <v>40892</v>
      </c>
      <c r="C520" s="123">
        <v>1.92</v>
      </c>
      <c r="D520" s="73">
        <f t="shared" si="7"/>
        <v>1.9199999999999998E-2</v>
      </c>
    </row>
    <row r="521" spans="2:4">
      <c r="B521" s="121">
        <v>40893</v>
      </c>
      <c r="C521" s="123">
        <v>1.86</v>
      </c>
      <c r="D521" s="73">
        <f t="shared" si="7"/>
        <v>1.8600000000000002E-2</v>
      </c>
    </row>
    <row r="522" spans="2:4">
      <c r="B522" s="121">
        <v>40896</v>
      </c>
      <c r="C522" s="123">
        <v>1.82</v>
      </c>
      <c r="D522" s="73">
        <f t="shared" si="7"/>
        <v>1.8200000000000001E-2</v>
      </c>
    </row>
    <row r="523" spans="2:4">
      <c r="B523" s="121">
        <v>40897</v>
      </c>
      <c r="C523" s="123">
        <v>1.94</v>
      </c>
      <c r="D523" s="73">
        <f t="shared" si="7"/>
        <v>1.9400000000000001E-2</v>
      </c>
    </row>
    <row r="524" spans="2:4">
      <c r="B524" s="121">
        <v>40898</v>
      </c>
      <c r="C524" s="123">
        <v>1.98</v>
      </c>
      <c r="D524" s="73">
        <f t="shared" si="7"/>
        <v>1.9799999999999998E-2</v>
      </c>
    </row>
    <row r="525" spans="2:4">
      <c r="B525" s="121">
        <v>40899</v>
      </c>
      <c r="C525" s="123">
        <v>1.97</v>
      </c>
      <c r="D525" s="73">
        <f t="shared" si="7"/>
        <v>1.9699999999999999E-2</v>
      </c>
    </row>
    <row r="526" spans="2:4">
      <c r="B526" s="121">
        <v>40900</v>
      </c>
      <c r="C526" s="123">
        <v>2.0299999999999998</v>
      </c>
      <c r="D526" s="73">
        <f t="shared" si="7"/>
        <v>2.0299999999999999E-2</v>
      </c>
    </row>
    <row r="527" spans="2:4">
      <c r="B527" s="121">
        <v>40904</v>
      </c>
      <c r="C527" s="123">
        <v>2.02</v>
      </c>
      <c r="D527" s="73">
        <f t="shared" si="7"/>
        <v>2.0199999999999999E-2</v>
      </c>
    </row>
    <row r="528" spans="2:4">
      <c r="B528" s="121">
        <v>40905</v>
      </c>
      <c r="C528" s="123">
        <v>1.93</v>
      </c>
      <c r="D528" s="73">
        <f t="shared" si="7"/>
        <v>1.9299999999999998E-2</v>
      </c>
    </row>
    <row r="529" spans="2:4">
      <c r="B529" s="121">
        <v>40906</v>
      </c>
      <c r="C529" s="123">
        <v>1.91</v>
      </c>
      <c r="D529" s="73">
        <f t="shared" si="7"/>
        <v>1.9099999999999999E-2</v>
      </c>
    </row>
    <row r="530" spans="2:4">
      <c r="B530" s="121">
        <v>40907</v>
      </c>
      <c r="C530" s="123">
        <v>1.89</v>
      </c>
      <c r="D530" s="73">
        <f t="shared" si="7"/>
        <v>1.89E-2</v>
      </c>
    </row>
    <row r="531" spans="2:4">
      <c r="B531" s="121">
        <v>40910</v>
      </c>
      <c r="C531" s="123" t="s">
        <v>325</v>
      </c>
      <c r="D531" s="73">
        <f t="shared" si="7"/>
        <v>1.89E-2</v>
      </c>
    </row>
    <row r="532" spans="2:4">
      <c r="B532" s="121">
        <v>40911</v>
      </c>
      <c r="C532" s="123">
        <v>1.97</v>
      </c>
      <c r="D532" s="73">
        <f t="shared" si="7"/>
        <v>1.9699999999999999E-2</v>
      </c>
    </row>
    <row r="533" spans="2:4">
      <c r="B533" s="121">
        <v>40912</v>
      </c>
      <c r="C533" s="123">
        <v>2</v>
      </c>
      <c r="D533" s="73">
        <f t="shared" si="7"/>
        <v>0.02</v>
      </c>
    </row>
    <row r="534" spans="2:4">
      <c r="B534" s="121">
        <v>40913</v>
      </c>
      <c r="C534" s="123">
        <v>2.02</v>
      </c>
      <c r="D534" s="73">
        <f t="shared" si="7"/>
        <v>2.0199999999999999E-2</v>
      </c>
    </row>
    <row r="535" spans="2:4">
      <c r="B535" s="121">
        <v>40914</v>
      </c>
      <c r="C535" s="123">
        <v>1.98</v>
      </c>
      <c r="D535" s="73">
        <f t="shared" si="7"/>
        <v>1.9799999999999998E-2</v>
      </c>
    </row>
    <row r="536" spans="2:4">
      <c r="B536" s="121">
        <v>40917</v>
      </c>
      <c r="C536" s="123">
        <v>1.98</v>
      </c>
      <c r="D536" s="73">
        <f t="shared" si="7"/>
        <v>1.9799999999999998E-2</v>
      </c>
    </row>
    <row r="537" spans="2:4">
      <c r="B537" s="121">
        <v>40918</v>
      </c>
      <c r="C537" s="123">
        <v>2</v>
      </c>
      <c r="D537" s="73">
        <f t="shared" si="7"/>
        <v>0.02</v>
      </c>
    </row>
    <row r="538" spans="2:4">
      <c r="B538" s="121">
        <v>40919</v>
      </c>
      <c r="C538" s="123">
        <v>1.93</v>
      </c>
      <c r="D538" s="73">
        <f t="shared" si="7"/>
        <v>1.9299999999999998E-2</v>
      </c>
    </row>
    <row r="539" spans="2:4">
      <c r="B539" s="121">
        <v>40920</v>
      </c>
      <c r="C539" s="123">
        <v>1.94</v>
      </c>
      <c r="D539" s="73">
        <f t="shared" ref="D539:D602" si="8">IF( LEN( C539 ) = 0, #N/A, IF( C539 = "ND", D538, C539 / 100 ) )</f>
        <v>1.9400000000000001E-2</v>
      </c>
    </row>
    <row r="540" spans="2:4">
      <c r="B540" s="121">
        <v>40921</v>
      </c>
      <c r="C540" s="123">
        <v>1.89</v>
      </c>
      <c r="D540" s="73">
        <f t="shared" si="8"/>
        <v>1.89E-2</v>
      </c>
    </row>
    <row r="541" spans="2:4">
      <c r="B541" s="121">
        <v>40924</v>
      </c>
      <c r="C541" s="123" t="s">
        <v>325</v>
      </c>
      <c r="D541" s="73">
        <f t="shared" si="8"/>
        <v>1.89E-2</v>
      </c>
    </row>
    <row r="542" spans="2:4">
      <c r="B542" s="121">
        <v>40925</v>
      </c>
      <c r="C542" s="123">
        <v>1.87</v>
      </c>
      <c r="D542" s="73">
        <f t="shared" si="8"/>
        <v>1.8700000000000001E-2</v>
      </c>
    </row>
    <row r="543" spans="2:4">
      <c r="B543" s="121">
        <v>40926</v>
      </c>
      <c r="C543" s="123">
        <v>1.92</v>
      </c>
      <c r="D543" s="73">
        <f t="shared" si="8"/>
        <v>1.9199999999999998E-2</v>
      </c>
    </row>
    <row r="544" spans="2:4">
      <c r="B544" s="121">
        <v>40927</v>
      </c>
      <c r="C544" s="123">
        <v>2.0099999999999998</v>
      </c>
      <c r="D544" s="73">
        <f t="shared" si="8"/>
        <v>2.0099999999999996E-2</v>
      </c>
    </row>
    <row r="545" spans="2:4">
      <c r="B545" s="121">
        <v>40928</v>
      </c>
      <c r="C545" s="123">
        <v>2.0499999999999998</v>
      </c>
      <c r="D545" s="73">
        <f t="shared" si="8"/>
        <v>2.0499999999999997E-2</v>
      </c>
    </row>
    <row r="546" spans="2:4">
      <c r="B546" s="121">
        <v>40931</v>
      </c>
      <c r="C546" s="123">
        <v>2.09</v>
      </c>
      <c r="D546" s="73">
        <f t="shared" si="8"/>
        <v>2.0899999999999998E-2</v>
      </c>
    </row>
    <row r="547" spans="2:4">
      <c r="B547" s="121">
        <v>40932</v>
      </c>
      <c r="C547" s="123">
        <v>2.08</v>
      </c>
      <c r="D547" s="73">
        <f t="shared" si="8"/>
        <v>2.0799999999999999E-2</v>
      </c>
    </row>
    <row r="548" spans="2:4">
      <c r="B548" s="121">
        <v>40933</v>
      </c>
      <c r="C548" s="123">
        <v>2.0099999999999998</v>
      </c>
      <c r="D548" s="73">
        <f t="shared" si="8"/>
        <v>2.0099999999999996E-2</v>
      </c>
    </row>
    <row r="549" spans="2:4">
      <c r="B549" s="121">
        <v>40934</v>
      </c>
      <c r="C549" s="123">
        <v>1.96</v>
      </c>
      <c r="D549" s="73">
        <f t="shared" si="8"/>
        <v>1.9599999999999999E-2</v>
      </c>
    </row>
    <row r="550" spans="2:4">
      <c r="B550" s="121">
        <v>40935</v>
      </c>
      <c r="C550" s="123">
        <v>1.93</v>
      </c>
      <c r="D550" s="73">
        <f t="shared" si="8"/>
        <v>1.9299999999999998E-2</v>
      </c>
    </row>
    <row r="551" spans="2:4">
      <c r="B551" s="121">
        <v>40938</v>
      </c>
      <c r="C551" s="123">
        <v>1.87</v>
      </c>
      <c r="D551" s="73">
        <f t="shared" si="8"/>
        <v>1.8700000000000001E-2</v>
      </c>
    </row>
    <row r="552" spans="2:4">
      <c r="B552" s="121">
        <v>40939</v>
      </c>
      <c r="C552" s="123">
        <v>1.83</v>
      </c>
      <c r="D552" s="73">
        <f t="shared" si="8"/>
        <v>1.83E-2</v>
      </c>
    </row>
    <row r="553" spans="2:4">
      <c r="B553" s="121">
        <v>40940</v>
      </c>
      <c r="C553" s="123">
        <v>1.87</v>
      </c>
      <c r="D553" s="73">
        <f t="shared" si="8"/>
        <v>1.8700000000000001E-2</v>
      </c>
    </row>
    <row r="554" spans="2:4">
      <c r="B554" s="121">
        <v>40941</v>
      </c>
      <c r="C554" s="123">
        <v>1.86</v>
      </c>
      <c r="D554" s="73">
        <f t="shared" si="8"/>
        <v>1.8600000000000002E-2</v>
      </c>
    </row>
    <row r="555" spans="2:4">
      <c r="B555" s="121">
        <v>40942</v>
      </c>
      <c r="C555" s="123">
        <v>1.97</v>
      </c>
      <c r="D555" s="73">
        <f t="shared" si="8"/>
        <v>1.9699999999999999E-2</v>
      </c>
    </row>
    <row r="556" spans="2:4">
      <c r="B556" s="121">
        <v>40945</v>
      </c>
      <c r="C556" s="123">
        <v>1.93</v>
      </c>
      <c r="D556" s="73">
        <f t="shared" si="8"/>
        <v>1.9299999999999998E-2</v>
      </c>
    </row>
    <row r="557" spans="2:4">
      <c r="B557" s="121">
        <v>40946</v>
      </c>
      <c r="C557" s="123">
        <v>2</v>
      </c>
      <c r="D557" s="73">
        <f t="shared" si="8"/>
        <v>0.02</v>
      </c>
    </row>
    <row r="558" spans="2:4">
      <c r="B558" s="121">
        <v>40947</v>
      </c>
      <c r="C558" s="123">
        <v>2.0099999999999998</v>
      </c>
      <c r="D558" s="73">
        <f t="shared" si="8"/>
        <v>2.0099999999999996E-2</v>
      </c>
    </row>
    <row r="559" spans="2:4">
      <c r="B559" s="121">
        <v>40948</v>
      </c>
      <c r="C559" s="123">
        <v>2.04</v>
      </c>
      <c r="D559" s="73">
        <f t="shared" si="8"/>
        <v>2.0400000000000001E-2</v>
      </c>
    </row>
    <row r="560" spans="2:4">
      <c r="B560" s="121">
        <v>40949</v>
      </c>
      <c r="C560" s="123">
        <v>1.96</v>
      </c>
      <c r="D560" s="73">
        <f t="shared" si="8"/>
        <v>1.9599999999999999E-2</v>
      </c>
    </row>
    <row r="561" spans="2:4">
      <c r="B561" s="121">
        <v>40952</v>
      </c>
      <c r="C561" s="123">
        <v>1.99</v>
      </c>
      <c r="D561" s="73">
        <f t="shared" si="8"/>
        <v>1.9900000000000001E-2</v>
      </c>
    </row>
    <row r="562" spans="2:4">
      <c r="B562" s="121">
        <v>40953</v>
      </c>
      <c r="C562" s="123">
        <v>1.92</v>
      </c>
      <c r="D562" s="73">
        <f t="shared" si="8"/>
        <v>1.9199999999999998E-2</v>
      </c>
    </row>
    <row r="563" spans="2:4">
      <c r="B563" s="121">
        <v>40954</v>
      </c>
      <c r="C563" s="123">
        <v>1.93</v>
      </c>
      <c r="D563" s="73">
        <f t="shared" si="8"/>
        <v>1.9299999999999998E-2</v>
      </c>
    </row>
    <row r="564" spans="2:4">
      <c r="B564" s="121">
        <v>40955</v>
      </c>
      <c r="C564" s="123">
        <v>1.99</v>
      </c>
      <c r="D564" s="73">
        <f t="shared" si="8"/>
        <v>1.9900000000000001E-2</v>
      </c>
    </row>
    <row r="565" spans="2:4">
      <c r="B565" s="121">
        <v>40956</v>
      </c>
      <c r="C565" s="123">
        <v>2.0099999999999998</v>
      </c>
      <c r="D565" s="73">
        <f t="shared" si="8"/>
        <v>2.0099999999999996E-2</v>
      </c>
    </row>
    <row r="566" spans="2:4">
      <c r="B566" s="121">
        <v>40959</v>
      </c>
      <c r="C566" s="123" t="s">
        <v>325</v>
      </c>
      <c r="D566" s="73">
        <f t="shared" si="8"/>
        <v>2.0099999999999996E-2</v>
      </c>
    </row>
    <row r="567" spans="2:4">
      <c r="B567" s="121">
        <v>40960</v>
      </c>
      <c r="C567" s="123">
        <v>2.0499999999999998</v>
      </c>
      <c r="D567" s="73">
        <f t="shared" si="8"/>
        <v>2.0499999999999997E-2</v>
      </c>
    </row>
    <row r="568" spans="2:4">
      <c r="B568" s="121">
        <v>40961</v>
      </c>
      <c r="C568" s="123">
        <v>2.0099999999999998</v>
      </c>
      <c r="D568" s="73">
        <f t="shared" si="8"/>
        <v>2.0099999999999996E-2</v>
      </c>
    </row>
    <row r="569" spans="2:4">
      <c r="B569" s="121">
        <v>40962</v>
      </c>
      <c r="C569" s="123">
        <v>1.99</v>
      </c>
      <c r="D569" s="73">
        <f t="shared" si="8"/>
        <v>1.9900000000000001E-2</v>
      </c>
    </row>
    <row r="570" spans="2:4">
      <c r="B570" s="121">
        <v>40963</v>
      </c>
      <c r="C570" s="123">
        <v>1.98</v>
      </c>
      <c r="D570" s="73">
        <f t="shared" si="8"/>
        <v>1.9799999999999998E-2</v>
      </c>
    </row>
    <row r="571" spans="2:4">
      <c r="B571" s="121">
        <v>40966</v>
      </c>
      <c r="C571" s="123">
        <v>1.92</v>
      </c>
      <c r="D571" s="73">
        <f t="shared" si="8"/>
        <v>1.9199999999999998E-2</v>
      </c>
    </row>
    <row r="572" spans="2:4">
      <c r="B572" s="121">
        <v>40967</v>
      </c>
      <c r="C572" s="123">
        <v>1.94</v>
      </c>
      <c r="D572" s="73">
        <f t="shared" si="8"/>
        <v>1.9400000000000001E-2</v>
      </c>
    </row>
    <row r="573" spans="2:4">
      <c r="B573" s="121">
        <v>40968</v>
      </c>
      <c r="C573" s="123">
        <v>1.98</v>
      </c>
      <c r="D573" s="73">
        <f t="shared" si="8"/>
        <v>1.9799999999999998E-2</v>
      </c>
    </row>
    <row r="574" spans="2:4">
      <c r="B574" s="121">
        <v>40969</v>
      </c>
      <c r="C574" s="123">
        <v>2.0299999999999998</v>
      </c>
      <c r="D574" s="73">
        <f t="shared" si="8"/>
        <v>2.0299999999999999E-2</v>
      </c>
    </row>
    <row r="575" spans="2:4">
      <c r="B575" s="121">
        <v>40970</v>
      </c>
      <c r="C575" s="123">
        <v>1.99</v>
      </c>
      <c r="D575" s="73">
        <f t="shared" si="8"/>
        <v>1.9900000000000001E-2</v>
      </c>
    </row>
    <row r="576" spans="2:4">
      <c r="B576" s="121">
        <v>40973</v>
      </c>
      <c r="C576" s="123">
        <v>2</v>
      </c>
      <c r="D576" s="73">
        <f t="shared" si="8"/>
        <v>0.02</v>
      </c>
    </row>
    <row r="577" spans="2:4">
      <c r="B577" s="121">
        <v>40974</v>
      </c>
      <c r="C577" s="123">
        <v>1.96</v>
      </c>
      <c r="D577" s="73">
        <f t="shared" si="8"/>
        <v>1.9599999999999999E-2</v>
      </c>
    </row>
    <row r="578" spans="2:4">
      <c r="B578" s="121">
        <v>40975</v>
      </c>
      <c r="C578" s="123">
        <v>1.98</v>
      </c>
      <c r="D578" s="73">
        <f t="shared" si="8"/>
        <v>1.9799999999999998E-2</v>
      </c>
    </row>
    <row r="579" spans="2:4">
      <c r="B579" s="121">
        <v>40976</v>
      </c>
      <c r="C579" s="123">
        <v>2.0299999999999998</v>
      </c>
      <c r="D579" s="73">
        <f t="shared" si="8"/>
        <v>2.0299999999999999E-2</v>
      </c>
    </row>
    <row r="580" spans="2:4">
      <c r="B580" s="121">
        <v>40977</v>
      </c>
      <c r="C580" s="123">
        <v>2.04</v>
      </c>
      <c r="D580" s="73">
        <f t="shared" si="8"/>
        <v>2.0400000000000001E-2</v>
      </c>
    </row>
    <row r="581" spans="2:4">
      <c r="B581" s="121">
        <v>40980</v>
      </c>
      <c r="C581" s="123">
        <v>2.04</v>
      </c>
      <c r="D581" s="73">
        <f t="shared" si="8"/>
        <v>2.0400000000000001E-2</v>
      </c>
    </row>
    <row r="582" spans="2:4">
      <c r="B582" s="121">
        <v>40981</v>
      </c>
      <c r="C582" s="123">
        <v>2.14</v>
      </c>
      <c r="D582" s="73">
        <f t="shared" si="8"/>
        <v>2.1400000000000002E-2</v>
      </c>
    </row>
    <row r="583" spans="2:4">
      <c r="B583" s="121">
        <v>40982</v>
      </c>
      <c r="C583" s="123">
        <v>2.29</v>
      </c>
      <c r="D583" s="73">
        <f t="shared" si="8"/>
        <v>2.29E-2</v>
      </c>
    </row>
    <row r="584" spans="2:4">
      <c r="B584" s="121">
        <v>40983</v>
      </c>
      <c r="C584" s="123">
        <v>2.29</v>
      </c>
      <c r="D584" s="73">
        <f t="shared" si="8"/>
        <v>2.29E-2</v>
      </c>
    </row>
    <row r="585" spans="2:4">
      <c r="B585" s="121">
        <v>40984</v>
      </c>
      <c r="C585" s="123">
        <v>2.31</v>
      </c>
      <c r="D585" s="73">
        <f t="shared" si="8"/>
        <v>2.3099999999999999E-2</v>
      </c>
    </row>
    <row r="586" spans="2:4">
      <c r="B586" s="121">
        <v>40987</v>
      </c>
      <c r="C586" s="123">
        <v>2.39</v>
      </c>
      <c r="D586" s="73">
        <f t="shared" si="8"/>
        <v>2.3900000000000001E-2</v>
      </c>
    </row>
    <row r="587" spans="2:4">
      <c r="B587" s="121">
        <v>40988</v>
      </c>
      <c r="C587" s="123">
        <v>2.38</v>
      </c>
      <c r="D587" s="73">
        <f t="shared" si="8"/>
        <v>2.3799999999999998E-2</v>
      </c>
    </row>
    <row r="588" spans="2:4">
      <c r="B588" s="121">
        <v>40989</v>
      </c>
      <c r="C588" s="123">
        <v>2.31</v>
      </c>
      <c r="D588" s="73">
        <f t="shared" si="8"/>
        <v>2.3099999999999999E-2</v>
      </c>
    </row>
    <row r="589" spans="2:4">
      <c r="B589" s="121">
        <v>40990</v>
      </c>
      <c r="C589" s="123">
        <v>2.29</v>
      </c>
      <c r="D589" s="73">
        <f t="shared" si="8"/>
        <v>2.29E-2</v>
      </c>
    </row>
    <row r="590" spans="2:4">
      <c r="B590" s="121">
        <v>40991</v>
      </c>
      <c r="C590" s="123">
        <v>2.25</v>
      </c>
      <c r="D590" s="73">
        <f t="shared" si="8"/>
        <v>2.2499999999999999E-2</v>
      </c>
    </row>
    <row r="591" spans="2:4">
      <c r="B591" s="121">
        <v>40994</v>
      </c>
      <c r="C591" s="123">
        <v>2.2599999999999998</v>
      </c>
      <c r="D591" s="73">
        <f t="shared" si="8"/>
        <v>2.2599999999999999E-2</v>
      </c>
    </row>
    <row r="592" spans="2:4">
      <c r="B592" s="121">
        <v>40995</v>
      </c>
      <c r="C592" s="123">
        <v>2.2000000000000002</v>
      </c>
      <c r="D592" s="73">
        <f t="shared" si="8"/>
        <v>2.2000000000000002E-2</v>
      </c>
    </row>
    <row r="593" spans="2:4">
      <c r="B593" s="121">
        <v>40996</v>
      </c>
      <c r="C593" s="123">
        <v>2.21</v>
      </c>
      <c r="D593" s="73">
        <f t="shared" si="8"/>
        <v>2.2099999999999998E-2</v>
      </c>
    </row>
    <row r="594" spans="2:4">
      <c r="B594" s="121">
        <v>40997</v>
      </c>
      <c r="C594" s="123">
        <v>2.1800000000000002</v>
      </c>
      <c r="D594" s="73">
        <f t="shared" si="8"/>
        <v>2.18E-2</v>
      </c>
    </row>
    <row r="595" spans="2:4">
      <c r="B595" s="121">
        <v>40998</v>
      </c>
      <c r="C595" s="123">
        <v>2.23</v>
      </c>
      <c r="D595" s="73">
        <f t="shared" si="8"/>
        <v>2.23E-2</v>
      </c>
    </row>
    <row r="596" spans="2:4">
      <c r="B596" s="121">
        <v>41001</v>
      </c>
      <c r="C596" s="123">
        <v>2.2200000000000002</v>
      </c>
      <c r="D596" s="73">
        <f t="shared" si="8"/>
        <v>2.2200000000000001E-2</v>
      </c>
    </row>
    <row r="597" spans="2:4">
      <c r="B597" s="121">
        <v>41002</v>
      </c>
      <c r="C597" s="123">
        <v>2.2999999999999998</v>
      </c>
      <c r="D597" s="73">
        <f t="shared" si="8"/>
        <v>2.3E-2</v>
      </c>
    </row>
    <row r="598" spans="2:4">
      <c r="B598" s="121">
        <v>41003</v>
      </c>
      <c r="C598" s="123">
        <v>2.25</v>
      </c>
      <c r="D598" s="73">
        <f t="shared" si="8"/>
        <v>2.2499999999999999E-2</v>
      </c>
    </row>
    <row r="599" spans="2:4">
      <c r="B599" s="121">
        <v>41004</v>
      </c>
      <c r="C599" s="123">
        <v>2.19</v>
      </c>
      <c r="D599" s="73">
        <f t="shared" si="8"/>
        <v>2.1899999999999999E-2</v>
      </c>
    </row>
    <row r="600" spans="2:4">
      <c r="B600" s="121">
        <v>41005</v>
      </c>
      <c r="C600" s="123">
        <v>2.0699999999999998</v>
      </c>
      <c r="D600" s="73">
        <f t="shared" si="8"/>
        <v>2.07E-2</v>
      </c>
    </row>
    <row r="601" spans="2:4">
      <c r="B601" s="121">
        <v>41008</v>
      </c>
      <c r="C601" s="123">
        <v>2.06</v>
      </c>
      <c r="D601" s="73">
        <f t="shared" si="8"/>
        <v>2.06E-2</v>
      </c>
    </row>
    <row r="602" spans="2:4">
      <c r="B602" s="121">
        <v>41009</v>
      </c>
      <c r="C602" s="123">
        <v>2.0099999999999998</v>
      </c>
      <c r="D602" s="73">
        <f t="shared" si="8"/>
        <v>2.0099999999999996E-2</v>
      </c>
    </row>
    <row r="603" spans="2:4">
      <c r="B603" s="121">
        <v>41010</v>
      </c>
      <c r="C603" s="123">
        <v>2.0499999999999998</v>
      </c>
      <c r="D603" s="73">
        <f t="shared" ref="D603:D666" si="9">IF( LEN( C603 ) = 0, #N/A, IF( C603 = "ND", D602, C603 / 100 ) )</f>
        <v>2.0499999999999997E-2</v>
      </c>
    </row>
    <row r="604" spans="2:4">
      <c r="B604" s="121">
        <v>41011</v>
      </c>
      <c r="C604" s="123">
        <v>2.08</v>
      </c>
      <c r="D604" s="73">
        <f t="shared" si="9"/>
        <v>2.0799999999999999E-2</v>
      </c>
    </row>
    <row r="605" spans="2:4">
      <c r="B605" s="121">
        <v>41012</v>
      </c>
      <c r="C605" s="123">
        <v>2.02</v>
      </c>
      <c r="D605" s="73">
        <f t="shared" si="9"/>
        <v>2.0199999999999999E-2</v>
      </c>
    </row>
    <row r="606" spans="2:4">
      <c r="B606" s="121">
        <v>41015</v>
      </c>
      <c r="C606" s="123">
        <v>2</v>
      </c>
      <c r="D606" s="73">
        <f t="shared" si="9"/>
        <v>0.02</v>
      </c>
    </row>
    <row r="607" spans="2:4">
      <c r="B607" s="121">
        <v>41016</v>
      </c>
      <c r="C607" s="123">
        <v>2.0299999999999998</v>
      </c>
      <c r="D607" s="73">
        <f t="shared" si="9"/>
        <v>2.0299999999999999E-2</v>
      </c>
    </row>
    <row r="608" spans="2:4">
      <c r="B608" s="121">
        <v>41017</v>
      </c>
      <c r="C608" s="123">
        <v>2</v>
      </c>
      <c r="D608" s="73">
        <f t="shared" si="9"/>
        <v>0.02</v>
      </c>
    </row>
    <row r="609" spans="2:4">
      <c r="B609" s="121">
        <v>41018</v>
      </c>
      <c r="C609" s="123">
        <v>1.98</v>
      </c>
      <c r="D609" s="73">
        <f t="shared" si="9"/>
        <v>1.9799999999999998E-2</v>
      </c>
    </row>
    <row r="610" spans="2:4">
      <c r="B610" s="121">
        <v>41019</v>
      </c>
      <c r="C610" s="123">
        <v>1.99</v>
      </c>
      <c r="D610" s="73">
        <f t="shared" si="9"/>
        <v>1.9900000000000001E-2</v>
      </c>
    </row>
    <row r="611" spans="2:4">
      <c r="B611" s="121">
        <v>41022</v>
      </c>
      <c r="C611" s="123">
        <v>1.96</v>
      </c>
      <c r="D611" s="73">
        <f t="shared" si="9"/>
        <v>1.9599999999999999E-2</v>
      </c>
    </row>
    <row r="612" spans="2:4">
      <c r="B612" s="121">
        <v>41023</v>
      </c>
      <c r="C612" s="123">
        <v>2</v>
      </c>
      <c r="D612" s="73">
        <f t="shared" si="9"/>
        <v>0.02</v>
      </c>
    </row>
    <row r="613" spans="2:4">
      <c r="B613" s="121">
        <v>41024</v>
      </c>
      <c r="C613" s="123">
        <v>2.0099999999999998</v>
      </c>
      <c r="D613" s="73">
        <f t="shared" si="9"/>
        <v>2.0099999999999996E-2</v>
      </c>
    </row>
    <row r="614" spans="2:4">
      <c r="B614" s="121">
        <v>41025</v>
      </c>
      <c r="C614" s="123">
        <v>1.98</v>
      </c>
      <c r="D614" s="73">
        <f t="shared" si="9"/>
        <v>1.9799999999999998E-2</v>
      </c>
    </row>
    <row r="615" spans="2:4">
      <c r="B615" s="121">
        <v>41026</v>
      </c>
      <c r="C615" s="123">
        <v>1.96</v>
      </c>
      <c r="D615" s="73">
        <f t="shared" si="9"/>
        <v>1.9599999999999999E-2</v>
      </c>
    </row>
    <row r="616" spans="2:4">
      <c r="B616" s="121">
        <v>41029</v>
      </c>
      <c r="C616" s="123">
        <v>1.95</v>
      </c>
      <c r="D616" s="73">
        <f t="shared" si="9"/>
        <v>1.95E-2</v>
      </c>
    </row>
    <row r="617" spans="2:4">
      <c r="B617" s="121">
        <v>41030</v>
      </c>
      <c r="C617" s="123">
        <v>1.98</v>
      </c>
      <c r="D617" s="73">
        <f t="shared" si="9"/>
        <v>1.9799999999999998E-2</v>
      </c>
    </row>
    <row r="618" spans="2:4">
      <c r="B618" s="121">
        <v>41031</v>
      </c>
      <c r="C618" s="123">
        <v>1.96</v>
      </c>
      <c r="D618" s="73">
        <f t="shared" si="9"/>
        <v>1.9599999999999999E-2</v>
      </c>
    </row>
    <row r="619" spans="2:4">
      <c r="B619" s="121">
        <v>41032</v>
      </c>
      <c r="C619" s="123">
        <v>1.96</v>
      </c>
      <c r="D619" s="73">
        <f t="shared" si="9"/>
        <v>1.9599999999999999E-2</v>
      </c>
    </row>
    <row r="620" spans="2:4">
      <c r="B620" s="121">
        <v>41033</v>
      </c>
      <c r="C620" s="123">
        <v>1.91</v>
      </c>
      <c r="D620" s="73">
        <f t="shared" si="9"/>
        <v>1.9099999999999999E-2</v>
      </c>
    </row>
    <row r="621" spans="2:4">
      <c r="B621" s="121">
        <v>41036</v>
      </c>
      <c r="C621" s="123">
        <v>1.92</v>
      </c>
      <c r="D621" s="73">
        <f t="shared" si="9"/>
        <v>1.9199999999999998E-2</v>
      </c>
    </row>
    <row r="622" spans="2:4">
      <c r="B622" s="121">
        <v>41037</v>
      </c>
      <c r="C622" s="123">
        <v>1.88</v>
      </c>
      <c r="D622" s="73">
        <f t="shared" si="9"/>
        <v>1.8799999999999997E-2</v>
      </c>
    </row>
    <row r="623" spans="2:4">
      <c r="B623" s="121">
        <v>41038</v>
      </c>
      <c r="C623" s="123">
        <v>1.87</v>
      </c>
      <c r="D623" s="73">
        <f t="shared" si="9"/>
        <v>1.8700000000000001E-2</v>
      </c>
    </row>
    <row r="624" spans="2:4">
      <c r="B624" s="121">
        <v>41039</v>
      </c>
      <c r="C624" s="123">
        <v>1.89</v>
      </c>
      <c r="D624" s="73">
        <f t="shared" si="9"/>
        <v>1.89E-2</v>
      </c>
    </row>
    <row r="625" spans="2:4">
      <c r="B625" s="121">
        <v>41040</v>
      </c>
      <c r="C625" s="123">
        <v>1.84</v>
      </c>
      <c r="D625" s="73">
        <f t="shared" si="9"/>
        <v>1.84E-2</v>
      </c>
    </row>
    <row r="626" spans="2:4">
      <c r="B626" s="121">
        <v>41043</v>
      </c>
      <c r="C626" s="123">
        <v>1.78</v>
      </c>
      <c r="D626" s="73">
        <f t="shared" si="9"/>
        <v>1.78E-2</v>
      </c>
    </row>
    <row r="627" spans="2:4">
      <c r="B627" s="121">
        <v>41044</v>
      </c>
      <c r="C627" s="123">
        <v>1.76</v>
      </c>
      <c r="D627" s="73">
        <f t="shared" si="9"/>
        <v>1.7600000000000001E-2</v>
      </c>
    </row>
    <row r="628" spans="2:4">
      <c r="B628" s="121">
        <v>41045</v>
      </c>
      <c r="C628" s="123">
        <v>1.76</v>
      </c>
      <c r="D628" s="73">
        <f t="shared" si="9"/>
        <v>1.7600000000000001E-2</v>
      </c>
    </row>
    <row r="629" spans="2:4">
      <c r="B629" s="121">
        <v>41046</v>
      </c>
      <c r="C629" s="123">
        <v>1.7</v>
      </c>
      <c r="D629" s="73">
        <f t="shared" si="9"/>
        <v>1.7000000000000001E-2</v>
      </c>
    </row>
    <row r="630" spans="2:4">
      <c r="B630" s="121">
        <v>41047</v>
      </c>
      <c r="C630" s="123">
        <v>1.71</v>
      </c>
      <c r="D630" s="73">
        <f t="shared" si="9"/>
        <v>1.7100000000000001E-2</v>
      </c>
    </row>
    <row r="631" spans="2:4">
      <c r="B631" s="121">
        <v>41050</v>
      </c>
      <c r="C631" s="123">
        <v>1.75</v>
      </c>
      <c r="D631" s="73">
        <f t="shared" si="9"/>
        <v>1.7500000000000002E-2</v>
      </c>
    </row>
    <row r="632" spans="2:4">
      <c r="B632" s="121">
        <v>41051</v>
      </c>
      <c r="C632" s="123">
        <v>1.79</v>
      </c>
      <c r="D632" s="73">
        <f t="shared" si="9"/>
        <v>1.7899999999999999E-2</v>
      </c>
    </row>
    <row r="633" spans="2:4">
      <c r="B633" s="121">
        <v>41052</v>
      </c>
      <c r="C633" s="123">
        <v>1.73</v>
      </c>
      <c r="D633" s="73">
        <f t="shared" si="9"/>
        <v>1.7299999999999999E-2</v>
      </c>
    </row>
    <row r="634" spans="2:4">
      <c r="B634" s="121">
        <v>41053</v>
      </c>
      <c r="C634" s="123">
        <v>1.77</v>
      </c>
      <c r="D634" s="73">
        <f t="shared" si="9"/>
        <v>1.77E-2</v>
      </c>
    </row>
    <row r="635" spans="2:4">
      <c r="B635" s="121">
        <v>41054</v>
      </c>
      <c r="C635" s="123">
        <v>1.75</v>
      </c>
      <c r="D635" s="73">
        <f t="shared" si="9"/>
        <v>1.7500000000000002E-2</v>
      </c>
    </row>
    <row r="636" spans="2:4">
      <c r="B636" s="121">
        <v>41057</v>
      </c>
      <c r="C636" s="123" t="s">
        <v>325</v>
      </c>
      <c r="D636" s="73">
        <f t="shared" si="9"/>
        <v>1.7500000000000002E-2</v>
      </c>
    </row>
    <row r="637" spans="2:4">
      <c r="B637" s="121">
        <v>41058</v>
      </c>
      <c r="C637" s="123">
        <v>1.74</v>
      </c>
      <c r="D637" s="73">
        <f t="shared" si="9"/>
        <v>1.7399999999999999E-2</v>
      </c>
    </row>
    <row r="638" spans="2:4">
      <c r="B638" s="121">
        <v>41059</v>
      </c>
      <c r="C638" s="123">
        <v>1.63</v>
      </c>
      <c r="D638" s="73">
        <f t="shared" si="9"/>
        <v>1.6299999999999999E-2</v>
      </c>
    </row>
    <row r="639" spans="2:4">
      <c r="B639" s="121">
        <v>41060</v>
      </c>
      <c r="C639" s="123">
        <v>1.59</v>
      </c>
      <c r="D639" s="73">
        <f t="shared" si="9"/>
        <v>1.5900000000000001E-2</v>
      </c>
    </row>
    <row r="640" spans="2:4">
      <c r="B640" s="121">
        <v>41061</v>
      </c>
      <c r="C640" s="123">
        <v>1.47</v>
      </c>
      <c r="D640" s="73">
        <f t="shared" si="9"/>
        <v>1.47E-2</v>
      </c>
    </row>
    <row r="641" spans="2:4">
      <c r="B641" s="121">
        <v>41064</v>
      </c>
      <c r="C641" s="123">
        <v>1.53</v>
      </c>
      <c r="D641" s="73">
        <f t="shared" si="9"/>
        <v>1.5300000000000001E-2</v>
      </c>
    </row>
    <row r="642" spans="2:4">
      <c r="B642" s="121">
        <v>41065</v>
      </c>
      <c r="C642" s="123">
        <v>1.57</v>
      </c>
      <c r="D642" s="73">
        <f t="shared" si="9"/>
        <v>1.5700000000000002E-2</v>
      </c>
    </row>
    <row r="643" spans="2:4">
      <c r="B643" s="121">
        <v>41066</v>
      </c>
      <c r="C643" s="123">
        <v>1.66</v>
      </c>
      <c r="D643" s="73">
        <f t="shared" si="9"/>
        <v>1.66E-2</v>
      </c>
    </row>
    <row r="644" spans="2:4">
      <c r="B644" s="121">
        <v>41067</v>
      </c>
      <c r="C644" s="123">
        <v>1.66</v>
      </c>
      <c r="D644" s="73">
        <f t="shared" si="9"/>
        <v>1.66E-2</v>
      </c>
    </row>
    <row r="645" spans="2:4">
      <c r="B645" s="121">
        <v>41068</v>
      </c>
      <c r="C645" s="123">
        <v>1.65</v>
      </c>
      <c r="D645" s="73">
        <f t="shared" si="9"/>
        <v>1.6500000000000001E-2</v>
      </c>
    </row>
    <row r="646" spans="2:4">
      <c r="B646" s="121">
        <v>41071</v>
      </c>
      <c r="C646" s="123">
        <v>1.6</v>
      </c>
      <c r="D646" s="73">
        <f t="shared" si="9"/>
        <v>1.6E-2</v>
      </c>
    </row>
    <row r="647" spans="2:4">
      <c r="B647" s="121">
        <v>41072</v>
      </c>
      <c r="C647" s="123">
        <v>1.67</v>
      </c>
      <c r="D647" s="73">
        <f t="shared" si="9"/>
        <v>1.67E-2</v>
      </c>
    </row>
    <row r="648" spans="2:4">
      <c r="B648" s="121">
        <v>41073</v>
      </c>
      <c r="C648" s="123">
        <v>1.61</v>
      </c>
      <c r="D648" s="73">
        <f t="shared" si="9"/>
        <v>1.61E-2</v>
      </c>
    </row>
    <row r="649" spans="2:4">
      <c r="B649" s="121">
        <v>41074</v>
      </c>
      <c r="C649" s="123">
        <v>1.64</v>
      </c>
      <c r="D649" s="73">
        <f t="shared" si="9"/>
        <v>1.6399999999999998E-2</v>
      </c>
    </row>
    <row r="650" spans="2:4">
      <c r="B650" s="121">
        <v>41075</v>
      </c>
      <c r="C650" s="123">
        <v>1.6</v>
      </c>
      <c r="D650" s="73">
        <f t="shared" si="9"/>
        <v>1.6E-2</v>
      </c>
    </row>
    <row r="651" spans="2:4">
      <c r="B651" s="121">
        <v>41078</v>
      </c>
      <c r="C651" s="123">
        <v>1.59</v>
      </c>
      <c r="D651" s="73">
        <f t="shared" si="9"/>
        <v>1.5900000000000001E-2</v>
      </c>
    </row>
    <row r="652" spans="2:4">
      <c r="B652" s="121">
        <v>41079</v>
      </c>
      <c r="C652" s="123">
        <v>1.64</v>
      </c>
      <c r="D652" s="73">
        <f t="shared" si="9"/>
        <v>1.6399999999999998E-2</v>
      </c>
    </row>
    <row r="653" spans="2:4">
      <c r="B653" s="121">
        <v>41080</v>
      </c>
      <c r="C653" s="123">
        <v>1.65</v>
      </c>
      <c r="D653" s="73">
        <f t="shared" si="9"/>
        <v>1.6500000000000001E-2</v>
      </c>
    </row>
    <row r="654" spans="2:4">
      <c r="B654" s="121">
        <v>41081</v>
      </c>
      <c r="C654" s="123">
        <v>1.63</v>
      </c>
      <c r="D654" s="73">
        <f t="shared" si="9"/>
        <v>1.6299999999999999E-2</v>
      </c>
    </row>
    <row r="655" spans="2:4">
      <c r="B655" s="121">
        <v>41082</v>
      </c>
      <c r="C655" s="123">
        <v>1.69</v>
      </c>
      <c r="D655" s="73">
        <f t="shared" si="9"/>
        <v>1.6899999999999998E-2</v>
      </c>
    </row>
    <row r="656" spans="2:4">
      <c r="B656" s="121">
        <v>41085</v>
      </c>
      <c r="C656" s="123">
        <v>1.63</v>
      </c>
      <c r="D656" s="73">
        <f t="shared" si="9"/>
        <v>1.6299999999999999E-2</v>
      </c>
    </row>
    <row r="657" spans="2:4">
      <c r="B657" s="121">
        <v>41086</v>
      </c>
      <c r="C657" s="123">
        <v>1.66</v>
      </c>
      <c r="D657" s="73">
        <f t="shared" si="9"/>
        <v>1.66E-2</v>
      </c>
    </row>
    <row r="658" spans="2:4">
      <c r="B658" s="121">
        <v>41087</v>
      </c>
      <c r="C658" s="123">
        <v>1.65</v>
      </c>
      <c r="D658" s="73">
        <f t="shared" si="9"/>
        <v>1.6500000000000001E-2</v>
      </c>
    </row>
    <row r="659" spans="2:4">
      <c r="B659" s="121">
        <v>41088</v>
      </c>
      <c r="C659" s="123">
        <v>1.6</v>
      </c>
      <c r="D659" s="73">
        <f t="shared" si="9"/>
        <v>1.6E-2</v>
      </c>
    </row>
    <row r="660" spans="2:4">
      <c r="B660" s="121">
        <v>41089</v>
      </c>
      <c r="C660" s="123">
        <v>1.67</v>
      </c>
      <c r="D660" s="73">
        <f t="shared" si="9"/>
        <v>1.67E-2</v>
      </c>
    </row>
    <row r="661" spans="2:4">
      <c r="B661" s="121">
        <v>41092</v>
      </c>
      <c r="C661" s="123">
        <v>1.61</v>
      </c>
      <c r="D661" s="73">
        <f t="shared" si="9"/>
        <v>1.61E-2</v>
      </c>
    </row>
    <row r="662" spans="2:4">
      <c r="B662" s="121">
        <v>41093</v>
      </c>
      <c r="C662" s="123">
        <v>1.65</v>
      </c>
      <c r="D662" s="73">
        <f t="shared" si="9"/>
        <v>1.6500000000000001E-2</v>
      </c>
    </row>
    <row r="663" spans="2:4">
      <c r="B663" s="121">
        <v>41094</v>
      </c>
      <c r="C663" s="123" t="s">
        <v>325</v>
      </c>
      <c r="D663" s="73">
        <f t="shared" si="9"/>
        <v>1.6500000000000001E-2</v>
      </c>
    </row>
    <row r="664" spans="2:4">
      <c r="B664" s="121">
        <v>41095</v>
      </c>
      <c r="C664" s="123">
        <v>1.62</v>
      </c>
      <c r="D664" s="73">
        <f t="shared" si="9"/>
        <v>1.6200000000000003E-2</v>
      </c>
    </row>
    <row r="665" spans="2:4">
      <c r="B665" s="121">
        <v>41096</v>
      </c>
      <c r="C665" s="123">
        <v>1.57</v>
      </c>
      <c r="D665" s="73">
        <f t="shared" si="9"/>
        <v>1.5700000000000002E-2</v>
      </c>
    </row>
    <row r="666" spans="2:4">
      <c r="B666" s="121">
        <v>41099</v>
      </c>
      <c r="C666" s="123">
        <v>1.53</v>
      </c>
      <c r="D666" s="73">
        <f t="shared" si="9"/>
        <v>1.5300000000000001E-2</v>
      </c>
    </row>
    <row r="667" spans="2:4">
      <c r="B667" s="121">
        <v>41100</v>
      </c>
      <c r="C667" s="123">
        <v>1.53</v>
      </c>
      <c r="D667" s="73">
        <f t="shared" ref="D667:D730" si="10">IF( LEN( C667 ) = 0, #N/A, IF( C667 = "ND", D666, C667 / 100 ) )</f>
        <v>1.5300000000000001E-2</v>
      </c>
    </row>
    <row r="668" spans="2:4">
      <c r="B668" s="121">
        <v>41101</v>
      </c>
      <c r="C668" s="123">
        <v>1.54</v>
      </c>
      <c r="D668" s="73">
        <f t="shared" si="10"/>
        <v>1.54E-2</v>
      </c>
    </row>
    <row r="669" spans="2:4">
      <c r="B669" s="121">
        <v>41102</v>
      </c>
      <c r="C669" s="123">
        <v>1.5</v>
      </c>
      <c r="D669" s="73">
        <f t="shared" si="10"/>
        <v>1.4999999999999999E-2</v>
      </c>
    </row>
    <row r="670" spans="2:4">
      <c r="B670" s="121">
        <v>41103</v>
      </c>
      <c r="C670" s="123">
        <v>1.52</v>
      </c>
      <c r="D670" s="73">
        <f t="shared" si="10"/>
        <v>1.52E-2</v>
      </c>
    </row>
    <row r="671" spans="2:4">
      <c r="B671" s="121">
        <v>41106</v>
      </c>
      <c r="C671" s="123">
        <v>1.5</v>
      </c>
      <c r="D671" s="73">
        <f t="shared" si="10"/>
        <v>1.4999999999999999E-2</v>
      </c>
    </row>
    <row r="672" spans="2:4">
      <c r="B672" s="121">
        <v>41107</v>
      </c>
      <c r="C672" s="123">
        <v>1.53</v>
      </c>
      <c r="D672" s="73">
        <f t="shared" si="10"/>
        <v>1.5300000000000001E-2</v>
      </c>
    </row>
    <row r="673" spans="2:4">
      <c r="B673" s="121">
        <v>41108</v>
      </c>
      <c r="C673" s="123">
        <v>1.52</v>
      </c>
      <c r="D673" s="73">
        <f t="shared" si="10"/>
        <v>1.52E-2</v>
      </c>
    </row>
    <row r="674" spans="2:4">
      <c r="B674" s="121">
        <v>41109</v>
      </c>
      <c r="C674" s="123">
        <v>1.54</v>
      </c>
      <c r="D674" s="73">
        <f t="shared" si="10"/>
        <v>1.54E-2</v>
      </c>
    </row>
    <row r="675" spans="2:4">
      <c r="B675" s="121">
        <v>41110</v>
      </c>
      <c r="C675" s="123">
        <v>1.49</v>
      </c>
      <c r="D675" s="73">
        <f t="shared" si="10"/>
        <v>1.49E-2</v>
      </c>
    </row>
    <row r="676" spans="2:4">
      <c r="B676" s="121">
        <v>41113</v>
      </c>
      <c r="C676" s="123">
        <v>1.47</v>
      </c>
      <c r="D676" s="73">
        <f t="shared" si="10"/>
        <v>1.47E-2</v>
      </c>
    </row>
    <row r="677" spans="2:4">
      <c r="B677" s="121">
        <v>41114</v>
      </c>
      <c r="C677" s="123">
        <v>1.44</v>
      </c>
      <c r="D677" s="73">
        <f t="shared" si="10"/>
        <v>1.44E-2</v>
      </c>
    </row>
    <row r="678" spans="2:4">
      <c r="B678" s="121">
        <v>41115</v>
      </c>
      <c r="C678" s="123">
        <v>1.43</v>
      </c>
      <c r="D678" s="73">
        <f t="shared" si="10"/>
        <v>1.43E-2</v>
      </c>
    </row>
    <row r="679" spans="2:4">
      <c r="B679" s="121">
        <v>41116</v>
      </c>
      <c r="C679" s="123">
        <v>1.45</v>
      </c>
      <c r="D679" s="73">
        <f t="shared" si="10"/>
        <v>1.4499999999999999E-2</v>
      </c>
    </row>
    <row r="680" spans="2:4">
      <c r="B680" s="121">
        <v>41117</v>
      </c>
      <c r="C680" s="123">
        <v>1.58</v>
      </c>
      <c r="D680" s="73">
        <f t="shared" si="10"/>
        <v>1.5800000000000002E-2</v>
      </c>
    </row>
    <row r="681" spans="2:4">
      <c r="B681" s="121">
        <v>41120</v>
      </c>
      <c r="C681" s="123">
        <v>1.53</v>
      </c>
      <c r="D681" s="73">
        <f t="shared" si="10"/>
        <v>1.5300000000000001E-2</v>
      </c>
    </row>
    <row r="682" spans="2:4">
      <c r="B682" s="121">
        <v>41121</v>
      </c>
      <c r="C682" s="123">
        <v>1.51</v>
      </c>
      <c r="D682" s="73">
        <f t="shared" si="10"/>
        <v>1.5100000000000001E-2</v>
      </c>
    </row>
    <row r="683" spans="2:4">
      <c r="B683" s="121">
        <v>41122</v>
      </c>
      <c r="C683" s="123">
        <v>1.56</v>
      </c>
      <c r="D683" s="73">
        <f t="shared" si="10"/>
        <v>1.5600000000000001E-2</v>
      </c>
    </row>
    <row r="684" spans="2:4">
      <c r="B684" s="121">
        <v>41123</v>
      </c>
      <c r="C684" s="123">
        <v>1.51</v>
      </c>
      <c r="D684" s="73">
        <f t="shared" si="10"/>
        <v>1.5100000000000001E-2</v>
      </c>
    </row>
    <row r="685" spans="2:4">
      <c r="B685" s="121">
        <v>41124</v>
      </c>
      <c r="C685" s="123">
        <v>1.6</v>
      </c>
      <c r="D685" s="73">
        <f t="shared" si="10"/>
        <v>1.6E-2</v>
      </c>
    </row>
    <row r="686" spans="2:4">
      <c r="B686" s="121">
        <v>41127</v>
      </c>
      <c r="C686" s="123">
        <v>1.59</v>
      </c>
      <c r="D686" s="73">
        <f t="shared" si="10"/>
        <v>1.5900000000000001E-2</v>
      </c>
    </row>
    <row r="687" spans="2:4">
      <c r="B687" s="121">
        <v>41128</v>
      </c>
      <c r="C687" s="123">
        <v>1.66</v>
      </c>
      <c r="D687" s="73">
        <f t="shared" si="10"/>
        <v>1.66E-2</v>
      </c>
    </row>
    <row r="688" spans="2:4">
      <c r="B688" s="121">
        <v>41129</v>
      </c>
      <c r="C688" s="123">
        <v>1.68</v>
      </c>
      <c r="D688" s="73">
        <f t="shared" si="10"/>
        <v>1.6799999999999999E-2</v>
      </c>
    </row>
    <row r="689" spans="2:4">
      <c r="B689" s="121">
        <v>41130</v>
      </c>
      <c r="C689" s="123">
        <v>1.69</v>
      </c>
      <c r="D689" s="73">
        <f t="shared" si="10"/>
        <v>1.6899999999999998E-2</v>
      </c>
    </row>
    <row r="690" spans="2:4">
      <c r="B690" s="121">
        <v>41131</v>
      </c>
      <c r="C690" s="123">
        <v>1.65</v>
      </c>
      <c r="D690" s="73">
        <f t="shared" si="10"/>
        <v>1.6500000000000001E-2</v>
      </c>
    </row>
    <row r="691" spans="2:4">
      <c r="B691" s="121">
        <v>41134</v>
      </c>
      <c r="C691" s="123">
        <v>1.65</v>
      </c>
      <c r="D691" s="73">
        <f t="shared" si="10"/>
        <v>1.6500000000000001E-2</v>
      </c>
    </row>
    <row r="692" spans="2:4">
      <c r="B692" s="121">
        <v>41135</v>
      </c>
      <c r="C692" s="123">
        <v>1.73</v>
      </c>
      <c r="D692" s="73">
        <f t="shared" si="10"/>
        <v>1.7299999999999999E-2</v>
      </c>
    </row>
    <row r="693" spans="2:4">
      <c r="B693" s="121">
        <v>41136</v>
      </c>
      <c r="C693" s="123">
        <v>1.8</v>
      </c>
      <c r="D693" s="73">
        <f t="shared" si="10"/>
        <v>1.8000000000000002E-2</v>
      </c>
    </row>
    <row r="694" spans="2:4">
      <c r="B694" s="121">
        <v>41137</v>
      </c>
      <c r="C694" s="123">
        <v>1.83</v>
      </c>
      <c r="D694" s="73">
        <f t="shared" si="10"/>
        <v>1.83E-2</v>
      </c>
    </row>
    <row r="695" spans="2:4">
      <c r="B695" s="121">
        <v>41138</v>
      </c>
      <c r="C695" s="123">
        <v>1.81</v>
      </c>
      <c r="D695" s="73">
        <f t="shared" si="10"/>
        <v>1.8100000000000002E-2</v>
      </c>
    </row>
    <row r="696" spans="2:4">
      <c r="B696" s="121">
        <v>41141</v>
      </c>
      <c r="C696" s="123">
        <v>1.82</v>
      </c>
      <c r="D696" s="73">
        <f t="shared" si="10"/>
        <v>1.8200000000000001E-2</v>
      </c>
    </row>
    <row r="697" spans="2:4">
      <c r="B697" s="121">
        <v>41142</v>
      </c>
      <c r="C697" s="123">
        <v>1.8</v>
      </c>
      <c r="D697" s="73">
        <f t="shared" si="10"/>
        <v>1.8000000000000002E-2</v>
      </c>
    </row>
    <row r="698" spans="2:4">
      <c r="B698" s="121">
        <v>41143</v>
      </c>
      <c r="C698" s="123">
        <v>1.71</v>
      </c>
      <c r="D698" s="73">
        <f t="shared" si="10"/>
        <v>1.7100000000000001E-2</v>
      </c>
    </row>
    <row r="699" spans="2:4">
      <c r="B699" s="121">
        <v>41144</v>
      </c>
      <c r="C699" s="123">
        <v>1.68</v>
      </c>
      <c r="D699" s="73">
        <f t="shared" si="10"/>
        <v>1.6799999999999999E-2</v>
      </c>
    </row>
    <row r="700" spans="2:4">
      <c r="B700" s="121">
        <v>41145</v>
      </c>
      <c r="C700" s="123">
        <v>1.68</v>
      </c>
      <c r="D700" s="73">
        <f t="shared" si="10"/>
        <v>1.6799999999999999E-2</v>
      </c>
    </row>
    <row r="701" spans="2:4">
      <c r="B701" s="121">
        <v>41148</v>
      </c>
      <c r="C701" s="123">
        <v>1.65</v>
      </c>
      <c r="D701" s="73">
        <f t="shared" si="10"/>
        <v>1.6500000000000001E-2</v>
      </c>
    </row>
    <row r="702" spans="2:4">
      <c r="B702" s="121">
        <v>41149</v>
      </c>
      <c r="C702" s="123">
        <v>1.64</v>
      </c>
      <c r="D702" s="73">
        <f t="shared" si="10"/>
        <v>1.6399999999999998E-2</v>
      </c>
    </row>
    <row r="703" spans="2:4">
      <c r="B703" s="121">
        <v>41150</v>
      </c>
      <c r="C703" s="123">
        <v>1.66</v>
      </c>
      <c r="D703" s="73">
        <f t="shared" si="10"/>
        <v>1.66E-2</v>
      </c>
    </row>
    <row r="704" spans="2:4">
      <c r="B704" s="121">
        <v>41151</v>
      </c>
      <c r="C704" s="123">
        <v>1.63</v>
      </c>
      <c r="D704" s="73">
        <f t="shared" si="10"/>
        <v>1.6299999999999999E-2</v>
      </c>
    </row>
    <row r="705" spans="2:4">
      <c r="B705" s="121">
        <v>41152</v>
      </c>
      <c r="C705" s="123">
        <v>1.57</v>
      </c>
      <c r="D705" s="73">
        <f t="shared" si="10"/>
        <v>1.5700000000000002E-2</v>
      </c>
    </row>
    <row r="706" spans="2:4">
      <c r="B706" s="121">
        <v>41155</v>
      </c>
      <c r="C706" s="123" t="s">
        <v>325</v>
      </c>
      <c r="D706" s="73">
        <f t="shared" si="10"/>
        <v>1.5700000000000002E-2</v>
      </c>
    </row>
    <row r="707" spans="2:4">
      <c r="B707" s="121">
        <v>41156</v>
      </c>
      <c r="C707" s="123">
        <v>1.59</v>
      </c>
      <c r="D707" s="73">
        <f t="shared" si="10"/>
        <v>1.5900000000000001E-2</v>
      </c>
    </row>
    <row r="708" spans="2:4">
      <c r="B708" s="121">
        <v>41157</v>
      </c>
      <c r="C708" s="123">
        <v>1.6</v>
      </c>
      <c r="D708" s="73">
        <f t="shared" si="10"/>
        <v>1.6E-2</v>
      </c>
    </row>
    <row r="709" spans="2:4">
      <c r="B709" s="121">
        <v>41158</v>
      </c>
      <c r="C709" s="123">
        <v>1.68</v>
      </c>
      <c r="D709" s="73">
        <f t="shared" si="10"/>
        <v>1.6799999999999999E-2</v>
      </c>
    </row>
    <row r="710" spans="2:4">
      <c r="B710" s="121">
        <v>41159</v>
      </c>
      <c r="C710" s="123">
        <v>1.67</v>
      </c>
      <c r="D710" s="73">
        <f t="shared" si="10"/>
        <v>1.67E-2</v>
      </c>
    </row>
    <row r="711" spans="2:4">
      <c r="B711" s="121">
        <v>41162</v>
      </c>
      <c r="C711" s="123">
        <v>1.68</v>
      </c>
      <c r="D711" s="73">
        <f t="shared" si="10"/>
        <v>1.6799999999999999E-2</v>
      </c>
    </row>
    <row r="712" spans="2:4">
      <c r="B712" s="121">
        <v>41163</v>
      </c>
      <c r="C712" s="123">
        <v>1.7</v>
      </c>
      <c r="D712" s="73">
        <f t="shared" si="10"/>
        <v>1.7000000000000001E-2</v>
      </c>
    </row>
    <row r="713" spans="2:4">
      <c r="B713" s="121">
        <v>41164</v>
      </c>
      <c r="C713" s="123">
        <v>1.77</v>
      </c>
      <c r="D713" s="73">
        <f t="shared" si="10"/>
        <v>1.77E-2</v>
      </c>
    </row>
    <row r="714" spans="2:4">
      <c r="B714" s="121">
        <v>41165</v>
      </c>
      <c r="C714" s="123">
        <v>1.75</v>
      </c>
      <c r="D714" s="73">
        <f t="shared" si="10"/>
        <v>1.7500000000000002E-2</v>
      </c>
    </row>
    <row r="715" spans="2:4">
      <c r="B715" s="121">
        <v>41166</v>
      </c>
      <c r="C715" s="123">
        <v>1.88</v>
      </c>
      <c r="D715" s="73">
        <f t="shared" si="10"/>
        <v>1.8799999999999997E-2</v>
      </c>
    </row>
    <row r="716" spans="2:4">
      <c r="B716" s="121">
        <v>41169</v>
      </c>
      <c r="C716" s="123">
        <v>1.85</v>
      </c>
      <c r="D716" s="73">
        <f t="shared" si="10"/>
        <v>1.8500000000000003E-2</v>
      </c>
    </row>
    <row r="717" spans="2:4">
      <c r="B717" s="121">
        <v>41170</v>
      </c>
      <c r="C717" s="123">
        <v>1.82</v>
      </c>
      <c r="D717" s="73">
        <f t="shared" si="10"/>
        <v>1.8200000000000001E-2</v>
      </c>
    </row>
    <row r="718" spans="2:4">
      <c r="B718" s="121">
        <v>41171</v>
      </c>
      <c r="C718" s="123">
        <v>1.79</v>
      </c>
      <c r="D718" s="73">
        <f t="shared" si="10"/>
        <v>1.7899999999999999E-2</v>
      </c>
    </row>
    <row r="719" spans="2:4">
      <c r="B719" s="121">
        <v>41172</v>
      </c>
      <c r="C719" s="123">
        <v>1.8</v>
      </c>
      <c r="D719" s="73">
        <f t="shared" si="10"/>
        <v>1.8000000000000002E-2</v>
      </c>
    </row>
    <row r="720" spans="2:4">
      <c r="B720" s="121">
        <v>41173</v>
      </c>
      <c r="C720" s="123">
        <v>1.77</v>
      </c>
      <c r="D720" s="73">
        <f t="shared" si="10"/>
        <v>1.77E-2</v>
      </c>
    </row>
    <row r="721" spans="2:4">
      <c r="B721" s="121">
        <v>41176</v>
      </c>
      <c r="C721" s="123">
        <v>1.74</v>
      </c>
      <c r="D721" s="73">
        <f t="shared" si="10"/>
        <v>1.7399999999999999E-2</v>
      </c>
    </row>
    <row r="722" spans="2:4">
      <c r="B722" s="121">
        <v>41177</v>
      </c>
      <c r="C722" s="123">
        <v>1.7</v>
      </c>
      <c r="D722" s="73">
        <f t="shared" si="10"/>
        <v>1.7000000000000001E-2</v>
      </c>
    </row>
    <row r="723" spans="2:4">
      <c r="B723" s="121">
        <v>41178</v>
      </c>
      <c r="C723" s="123">
        <v>1.64</v>
      </c>
      <c r="D723" s="73">
        <f t="shared" si="10"/>
        <v>1.6399999999999998E-2</v>
      </c>
    </row>
    <row r="724" spans="2:4">
      <c r="B724" s="121">
        <v>41179</v>
      </c>
      <c r="C724" s="123">
        <v>1.66</v>
      </c>
      <c r="D724" s="73">
        <f t="shared" si="10"/>
        <v>1.66E-2</v>
      </c>
    </row>
    <row r="725" spans="2:4">
      <c r="B725" s="121">
        <v>41180</v>
      </c>
      <c r="C725" s="123">
        <v>1.65</v>
      </c>
      <c r="D725" s="73">
        <f t="shared" si="10"/>
        <v>1.6500000000000001E-2</v>
      </c>
    </row>
    <row r="726" spans="2:4">
      <c r="B726" s="121">
        <v>41183</v>
      </c>
      <c r="C726" s="123">
        <v>1.64</v>
      </c>
      <c r="D726" s="73">
        <f t="shared" si="10"/>
        <v>1.6399999999999998E-2</v>
      </c>
    </row>
    <row r="727" spans="2:4">
      <c r="B727" s="121">
        <v>41184</v>
      </c>
      <c r="C727" s="123">
        <v>1.64</v>
      </c>
      <c r="D727" s="73">
        <f t="shared" si="10"/>
        <v>1.6399999999999998E-2</v>
      </c>
    </row>
    <row r="728" spans="2:4">
      <c r="B728" s="121">
        <v>41185</v>
      </c>
      <c r="C728" s="123">
        <v>1.64</v>
      </c>
      <c r="D728" s="73">
        <f t="shared" si="10"/>
        <v>1.6399999999999998E-2</v>
      </c>
    </row>
    <row r="729" spans="2:4">
      <c r="B729" s="121">
        <v>41186</v>
      </c>
      <c r="C729" s="123">
        <v>1.7</v>
      </c>
      <c r="D729" s="73">
        <f t="shared" si="10"/>
        <v>1.7000000000000001E-2</v>
      </c>
    </row>
    <row r="730" spans="2:4">
      <c r="B730" s="121">
        <v>41187</v>
      </c>
      <c r="C730" s="123">
        <v>1.75</v>
      </c>
      <c r="D730" s="73">
        <f t="shared" si="10"/>
        <v>1.7500000000000002E-2</v>
      </c>
    </row>
    <row r="731" spans="2:4">
      <c r="B731" s="121">
        <v>41190</v>
      </c>
      <c r="C731" s="123" t="s">
        <v>325</v>
      </c>
      <c r="D731" s="73">
        <f t="shared" ref="D731:D794" si="11">IF( LEN( C731 ) = 0, #N/A, IF( C731 = "ND", D730, C731 / 100 ) )</f>
        <v>1.7500000000000002E-2</v>
      </c>
    </row>
    <row r="732" spans="2:4">
      <c r="B732" s="121">
        <v>41191</v>
      </c>
      <c r="C732" s="123">
        <v>1.74</v>
      </c>
      <c r="D732" s="73">
        <f t="shared" si="11"/>
        <v>1.7399999999999999E-2</v>
      </c>
    </row>
    <row r="733" spans="2:4">
      <c r="B733" s="121">
        <v>41192</v>
      </c>
      <c r="C733" s="123">
        <v>1.72</v>
      </c>
      <c r="D733" s="73">
        <f t="shared" si="11"/>
        <v>1.72E-2</v>
      </c>
    </row>
    <row r="734" spans="2:4">
      <c r="B734" s="121">
        <v>41193</v>
      </c>
      <c r="C734" s="123">
        <v>1.7</v>
      </c>
      <c r="D734" s="73">
        <f t="shared" si="11"/>
        <v>1.7000000000000001E-2</v>
      </c>
    </row>
    <row r="735" spans="2:4">
      <c r="B735" s="121">
        <v>41194</v>
      </c>
      <c r="C735" s="123">
        <v>1.69</v>
      </c>
      <c r="D735" s="73">
        <f t="shared" si="11"/>
        <v>1.6899999999999998E-2</v>
      </c>
    </row>
    <row r="736" spans="2:4">
      <c r="B736" s="121">
        <v>41197</v>
      </c>
      <c r="C736" s="123">
        <v>1.7</v>
      </c>
      <c r="D736" s="73">
        <f t="shared" si="11"/>
        <v>1.7000000000000001E-2</v>
      </c>
    </row>
    <row r="737" spans="2:4">
      <c r="B737" s="121">
        <v>41198</v>
      </c>
      <c r="C737" s="123">
        <v>1.75</v>
      </c>
      <c r="D737" s="73">
        <f t="shared" si="11"/>
        <v>1.7500000000000002E-2</v>
      </c>
    </row>
    <row r="738" spans="2:4">
      <c r="B738" s="121">
        <v>41199</v>
      </c>
      <c r="C738" s="123">
        <v>1.83</v>
      </c>
      <c r="D738" s="73">
        <f t="shared" si="11"/>
        <v>1.83E-2</v>
      </c>
    </row>
    <row r="739" spans="2:4">
      <c r="B739" s="121">
        <v>41200</v>
      </c>
      <c r="C739" s="123">
        <v>1.86</v>
      </c>
      <c r="D739" s="73">
        <f t="shared" si="11"/>
        <v>1.8600000000000002E-2</v>
      </c>
    </row>
    <row r="740" spans="2:4">
      <c r="B740" s="121">
        <v>41201</v>
      </c>
      <c r="C740" s="123">
        <v>1.79</v>
      </c>
      <c r="D740" s="73">
        <f t="shared" si="11"/>
        <v>1.7899999999999999E-2</v>
      </c>
    </row>
    <row r="741" spans="2:4">
      <c r="B741" s="121">
        <v>41204</v>
      </c>
      <c r="C741" s="123">
        <v>1.83</v>
      </c>
      <c r="D741" s="73">
        <f t="shared" si="11"/>
        <v>1.83E-2</v>
      </c>
    </row>
    <row r="742" spans="2:4">
      <c r="B742" s="121">
        <v>41205</v>
      </c>
      <c r="C742" s="123">
        <v>1.79</v>
      </c>
      <c r="D742" s="73">
        <f t="shared" si="11"/>
        <v>1.7899999999999999E-2</v>
      </c>
    </row>
    <row r="743" spans="2:4">
      <c r="B743" s="121">
        <v>41206</v>
      </c>
      <c r="C743" s="123">
        <v>1.8</v>
      </c>
      <c r="D743" s="73">
        <f t="shared" si="11"/>
        <v>1.8000000000000002E-2</v>
      </c>
    </row>
    <row r="744" spans="2:4">
      <c r="B744" s="121">
        <v>41207</v>
      </c>
      <c r="C744" s="123">
        <v>1.86</v>
      </c>
      <c r="D744" s="73">
        <f t="shared" si="11"/>
        <v>1.8600000000000002E-2</v>
      </c>
    </row>
    <row r="745" spans="2:4">
      <c r="B745" s="121">
        <v>41208</v>
      </c>
      <c r="C745" s="123">
        <v>1.78</v>
      </c>
      <c r="D745" s="73">
        <f t="shared" si="11"/>
        <v>1.78E-2</v>
      </c>
    </row>
    <row r="746" spans="2:4">
      <c r="B746" s="121">
        <v>41211</v>
      </c>
      <c r="C746" s="123">
        <v>1.74</v>
      </c>
      <c r="D746" s="73">
        <f t="shared" si="11"/>
        <v>1.7399999999999999E-2</v>
      </c>
    </row>
    <row r="747" spans="2:4">
      <c r="B747" s="121">
        <v>41212</v>
      </c>
      <c r="C747" s="123" t="s">
        <v>325</v>
      </c>
      <c r="D747" s="73">
        <f t="shared" si="11"/>
        <v>1.7399999999999999E-2</v>
      </c>
    </row>
    <row r="748" spans="2:4">
      <c r="B748" s="121">
        <v>41213</v>
      </c>
      <c r="C748" s="123">
        <v>1.72</v>
      </c>
      <c r="D748" s="73">
        <f t="shared" si="11"/>
        <v>1.72E-2</v>
      </c>
    </row>
    <row r="749" spans="2:4">
      <c r="B749" s="121">
        <v>41214</v>
      </c>
      <c r="C749" s="123">
        <v>1.75</v>
      </c>
      <c r="D749" s="73">
        <f t="shared" si="11"/>
        <v>1.7500000000000002E-2</v>
      </c>
    </row>
    <row r="750" spans="2:4">
      <c r="B750" s="121">
        <v>41215</v>
      </c>
      <c r="C750" s="123">
        <v>1.75</v>
      </c>
      <c r="D750" s="73">
        <f t="shared" si="11"/>
        <v>1.7500000000000002E-2</v>
      </c>
    </row>
    <row r="751" spans="2:4">
      <c r="B751" s="121">
        <v>41218</v>
      </c>
      <c r="C751" s="123">
        <v>1.72</v>
      </c>
      <c r="D751" s="73">
        <f t="shared" si="11"/>
        <v>1.72E-2</v>
      </c>
    </row>
    <row r="752" spans="2:4">
      <c r="B752" s="121">
        <v>41219</v>
      </c>
      <c r="C752" s="123">
        <v>1.78</v>
      </c>
      <c r="D752" s="73">
        <f t="shared" si="11"/>
        <v>1.78E-2</v>
      </c>
    </row>
    <row r="753" spans="2:4">
      <c r="B753" s="121">
        <v>41220</v>
      </c>
      <c r="C753" s="123">
        <v>1.68</v>
      </c>
      <c r="D753" s="73">
        <f t="shared" si="11"/>
        <v>1.6799999999999999E-2</v>
      </c>
    </row>
    <row r="754" spans="2:4">
      <c r="B754" s="121">
        <v>41221</v>
      </c>
      <c r="C754" s="123">
        <v>1.62</v>
      </c>
      <c r="D754" s="73">
        <f t="shared" si="11"/>
        <v>1.6200000000000003E-2</v>
      </c>
    </row>
    <row r="755" spans="2:4">
      <c r="B755" s="121">
        <v>41222</v>
      </c>
      <c r="C755" s="123">
        <v>1.61</v>
      </c>
      <c r="D755" s="73">
        <f t="shared" si="11"/>
        <v>1.61E-2</v>
      </c>
    </row>
    <row r="756" spans="2:4">
      <c r="B756" s="121">
        <v>41225</v>
      </c>
      <c r="C756" s="123" t="s">
        <v>325</v>
      </c>
      <c r="D756" s="73">
        <f t="shared" si="11"/>
        <v>1.61E-2</v>
      </c>
    </row>
    <row r="757" spans="2:4">
      <c r="B757" s="121">
        <v>41226</v>
      </c>
      <c r="C757" s="123">
        <v>1.59</v>
      </c>
      <c r="D757" s="73">
        <f t="shared" si="11"/>
        <v>1.5900000000000001E-2</v>
      </c>
    </row>
    <row r="758" spans="2:4">
      <c r="B758" s="121">
        <v>41227</v>
      </c>
      <c r="C758" s="123">
        <v>1.59</v>
      </c>
      <c r="D758" s="73">
        <f t="shared" si="11"/>
        <v>1.5900000000000001E-2</v>
      </c>
    </row>
    <row r="759" spans="2:4">
      <c r="B759" s="121">
        <v>41228</v>
      </c>
      <c r="C759" s="123">
        <v>1.58</v>
      </c>
      <c r="D759" s="73">
        <f t="shared" si="11"/>
        <v>1.5800000000000002E-2</v>
      </c>
    </row>
    <row r="760" spans="2:4">
      <c r="B760" s="121">
        <v>41229</v>
      </c>
      <c r="C760" s="123">
        <v>1.58</v>
      </c>
      <c r="D760" s="73">
        <f t="shared" si="11"/>
        <v>1.5800000000000002E-2</v>
      </c>
    </row>
    <row r="761" spans="2:4">
      <c r="B761" s="121">
        <v>41232</v>
      </c>
      <c r="C761" s="123">
        <v>1.61</v>
      </c>
      <c r="D761" s="73">
        <f t="shared" si="11"/>
        <v>1.61E-2</v>
      </c>
    </row>
    <row r="762" spans="2:4">
      <c r="B762" s="121">
        <v>41233</v>
      </c>
      <c r="C762" s="123">
        <v>1.66</v>
      </c>
      <c r="D762" s="73">
        <f t="shared" si="11"/>
        <v>1.66E-2</v>
      </c>
    </row>
    <row r="763" spans="2:4">
      <c r="B763" s="121">
        <v>41234</v>
      </c>
      <c r="C763" s="123">
        <v>1.69</v>
      </c>
      <c r="D763" s="73">
        <f t="shared" si="11"/>
        <v>1.6899999999999998E-2</v>
      </c>
    </row>
    <row r="764" spans="2:4">
      <c r="B764" s="121">
        <v>41235</v>
      </c>
      <c r="C764" s="123" t="s">
        <v>325</v>
      </c>
      <c r="D764" s="73">
        <f t="shared" si="11"/>
        <v>1.6899999999999998E-2</v>
      </c>
    </row>
    <row r="765" spans="2:4">
      <c r="B765" s="121">
        <v>41236</v>
      </c>
      <c r="C765" s="123">
        <v>1.7</v>
      </c>
      <c r="D765" s="73">
        <f t="shared" si="11"/>
        <v>1.7000000000000001E-2</v>
      </c>
    </row>
    <row r="766" spans="2:4">
      <c r="B766" s="121">
        <v>41239</v>
      </c>
      <c r="C766" s="123">
        <v>1.66</v>
      </c>
      <c r="D766" s="73">
        <f t="shared" si="11"/>
        <v>1.66E-2</v>
      </c>
    </row>
    <row r="767" spans="2:4">
      <c r="B767" s="121">
        <v>41240</v>
      </c>
      <c r="C767" s="123">
        <v>1.64</v>
      </c>
      <c r="D767" s="73">
        <f t="shared" si="11"/>
        <v>1.6399999999999998E-2</v>
      </c>
    </row>
    <row r="768" spans="2:4">
      <c r="B768" s="121">
        <v>41241</v>
      </c>
      <c r="C768" s="123">
        <v>1.63</v>
      </c>
      <c r="D768" s="73">
        <f t="shared" si="11"/>
        <v>1.6299999999999999E-2</v>
      </c>
    </row>
    <row r="769" spans="2:4">
      <c r="B769" s="121">
        <v>41242</v>
      </c>
      <c r="C769" s="123">
        <v>1.62</v>
      </c>
      <c r="D769" s="73">
        <f t="shared" si="11"/>
        <v>1.6200000000000003E-2</v>
      </c>
    </row>
    <row r="770" spans="2:4">
      <c r="B770" s="121">
        <v>41243</v>
      </c>
      <c r="C770" s="123">
        <v>1.62</v>
      </c>
      <c r="D770" s="73">
        <f t="shared" si="11"/>
        <v>1.6200000000000003E-2</v>
      </c>
    </row>
    <row r="771" spans="2:4">
      <c r="B771" s="121">
        <v>41246</v>
      </c>
      <c r="C771" s="123">
        <v>1.63</v>
      </c>
      <c r="D771" s="73">
        <f t="shared" si="11"/>
        <v>1.6299999999999999E-2</v>
      </c>
    </row>
    <row r="772" spans="2:4">
      <c r="B772" s="121">
        <v>41247</v>
      </c>
      <c r="C772" s="123">
        <v>1.62</v>
      </c>
      <c r="D772" s="73">
        <f t="shared" si="11"/>
        <v>1.6200000000000003E-2</v>
      </c>
    </row>
    <row r="773" spans="2:4">
      <c r="B773" s="121">
        <v>41248</v>
      </c>
      <c r="C773" s="123">
        <v>1.6</v>
      </c>
      <c r="D773" s="73">
        <f t="shared" si="11"/>
        <v>1.6E-2</v>
      </c>
    </row>
    <row r="774" spans="2:4">
      <c r="B774" s="121">
        <v>41249</v>
      </c>
      <c r="C774" s="123">
        <v>1.59</v>
      </c>
      <c r="D774" s="73">
        <f t="shared" si="11"/>
        <v>1.5900000000000001E-2</v>
      </c>
    </row>
    <row r="775" spans="2:4">
      <c r="B775" s="121">
        <v>41250</v>
      </c>
      <c r="C775" s="123">
        <v>1.64</v>
      </c>
      <c r="D775" s="73">
        <f t="shared" si="11"/>
        <v>1.6399999999999998E-2</v>
      </c>
    </row>
    <row r="776" spans="2:4">
      <c r="B776" s="121">
        <v>41253</v>
      </c>
      <c r="C776" s="123">
        <v>1.63</v>
      </c>
      <c r="D776" s="73">
        <f t="shared" si="11"/>
        <v>1.6299999999999999E-2</v>
      </c>
    </row>
    <row r="777" spans="2:4">
      <c r="B777" s="121">
        <v>41254</v>
      </c>
      <c r="C777" s="123">
        <v>1.66</v>
      </c>
      <c r="D777" s="73">
        <f t="shared" si="11"/>
        <v>1.66E-2</v>
      </c>
    </row>
    <row r="778" spans="2:4">
      <c r="B778" s="121">
        <v>41255</v>
      </c>
      <c r="C778" s="123">
        <v>1.72</v>
      </c>
      <c r="D778" s="73">
        <f t="shared" si="11"/>
        <v>1.72E-2</v>
      </c>
    </row>
    <row r="779" spans="2:4">
      <c r="B779" s="121">
        <v>41256</v>
      </c>
      <c r="C779" s="123">
        <v>1.74</v>
      </c>
      <c r="D779" s="73">
        <f t="shared" si="11"/>
        <v>1.7399999999999999E-2</v>
      </c>
    </row>
    <row r="780" spans="2:4">
      <c r="B780" s="121">
        <v>41257</v>
      </c>
      <c r="C780" s="123">
        <v>1.72</v>
      </c>
      <c r="D780" s="73">
        <f t="shared" si="11"/>
        <v>1.72E-2</v>
      </c>
    </row>
    <row r="781" spans="2:4">
      <c r="B781" s="121">
        <v>41260</v>
      </c>
      <c r="C781" s="123">
        <v>1.78</v>
      </c>
      <c r="D781" s="73">
        <f t="shared" si="11"/>
        <v>1.78E-2</v>
      </c>
    </row>
    <row r="782" spans="2:4">
      <c r="B782" s="121">
        <v>41261</v>
      </c>
      <c r="C782" s="123">
        <v>1.84</v>
      </c>
      <c r="D782" s="73">
        <f t="shared" si="11"/>
        <v>1.84E-2</v>
      </c>
    </row>
    <row r="783" spans="2:4">
      <c r="B783" s="121">
        <v>41262</v>
      </c>
      <c r="C783" s="123">
        <v>1.82</v>
      </c>
      <c r="D783" s="73">
        <f t="shared" si="11"/>
        <v>1.8200000000000001E-2</v>
      </c>
    </row>
    <row r="784" spans="2:4">
      <c r="B784" s="121">
        <v>41263</v>
      </c>
      <c r="C784" s="123">
        <v>1.81</v>
      </c>
      <c r="D784" s="73">
        <f t="shared" si="11"/>
        <v>1.8100000000000002E-2</v>
      </c>
    </row>
    <row r="785" spans="2:4">
      <c r="B785" s="121">
        <v>41264</v>
      </c>
      <c r="C785" s="123">
        <v>1.77</v>
      </c>
      <c r="D785" s="73">
        <f t="shared" si="11"/>
        <v>1.77E-2</v>
      </c>
    </row>
    <row r="786" spans="2:4">
      <c r="B786" s="121">
        <v>41267</v>
      </c>
      <c r="C786" s="123">
        <v>1.79</v>
      </c>
      <c r="D786" s="73">
        <f t="shared" si="11"/>
        <v>1.7899999999999999E-2</v>
      </c>
    </row>
    <row r="787" spans="2:4">
      <c r="B787" s="121">
        <v>41268</v>
      </c>
      <c r="C787" s="123" t="s">
        <v>325</v>
      </c>
      <c r="D787" s="73">
        <f t="shared" si="11"/>
        <v>1.7899999999999999E-2</v>
      </c>
    </row>
    <row r="788" spans="2:4">
      <c r="B788" s="121">
        <v>41269</v>
      </c>
      <c r="C788" s="123">
        <v>1.77</v>
      </c>
      <c r="D788" s="73">
        <f t="shared" si="11"/>
        <v>1.77E-2</v>
      </c>
    </row>
    <row r="789" spans="2:4">
      <c r="B789" s="121">
        <v>41270</v>
      </c>
      <c r="C789" s="123">
        <v>1.74</v>
      </c>
      <c r="D789" s="73">
        <f t="shared" si="11"/>
        <v>1.7399999999999999E-2</v>
      </c>
    </row>
    <row r="790" spans="2:4">
      <c r="B790" s="121">
        <v>41271</v>
      </c>
      <c r="C790" s="123">
        <v>1.73</v>
      </c>
      <c r="D790" s="73">
        <f t="shared" si="11"/>
        <v>1.7299999999999999E-2</v>
      </c>
    </row>
    <row r="791" spans="2:4">
      <c r="B791" s="121">
        <v>41274</v>
      </c>
      <c r="C791" s="123">
        <v>1.78</v>
      </c>
      <c r="D791" s="73">
        <f t="shared" si="11"/>
        <v>1.78E-2</v>
      </c>
    </row>
    <row r="792" spans="2:4">
      <c r="B792" s="296">
        <v>41275</v>
      </c>
      <c r="C792" s="297" t="s">
        <v>325</v>
      </c>
      <c r="D792" s="73">
        <f t="shared" si="11"/>
        <v>1.78E-2</v>
      </c>
    </row>
    <row r="793" spans="2:4">
      <c r="B793" s="296">
        <v>41276</v>
      </c>
      <c r="C793" s="297">
        <v>1.86</v>
      </c>
      <c r="D793" s="73">
        <f t="shared" si="11"/>
        <v>1.8600000000000002E-2</v>
      </c>
    </row>
    <row r="794" spans="2:4">
      <c r="B794" s="296">
        <v>41277</v>
      </c>
      <c r="C794" s="297">
        <v>1.92</v>
      </c>
      <c r="D794" s="73">
        <f t="shared" si="11"/>
        <v>1.9199999999999998E-2</v>
      </c>
    </row>
    <row r="795" spans="2:4">
      <c r="B795" s="296">
        <v>41278</v>
      </c>
      <c r="C795" s="297">
        <v>1.93</v>
      </c>
      <c r="D795" s="73">
        <f t="shared" ref="D795:D858" si="12">IF( LEN( C795 ) = 0, #N/A, IF( C795 = "ND", D794, C795 / 100 ) )</f>
        <v>1.9299999999999998E-2</v>
      </c>
    </row>
    <row r="796" spans="2:4">
      <c r="B796" s="296">
        <v>41281</v>
      </c>
      <c r="C796" s="297">
        <v>1.92</v>
      </c>
      <c r="D796" s="73">
        <f t="shared" si="12"/>
        <v>1.9199999999999998E-2</v>
      </c>
    </row>
    <row r="797" spans="2:4">
      <c r="B797" s="296">
        <v>41282</v>
      </c>
      <c r="C797" s="297">
        <v>1.89</v>
      </c>
      <c r="D797" s="73">
        <f t="shared" si="12"/>
        <v>1.89E-2</v>
      </c>
    </row>
    <row r="798" spans="2:4">
      <c r="B798" s="296">
        <v>41283</v>
      </c>
      <c r="C798" s="297">
        <v>1.88</v>
      </c>
      <c r="D798" s="73">
        <f t="shared" si="12"/>
        <v>1.8799999999999997E-2</v>
      </c>
    </row>
    <row r="799" spans="2:4">
      <c r="B799" s="296">
        <v>41284</v>
      </c>
      <c r="C799" s="297">
        <v>1.91</v>
      </c>
      <c r="D799" s="73">
        <f t="shared" si="12"/>
        <v>1.9099999999999999E-2</v>
      </c>
    </row>
    <row r="800" spans="2:4">
      <c r="B800" s="296">
        <v>41285</v>
      </c>
      <c r="C800" s="297">
        <v>1.89</v>
      </c>
      <c r="D800" s="73">
        <f t="shared" si="12"/>
        <v>1.89E-2</v>
      </c>
    </row>
    <row r="801" spans="2:4">
      <c r="B801" s="296">
        <v>41288</v>
      </c>
      <c r="C801" s="297">
        <v>1.89</v>
      </c>
      <c r="D801" s="73">
        <f t="shared" si="12"/>
        <v>1.89E-2</v>
      </c>
    </row>
    <row r="802" spans="2:4">
      <c r="B802" s="296">
        <v>41289</v>
      </c>
      <c r="C802" s="297">
        <v>1.86</v>
      </c>
      <c r="D802" s="73">
        <f t="shared" si="12"/>
        <v>1.8600000000000002E-2</v>
      </c>
    </row>
    <row r="803" spans="2:4">
      <c r="B803" s="296">
        <v>41290</v>
      </c>
      <c r="C803" s="297">
        <v>1.84</v>
      </c>
      <c r="D803" s="73">
        <f t="shared" si="12"/>
        <v>1.84E-2</v>
      </c>
    </row>
    <row r="804" spans="2:4">
      <c r="B804" s="296">
        <v>41291</v>
      </c>
      <c r="C804" s="297">
        <v>1.89</v>
      </c>
      <c r="D804" s="73">
        <f t="shared" si="12"/>
        <v>1.89E-2</v>
      </c>
    </row>
    <row r="805" spans="2:4">
      <c r="B805" s="296">
        <v>41292</v>
      </c>
      <c r="C805" s="297">
        <v>1.87</v>
      </c>
      <c r="D805" s="73">
        <f t="shared" si="12"/>
        <v>1.8700000000000001E-2</v>
      </c>
    </row>
    <row r="806" spans="2:4">
      <c r="B806" s="296">
        <v>41295</v>
      </c>
      <c r="C806" s="297" t="s">
        <v>325</v>
      </c>
      <c r="D806" s="73">
        <f t="shared" si="12"/>
        <v>1.8700000000000001E-2</v>
      </c>
    </row>
    <row r="807" spans="2:4">
      <c r="B807" s="296">
        <v>41296</v>
      </c>
      <c r="C807" s="297">
        <v>1.86</v>
      </c>
      <c r="D807" s="73">
        <f t="shared" si="12"/>
        <v>1.8600000000000002E-2</v>
      </c>
    </row>
    <row r="808" spans="2:4">
      <c r="B808" s="296">
        <v>41297</v>
      </c>
      <c r="C808" s="297">
        <v>1.86</v>
      </c>
      <c r="D808" s="73">
        <f t="shared" si="12"/>
        <v>1.8600000000000002E-2</v>
      </c>
    </row>
    <row r="809" spans="2:4">
      <c r="B809" s="296">
        <v>41298</v>
      </c>
      <c r="C809" s="297">
        <v>1.88</v>
      </c>
      <c r="D809" s="73">
        <f t="shared" si="12"/>
        <v>1.8799999999999997E-2</v>
      </c>
    </row>
    <row r="810" spans="2:4">
      <c r="B810" s="296">
        <v>41299</v>
      </c>
      <c r="C810" s="297">
        <v>1.98</v>
      </c>
      <c r="D810" s="73">
        <f t="shared" si="12"/>
        <v>1.9799999999999998E-2</v>
      </c>
    </row>
    <row r="811" spans="2:4">
      <c r="B811" s="296">
        <v>41302</v>
      </c>
      <c r="C811" s="297">
        <v>2</v>
      </c>
      <c r="D811" s="73">
        <f t="shared" si="12"/>
        <v>0.02</v>
      </c>
    </row>
    <row r="812" spans="2:4">
      <c r="B812" s="296">
        <v>41303</v>
      </c>
      <c r="C812" s="297">
        <v>2.0299999999999998</v>
      </c>
      <c r="D812" s="73">
        <f t="shared" si="12"/>
        <v>2.0299999999999999E-2</v>
      </c>
    </row>
    <row r="813" spans="2:4">
      <c r="B813" s="296">
        <v>41304</v>
      </c>
      <c r="C813" s="297">
        <v>2.0299999999999998</v>
      </c>
      <c r="D813" s="73">
        <f t="shared" si="12"/>
        <v>2.0299999999999999E-2</v>
      </c>
    </row>
    <row r="814" spans="2:4">
      <c r="B814" s="296">
        <v>41305</v>
      </c>
      <c r="C814" s="297">
        <v>2.02</v>
      </c>
      <c r="D814" s="73">
        <f t="shared" si="12"/>
        <v>2.0199999999999999E-2</v>
      </c>
    </row>
    <row r="815" spans="2:4">
      <c r="B815" s="296">
        <v>41306</v>
      </c>
      <c r="C815" s="297">
        <v>2.04</v>
      </c>
      <c r="D815" s="73">
        <f t="shared" si="12"/>
        <v>2.0400000000000001E-2</v>
      </c>
    </row>
    <row r="816" spans="2:4">
      <c r="B816" s="296">
        <v>41309</v>
      </c>
      <c r="C816" s="297">
        <v>2</v>
      </c>
      <c r="D816" s="73">
        <f t="shared" si="12"/>
        <v>0.02</v>
      </c>
    </row>
    <row r="817" spans="2:4">
      <c r="B817" s="296">
        <v>41310</v>
      </c>
      <c r="C817" s="297">
        <v>2.04</v>
      </c>
      <c r="D817" s="73">
        <f t="shared" si="12"/>
        <v>2.0400000000000001E-2</v>
      </c>
    </row>
    <row r="818" spans="2:4">
      <c r="B818" s="296">
        <v>41311</v>
      </c>
      <c r="C818" s="297">
        <v>2</v>
      </c>
      <c r="D818" s="73">
        <f t="shared" si="12"/>
        <v>0.02</v>
      </c>
    </row>
    <row r="819" spans="2:4">
      <c r="B819" s="296">
        <v>41312</v>
      </c>
      <c r="C819" s="297">
        <v>1.99</v>
      </c>
      <c r="D819" s="73">
        <f t="shared" si="12"/>
        <v>1.9900000000000001E-2</v>
      </c>
    </row>
    <row r="820" spans="2:4">
      <c r="B820" s="296">
        <v>41313</v>
      </c>
      <c r="C820" s="297">
        <v>1.99</v>
      </c>
      <c r="D820" s="73">
        <f t="shared" si="12"/>
        <v>1.9900000000000001E-2</v>
      </c>
    </row>
    <row r="821" spans="2:4">
      <c r="B821" s="296">
        <v>41316</v>
      </c>
      <c r="C821" s="297">
        <v>1.99</v>
      </c>
      <c r="D821" s="73">
        <f t="shared" si="12"/>
        <v>1.9900000000000001E-2</v>
      </c>
    </row>
    <row r="822" spans="2:4">
      <c r="B822" s="296">
        <v>41317</v>
      </c>
      <c r="C822" s="297">
        <v>2.02</v>
      </c>
      <c r="D822" s="73">
        <f t="shared" si="12"/>
        <v>2.0199999999999999E-2</v>
      </c>
    </row>
    <row r="823" spans="2:4">
      <c r="B823" s="296">
        <v>41318</v>
      </c>
      <c r="C823" s="297">
        <v>2.0499999999999998</v>
      </c>
      <c r="D823" s="73">
        <f t="shared" si="12"/>
        <v>2.0499999999999997E-2</v>
      </c>
    </row>
    <row r="824" spans="2:4">
      <c r="B824" s="296">
        <v>41319</v>
      </c>
      <c r="C824" s="297">
        <v>2</v>
      </c>
      <c r="D824" s="73">
        <f t="shared" si="12"/>
        <v>0.02</v>
      </c>
    </row>
    <row r="825" spans="2:4">
      <c r="B825" s="296">
        <v>41320</v>
      </c>
      <c r="C825" s="297">
        <v>2.0099999999999998</v>
      </c>
      <c r="D825" s="73">
        <f t="shared" si="12"/>
        <v>2.0099999999999996E-2</v>
      </c>
    </row>
    <row r="826" spans="2:4">
      <c r="B826" s="296">
        <v>41323</v>
      </c>
      <c r="C826" s="297" t="s">
        <v>325</v>
      </c>
      <c r="D826" s="73">
        <f t="shared" si="12"/>
        <v>2.0099999999999996E-2</v>
      </c>
    </row>
    <row r="827" spans="2:4">
      <c r="B827" s="296">
        <v>41324</v>
      </c>
      <c r="C827" s="297">
        <v>2.0299999999999998</v>
      </c>
      <c r="D827" s="73">
        <f t="shared" si="12"/>
        <v>2.0299999999999999E-2</v>
      </c>
    </row>
    <row r="828" spans="2:4">
      <c r="B828" s="296">
        <v>41325</v>
      </c>
      <c r="C828" s="297">
        <v>2.02</v>
      </c>
      <c r="D828" s="73">
        <f t="shared" si="12"/>
        <v>2.0199999999999999E-2</v>
      </c>
    </row>
    <row r="829" spans="2:4">
      <c r="B829" s="296">
        <v>41326</v>
      </c>
      <c r="C829" s="297">
        <v>1.99</v>
      </c>
      <c r="D829" s="73">
        <f t="shared" si="12"/>
        <v>1.9900000000000001E-2</v>
      </c>
    </row>
    <row r="830" spans="2:4">
      <c r="B830" s="296">
        <v>41327</v>
      </c>
      <c r="C830" s="297">
        <v>1.97</v>
      </c>
      <c r="D830" s="73">
        <f t="shared" si="12"/>
        <v>1.9699999999999999E-2</v>
      </c>
    </row>
    <row r="831" spans="2:4">
      <c r="B831" s="296">
        <v>41330</v>
      </c>
      <c r="C831" s="297">
        <v>1.88</v>
      </c>
      <c r="D831" s="73">
        <f t="shared" si="12"/>
        <v>1.8799999999999997E-2</v>
      </c>
    </row>
    <row r="832" spans="2:4">
      <c r="B832" s="296">
        <v>41331</v>
      </c>
      <c r="C832" s="297">
        <v>1.88</v>
      </c>
      <c r="D832" s="73">
        <f t="shared" si="12"/>
        <v>1.8799999999999997E-2</v>
      </c>
    </row>
    <row r="833" spans="2:4">
      <c r="B833" s="296">
        <v>41332</v>
      </c>
      <c r="C833" s="297">
        <v>1.91</v>
      </c>
      <c r="D833" s="73">
        <f t="shared" si="12"/>
        <v>1.9099999999999999E-2</v>
      </c>
    </row>
    <row r="834" spans="2:4">
      <c r="B834" s="296">
        <v>41333</v>
      </c>
      <c r="C834" s="297">
        <v>1.89</v>
      </c>
      <c r="D834" s="73">
        <f t="shared" si="12"/>
        <v>1.89E-2</v>
      </c>
    </row>
    <row r="835" spans="2:4">
      <c r="B835" s="296">
        <v>41334</v>
      </c>
      <c r="C835" s="297">
        <v>1.86</v>
      </c>
      <c r="D835" s="73">
        <f t="shared" si="12"/>
        <v>1.8600000000000002E-2</v>
      </c>
    </row>
    <row r="836" spans="2:4">
      <c r="B836" s="296">
        <v>41337</v>
      </c>
      <c r="C836" s="297">
        <v>1.88</v>
      </c>
      <c r="D836" s="73">
        <f t="shared" si="12"/>
        <v>1.8799999999999997E-2</v>
      </c>
    </row>
    <row r="837" spans="2:4">
      <c r="B837" s="296">
        <v>41338</v>
      </c>
      <c r="C837" s="297">
        <v>1.9</v>
      </c>
      <c r="D837" s="73">
        <f t="shared" si="12"/>
        <v>1.9E-2</v>
      </c>
    </row>
    <row r="838" spans="2:4">
      <c r="B838" s="296">
        <v>41339</v>
      </c>
      <c r="C838" s="297">
        <v>1.95</v>
      </c>
      <c r="D838" s="73">
        <f t="shared" si="12"/>
        <v>1.95E-2</v>
      </c>
    </row>
    <row r="839" spans="2:4">
      <c r="B839" s="296">
        <v>41340</v>
      </c>
      <c r="C839" s="297">
        <v>2</v>
      </c>
      <c r="D839" s="73">
        <f t="shared" si="12"/>
        <v>0.02</v>
      </c>
    </row>
    <row r="840" spans="2:4">
      <c r="B840" s="296">
        <v>41341</v>
      </c>
      <c r="C840" s="297">
        <v>2.06</v>
      </c>
      <c r="D840" s="73">
        <f t="shared" si="12"/>
        <v>2.06E-2</v>
      </c>
    </row>
    <row r="841" spans="2:4">
      <c r="B841" s="296">
        <v>41344</v>
      </c>
      <c r="C841" s="297">
        <v>2.0699999999999998</v>
      </c>
      <c r="D841" s="73">
        <f t="shared" si="12"/>
        <v>2.07E-2</v>
      </c>
    </row>
    <row r="842" spans="2:4">
      <c r="B842" s="296">
        <v>41345</v>
      </c>
      <c r="C842" s="297">
        <v>2.0299999999999998</v>
      </c>
      <c r="D842" s="73">
        <f t="shared" si="12"/>
        <v>2.0299999999999999E-2</v>
      </c>
    </row>
    <row r="843" spans="2:4">
      <c r="B843" s="296">
        <v>41346</v>
      </c>
      <c r="C843" s="297">
        <v>2.04</v>
      </c>
      <c r="D843" s="73">
        <f t="shared" si="12"/>
        <v>2.0400000000000001E-2</v>
      </c>
    </row>
    <row r="844" spans="2:4">
      <c r="B844" s="296">
        <v>41347</v>
      </c>
      <c r="C844" s="297">
        <v>2.04</v>
      </c>
      <c r="D844" s="73">
        <f t="shared" si="12"/>
        <v>2.0400000000000001E-2</v>
      </c>
    </row>
    <row r="845" spans="2:4">
      <c r="B845" s="296">
        <v>41348</v>
      </c>
      <c r="C845" s="297">
        <v>2.0099999999999998</v>
      </c>
      <c r="D845" s="73">
        <f t="shared" si="12"/>
        <v>2.0099999999999996E-2</v>
      </c>
    </row>
    <row r="846" spans="2:4">
      <c r="B846" s="296">
        <v>41351</v>
      </c>
      <c r="C846" s="297">
        <v>1.96</v>
      </c>
      <c r="D846" s="73">
        <f t="shared" si="12"/>
        <v>1.9599999999999999E-2</v>
      </c>
    </row>
    <row r="847" spans="2:4">
      <c r="B847" s="296">
        <v>41352</v>
      </c>
      <c r="C847" s="297">
        <v>1.92</v>
      </c>
      <c r="D847" s="73">
        <f t="shared" si="12"/>
        <v>1.9199999999999998E-2</v>
      </c>
    </row>
    <row r="848" spans="2:4">
      <c r="B848" s="296">
        <v>41353</v>
      </c>
      <c r="C848" s="297">
        <v>1.96</v>
      </c>
      <c r="D848" s="73">
        <f t="shared" si="12"/>
        <v>1.9599999999999999E-2</v>
      </c>
    </row>
    <row r="849" spans="2:4">
      <c r="B849" s="296">
        <v>41354</v>
      </c>
      <c r="C849" s="297">
        <v>1.95</v>
      </c>
      <c r="D849" s="73">
        <f t="shared" si="12"/>
        <v>1.95E-2</v>
      </c>
    </row>
    <row r="850" spans="2:4">
      <c r="B850" s="296">
        <v>41355</v>
      </c>
      <c r="C850" s="297">
        <v>1.93</v>
      </c>
      <c r="D850" s="73">
        <f t="shared" si="12"/>
        <v>1.9299999999999998E-2</v>
      </c>
    </row>
    <row r="851" spans="2:4">
      <c r="B851" s="296">
        <v>41358</v>
      </c>
      <c r="C851" s="297">
        <v>1.93</v>
      </c>
      <c r="D851" s="73">
        <f t="shared" si="12"/>
        <v>1.9299999999999998E-2</v>
      </c>
    </row>
    <row r="852" spans="2:4">
      <c r="B852" s="296">
        <v>41359</v>
      </c>
      <c r="C852" s="297">
        <v>1.92</v>
      </c>
      <c r="D852" s="73">
        <f t="shared" si="12"/>
        <v>1.9199999999999998E-2</v>
      </c>
    </row>
    <row r="853" spans="2:4">
      <c r="B853" s="296">
        <v>41360</v>
      </c>
      <c r="C853" s="297">
        <v>1.87</v>
      </c>
      <c r="D853" s="73">
        <f t="shared" si="12"/>
        <v>1.8700000000000001E-2</v>
      </c>
    </row>
    <row r="854" spans="2:4">
      <c r="B854" s="296">
        <v>41361</v>
      </c>
      <c r="C854" s="297">
        <v>1.87</v>
      </c>
      <c r="D854" s="73">
        <f t="shared" si="12"/>
        <v>1.8700000000000001E-2</v>
      </c>
    </row>
    <row r="855" spans="2:4">
      <c r="B855" s="296">
        <v>41362</v>
      </c>
      <c r="C855" s="297" t="s">
        <v>325</v>
      </c>
      <c r="D855" s="73">
        <f t="shared" si="12"/>
        <v>1.8700000000000001E-2</v>
      </c>
    </row>
    <row r="856" spans="2:4">
      <c r="B856" s="296">
        <v>41365</v>
      </c>
      <c r="C856" s="297">
        <v>1.86</v>
      </c>
      <c r="D856" s="73">
        <f t="shared" si="12"/>
        <v>1.8600000000000002E-2</v>
      </c>
    </row>
    <row r="857" spans="2:4">
      <c r="B857" s="296">
        <v>41366</v>
      </c>
      <c r="C857" s="297">
        <v>1.88</v>
      </c>
      <c r="D857" s="73">
        <f t="shared" si="12"/>
        <v>1.8799999999999997E-2</v>
      </c>
    </row>
    <row r="858" spans="2:4">
      <c r="B858" s="296">
        <v>41367</v>
      </c>
      <c r="C858" s="297">
        <v>1.83</v>
      </c>
      <c r="D858" s="73">
        <f t="shared" si="12"/>
        <v>1.83E-2</v>
      </c>
    </row>
    <row r="859" spans="2:4">
      <c r="B859" s="296">
        <v>41368</v>
      </c>
      <c r="C859" s="297">
        <v>1.78</v>
      </c>
      <c r="D859" s="73">
        <f t="shared" ref="D859:D922" si="13">IF( LEN( C859 ) = 0, #N/A, IF( C859 = "ND", D858, C859 / 100 ) )</f>
        <v>1.78E-2</v>
      </c>
    </row>
    <row r="860" spans="2:4">
      <c r="B860" s="296">
        <v>41369</v>
      </c>
      <c r="C860" s="297">
        <v>1.72</v>
      </c>
      <c r="D860" s="73">
        <f t="shared" si="13"/>
        <v>1.72E-2</v>
      </c>
    </row>
    <row r="861" spans="2:4">
      <c r="B861" s="296">
        <v>41372</v>
      </c>
      <c r="C861" s="297">
        <v>1.76</v>
      </c>
      <c r="D861" s="73">
        <f t="shared" si="13"/>
        <v>1.7600000000000001E-2</v>
      </c>
    </row>
    <row r="862" spans="2:4">
      <c r="B862" s="296">
        <v>41373</v>
      </c>
      <c r="C862" s="297">
        <v>1.78</v>
      </c>
      <c r="D862" s="73">
        <f t="shared" si="13"/>
        <v>1.78E-2</v>
      </c>
    </row>
    <row r="863" spans="2:4">
      <c r="B863" s="296">
        <v>41374</v>
      </c>
      <c r="C863" s="297">
        <v>1.84</v>
      </c>
      <c r="D863" s="73">
        <f t="shared" si="13"/>
        <v>1.84E-2</v>
      </c>
    </row>
    <row r="864" spans="2:4">
      <c r="B864" s="296">
        <v>41375</v>
      </c>
      <c r="C864" s="297">
        <v>1.82</v>
      </c>
      <c r="D864" s="73">
        <f t="shared" si="13"/>
        <v>1.8200000000000001E-2</v>
      </c>
    </row>
    <row r="865" spans="2:4">
      <c r="B865" s="296">
        <v>41376</v>
      </c>
      <c r="C865" s="297">
        <v>1.75</v>
      </c>
      <c r="D865" s="73">
        <f t="shared" si="13"/>
        <v>1.7500000000000002E-2</v>
      </c>
    </row>
    <row r="866" spans="2:4">
      <c r="B866" s="296">
        <v>41379</v>
      </c>
      <c r="C866" s="297">
        <v>1.72</v>
      </c>
      <c r="D866" s="73">
        <f t="shared" si="13"/>
        <v>1.72E-2</v>
      </c>
    </row>
    <row r="867" spans="2:4">
      <c r="B867" s="296">
        <v>41380</v>
      </c>
      <c r="C867" s="297">
        <v>1.75</v>
      </c>
      <c r="D867" s="73">
        <f t="shared" si="13"/>
        <v>1.7500000000000002E-2</v>
      </c>
    </row>
    <row r="868" spans="2:4">
      <c r="B868" s="296">
        <v>41381</v>
      </c>
      <c r="C868" s="297">
        <v>1.73</v>
      </c>
      <c r="D868" s="73">
        <f t="shared" si="13"/>
        <v>1.7299999999999999E-2</v>
      </c>
    </row>
    <row r="869" spans="2:4">
      <c r="B869" s="296">
        <v>41382</v>
      </c>
      <c r="C869" s="297">
        <v>1.72</v>
      </c>
      <c r="D869" s="73">
        <f t="shared" si="13"/>
        <v>1.72E-2</v>
      </c>
    </row>
    <row r="870" spans="2:4">
      <c r="B870" s="296">
        <v>41383</v>
      </c>
      <c r="C870" s="297">
        <v>1.73</v>
      </c>
      <c r="D870" s="73">
        <f t="shared" si="13"/>
        <v>1.7299999999999999E-2</v>
      </c>
    </row>
    <row r="871" spans="2:4">
      <c r="B871" s="296">
        <v>41386</v>
      </c>
      <c r="C871" s="297">
        <v>1.72</v>
      </c>
      <c r="D871" s="73">
        <f t="shared" si="13"/>
        <v>1.72E-2</v>
      </c>
    </row>
    <row r="872" spans="2:4">
      <c r="B872" s="296">
        <v>41387</v>
      </c>
      <c r="C872" s="297">
        <v>1.74</v>
      </c>
      <c r="D872" s="73">
        <f t="shared" si="13"/>
        <v>1.7399999999999999E-2</v>
      </c>
    </row>
    <row r="873" spans="2:4">
      <c r="B873" s="296">
        <v>41388</v>
      </c>
      <c r="C873" s="297">
        <v>1.73</v>
      </c>
      <c r="D873" s="73">
        <f t="shared" si="13"/>
        <v>1.7299999999999999E-2</v>
      </c>
    </row>
    <row r="874" spans="2:4">
      <c r="B874" s="296">
        <v>41389</v>
      </c>
      <c r="C874" s="297">
        <v>1.74</v>
      </c>
      <c r="D874" s="73">
        <f t="shared" si="13"/>
        <v>1.7399999999999999E-2</v>
      </c>
    </row>
    <row r="875" spans="2:4">
      <c r="B875" s="296">
        <v>41390</v>
      </c>
      <c r="C875" s="297">
        <v>1.7</v>
      </c>
      <c r="D875" s="73">
        <f t="shared" si="13"/>
        <v>1.7000000000000001E-2</v>
      </c>
    </row>
    <row r="876" spans="2:4">
      <c r="B876" s="296">
        <v>41393</v>
      </c>
      <c r="C876" s="297">
        <v>1.7</v>
      </c>
      <c r="D876" s="73">
        <f t="shared" si="13"/>
        <v>1.7000000000000001E-2</v>
      </c>
    </row>
    <row r="877" spans="2:4">
      <c r="B877" s="296">
        <v>41394</v>
      </c>
      <c r="C877" s="297">
        <v>1.7</v>
      </c>
      <c r="D877" s="73">
        <f t="shared" si="13"/>
        <v>1.7000000000000001E-2</v>
      </c>
    </row>
    <row r="878" spans="2:4">
      <c r="B878" s="296">
        <v>41395</v>
      </c>
      <c r="C878" s="297">
        <v>1.66</v>
      </c>
      <c r="D878" s="73">
        <f t="shared" si="13"/>
        <v>1.66E-2</v>
      </c>
    </row>
    <row r="879" spans="2:4">
      <c r="B879" s="296">
        <v>41396</v>
      </c>
      <c r="C879" s="297">
        <v>1.66</v>
      </c>
      <c r="D879" s="73">
        <f t="shared" si="13"/>
        <v>1.66E-2</v>
      </c>
    </row>
    <row r="880" spans="2:4">
      <c r="B880" s="296">
        <v>41397</v>
      </c>
      <c r="C880" s="297">
        <v>1.78</v>
      </c>
      <c r="D880" s="73">
        <f t="shared" si="13"/>
        <v>1.78E-2</v>
      </c>
    </row>
    <row r="881" spans="2:4">
      <c r="B881" s="296">
        <v>41400</v>
      </c>
      <c r="C881" s="297">
        <v>1.8</v>
      </c>
      <c r="D881" s="73">
        <f t="shared" si="13"/>
        <v>1.8000000000000002E-2</v>
      </c>
    </row>
    <row r="882" spans="2:4">
      <c r="B882" s="296">
        <v>41401</v>
      </c>
      <c r="C882" s="297">
        <v>1.82</v>
      </c>
      <c r="D882" s="73">
        <f t="shared" si="13"/>
        <v>1.8200000000000001E-2</v>
      </c>
    </row>
    <row r="883" spans="2:4">
      <c r="B883" s="296">
        <v>41402</v>
      </c>
      <c r="C883" s="297">
        <v>1.81</v>
      </c>
      <c r="D883" s="73">
        <f t="shared" si="13"/>
        <v>1.8100000000000002E-2</v>
      </c>
    </row>
    <row r="884" spans="2:4">
      <c r="B884" s="296">
        <v>41403</v>
      </c>
      <c r="C884" s="297">
        <v>1.81</v>
      </c>
      <c r="D884" s="73">
        <f t="shared" si="13"/>
        <v>1.8100000000000002E-2</v>
      </c>
    </row>
    <row r="885" spans="2:4">
      <c r="B885" s="296">
        <v>41404</v>
      </c>
      <c r="C885" s="297">
        <v>1.9</v>
      </c>
      <c r="D885" s="73">
        <f t="shared" si="13"/>
        <v>1.9E-2</v>
      </c>
    </row>
    <row r="886" spans="2:4">
      <c r="B886" s="296">
        <v>41407</v>
      </c>
      <c r="C886" s="297">
        <v>1.92</v>
      </c>
      <c r="D886" s="73">
        <f t="shared" si="13"/>
        <v>1.9199999999999998E-2</v>
      </c>
    </row>
    <row r="887" spans="2:4">
      <c r="B887" s="296">
        <v>41408</v>
      </c>
      <c r="C887" s="297">
        <v>1.96</v>
      </c>
      <c r="D887" s="73">
        <f t="shared" si="13"/>
        <v>1.9599999999999999E-2</v>
      </c>
    </row>
    <row r="888" spans="2:4">
      <c r="B888" s="296">
        <v>41409</v>
      </c>
      <c r="C888" s="297">
        <v>1.94</v>
      </c>
      <c r="D888" s="73">
        <f t="shared" si="13"/>
        <v>1.9400000000000001E-2</v>
      </c>
    </row>
    <row r="889" spans="2:4">
      <c r="B889" s="296">
        <v>41410</v>
      </c>
      <c r="C889" s="297">
        <v>1.87</v>
      </c>
      <c r="D889" s="73">
        <f t="shared" si="13"/>
        <v>1.8700000000000001E-2</v>
      </c>
    </row>
    <row r="890" spans="2:4">
      <c r="B890" s="296">
        <v>41411</v>
      </c>
      <c r="C890" s="297">
        <v>1.95</v>
      </c>
      <c r="D890" s="73">
        <f t="shared" si="13"/>
        <v>1.95E-2</v>
      </c>
    </row>
    <row r="891" spans="2:4">
      <c r="B891" s="296">
        <v>41414</v>
      </c>
      <c r="C891" s="297">
        <v>1.97</v>
      </c>
      <c r="D891" s="73">
        <f t="shared" si="13"/>
        <v>1.9699999999999999E-2</v>
      </c>
    </row>
    <row r="892" spans="2:4">
      <c r="B892" s="296">
        <v>41415</v>
      </c>
      <c r="C892" s="297">
        <v>1.94</v>
      </c>
      <c r="D892" s="73">
        <f t="shared" si="13"/>
        <v>1.9400000000000001E-2</v>
      </c>
    </row>
    <row r="893" spans="2:4">
      <c r="B893" s="296">
        <v>41416</v>
      </c>
      <c r="C893" s="297">
        <v>2.0299999999999998</v>
      </c>
      <c r="D893" s="73">
        <f t="shared" si="13"/>
        <v>2.0299999999999999E-2</v>
      </c>
    </row>
    <row r="894" spans="2:4">
      <c r="B894" s="296">
        <v>41417</v>
      </c>
      <c r="C894" s="297">
        <v>2.02</v>
      </c>
      <c r="D894" s="73">
        <f t="shared" si="13"/>
        <v>2.0199999999999999E-2</v>
      </c>
    </row>
    <row r="895" spans="2:4">
      <c r="B895" s="296">
        <v>41418</v>
      </c>
      <c r="C895" s="297">
        <v>2.0099999999999998</v>
      </c>
      <c r="D895" s="73">
        <f t="shared" si="13"/>
        <v>2.0099999999999996E-2</v>
      </c>
    </row>
    <row r="896" spans="2:4">
      <c r="B896" s="296">
        <v>41421</v>
      </c>
      <c r="C896" s="297" t="s">
        <v>325</v>
      </c>
      <c r="D896" s="73">
        <f t="shared" si="13"/>
        <v>2.0099999999999996E-2</v>
      </c>
    </row>
    <row r="897" spans="2:4">
      <c r="B897" s="296">
        <v>41422</v>
      </c>
      <c r="C897" s="297">
        <v>2.15</v>
      </c>
      <c r="D897" s="73">
        <f t="shared" si="13"/>
        <v>2.1499999999999998E-2</v>
      </c>
    </row>
    <row r="898" spans="2:4">
      <c r="B898" s="296">
        <v>41423</v>
      </c>
      <c r="C898" s="297">
        <v>2.13</v>
      </c>
      <c r="D898" s="73">
        <f t="shared" si="13"/>
        <v>2.1299999999999999E-2</v>
      </c>
    </row>
    <row r="899" spans="2:4">
      <c r="B899" s="296">
        <v>41424</v>
      </c>
      <c r="C899" s="297">
        <v>2.13</v>
      </c>
      <c r="D899" s="73">
        <f t="shared" si="13"/>
        <v>2.1299999999999999E-2</v>
      </c>
    </row>
    <row r="900" spans="2:4">
      <c r="B900" s="296">
        <v>41425</v>
      </c>
      <c r="C900" s="297">
        <v>2.16</v>
      </c>
      <c r="D900" s="73">
        <f t="shared" si="13"/>
        <v>2.1600000000000001E-2</v>
      </c>
    </row>
    <row r="901" spans="2:4">
      <c r="B901" s="296">
        <v>41428</v>
      </c>
      <c r="C901" s="297">
        <v>2.13</v>
      </c>
      <c r="D901" s="73">
        <f t="shared" si="13"/>
        <v>2.1299999999999999E-2</v>
      </c>
    </row>
    <row r="902" spans="2:4">
      <c r="B902" s="296">
        <v>41429</v>
      </c>
      <c r="C902" s="297">
        <v>2.14</v>
      </c>
      <c r="D902" s="73">
        <f t="shared" si="13"/>
        <v>2.1400000000000002E-2</v>
      </c>
    </row>
    <row r="903" spans="2:4">
      <c r="B903" s="296">
        <v>41430</v>
      </c>
      <c r="C903" s="297">
        <v>2.1</v>
      </c>
      <c r="D903" s="73">
        <f t="shared" si="13"/>
        <v>2.1000000000000001E-2</v>
      </c>
    </row>
    <row r="904" spans="2:4">
      <c r="B904" s="296">
        <v>41431</v>
      </c>
      <c r="C904" s="297">
        <v>2.08</v>
      </c>
      <c r="D904" s="73">
        <f t="shared" si="13"/>
        <v>2.0799999999999999E-2</v>
      </c>
    </row>
    <row r="905" spans="2:4">
      <c r="B905" s="296">
        <v>41432</v>
      </c>
      <c r="C905" s="297">
        <v>2.17</v>
      </c>
      <c r="D905" s="73">
        <f t="shared" si="13"/>
        <v>2.1700000000000001E-2</v>
      </c>
    </row>
    <row r="906" spans="2:4">
      <c r="B906" s="296">
        <v>41435</v>
      </c>
      <c r="C906" s="297">
        <v>2.2200000000000002</v>
      </c>
      <c r="D906" s="73">
        <f t="shared" si="13"/>
        <v>2.2200000000000001E-2</v>
      </c>
    </row>
    <row r="907" spans="2:4">
      <c r="B907" s="296">
        <v>41436</v>
      </c>
      <c r="C907" s="297">
        <v>2.2000000000000002</v>
      </c>
      <c r="D907" s="73">
        <f t="shared" si="13"/>
        <v>2.2000000000000002E-2</v>
      </c>
    </row>
    <row r="908" spans="2:4">
      <c r="B908" s="296">
        <v>41437</v>
      </c>
      <c r="C908" s="297">
        <v>2.25</v>
      </c>
      <c r="D908" s="73">
        <f t="shared" si="13"/>
        <v>2.2499999999999999E-2</v>
      </c>
    </row>
    <row r="909" spans="2:4">
      <c r="B909" s="296">
        <v>41438</v>
      </c>
      <c r="C909" s="297">
        <v>2.19</v>
      </c>
      <c r="D909" s="73">
        <f t="shared" si="13"/>
        <v>2.1899999999999999E-2</v>
      </c>
    </row>
    <row r="910" spans="2:4">
      <c r="B910" s="296">
        <v>41439</v>
      </c>
      <c r="C910" s="297">
        <v>2.14</v>
      </c>
      <c r="D910" s="73">
        <f t="shared" si="13"/>
        <v>2.1400000000000002E-2</v>
      </c>
    </row>
    <row r="911" spans="2:4">
      <c r="B911" s="296">
        <v>41442</v>
      </c>
      <c r="C911" s="297">
        <v>2.19</v>
      </c>
      <c r="D911" s="73">
        <f t="shared" si="13"/>
        <v>2.1899999999999999E-2</v>
      </c>
    </row>
    <row r="912" spans="2:4">
      <c r="B912" s="296">
        <v>41443</v>
      </c>
      <c r="C912" s="297">
        <v>2.2000000000000002</v>
      </c>
      <c r="D912" s="73">
        <f t="shared" si="13"/>
        <v>2.2000000000000002E-2</v>
      </c>
    </row>
    <row r="913" spans="2:4">
      <c r="B913" s="296">
        <v>41444</v>
      </c>
      <c r="C913" s="297">
        <v>2.33</v>
      </c>
      <c r="D913" s="73">
        <f t="shared" si="13"/>
        <v>2.3300000000000001E-2</v>
      </c>
    </row>
    <row r="914" spans="2:4">
      <c r="B914" s="296">
        <v>41445</v>
      </c>
      <c r="C914" s="297">
        <v>2.41</v>
      </c>
      <c r="D914" s="73">
        <f t="shared" si="13"/>
        <v>2.41E-2</v>
      </c>
    </row>
    <row r="915" spans="2:4">
      <c r="B915" s="296">
        <v>41446</v>
      </c>
      <c r="C915" s="297">
        <v>2.52</v>
      </c>
      <c r="D915" s="73">
        <f t="shared" si="13"/>
        <v>2.52E-2</v>
      </c>
    </row>
    <row r="916" spans="2:4">
      <c r="B916" s="296">
        <v>41449</v>
      </c>
      <c r="C916" s="297">
        <v>2.57</v>
      </c>
      <c r="D916" s="73">
        <f t="shared" si="13"/>
        <v>2.5699999999999997E-2</v>
      </c>
    </row>
    <row r="917" spans="2:4">
      <c r="B917" s="296">
        <v>41450</v>
      </c>
      <c r="C917" s="297">
        <v>2.6</v>
      </c>
      <c r="D917" s="73">
        <f t="shared" si="13"/>
        <v>2.6000000000000002E-2</v>
      </c>
    </row>
    <row r="918" spans="2:4">
      <c r="B918" s="296">
        <v>41451</v>
      </c>
      <c r="C918" s="297">
        <v>2.5499999999999998</v>
      </c>
      <c r="D918" s="73">
        <f t="shared" si="13"/>
        <v>2.5499999999999998E-2</v>
      </c>
    </row>
    <row r="919" spans="2:4">
      <c r="B919" s="296">
        <v>41452</v>
      </c>
      <c r="C919" s="297">
        <v>2.4900000000000002</v>
      </c>
      <c r="D919" s="73">
        <f t="shared" si="13"/>
        <v>2.4900000000000002E-2</v>
      </c>
    </row>
    <row r="920" spans="2:4">
      <c r="B920" s="296">
        <v>41453</v>
      </c>
      <c r="C920" s="297">
        <v>2.52</v>
      </c>
      <c r="D920" s="73">
        <f t="shared" si="13"/>
        <v>2.52E-2</v>
      </c>
    </row>
    <row r="921" spans="2:4">
      <c r="B921" s="296">
        <v>41456</v>
      </c>
      <c r="C921" s="297">
        <v>2.5</v>
      </c>
      <c r="D921" s="73">
        <f t="shared" si="13"/>
        <v>2.5000000000000001E-2</v>
      </c>
    </row>
    <row r="922" spans="2:4">
      <c r="B922" s="296">
        <v>41457</v>
      </c>
      <c r="C922" s="297">
        <v>2.48</v>
      </c>
      <c r="D922" s="73">
        <f t="shared" si="13"/>
        <v>2.4799999999999999E-2</v>
      </c>
    </row>
    <row r="923" spans="2:4">
      <c r="B923" s="296">
        <v>41458</v>
      </c>
      <c r="C923" s="297">
        <v>2.52</v>
      </c>
      <c r="D923" s="73">
        <f t="shared" ref="D923:D986" si="14">IF( LEN( C923 ) = 0, #N/A, IF( C923 = "ND", D922, C923 / 100 ) )</f>
        <v>2.52E-2</v>
      </c>
    </row>
    <row r="924" spans="2:4">
      <c r="B924" s="296">
        <v>41459</v>
      </c>
      <c r="C924" s="297" t="s">
        <v>325</v>
      </c>
      <c r="D924" s="73">
        <f t="shared" si="14"/>
        <v>2.52E-2</v>
      </c>
    </row>
    <row r="925" spans="2:4">
      <c r="B925" s="296">
        <v>41460</v>
      </c>
      <c r="C925" s="297">
        <v>2.73</v>
      </c>
      <c r="D925" s="73">
        <f t="shared" si="14"/>
        <v>2.7300000000000001E-2</v>
      </c>
    </row>
    <row r="926" spans="2:4">
      <c r="B926" s="296">
        <v>41463</v>
      </c>
      <c r="C926" s="297">
        <v>2.65</v>
      </c>
      <c r="D926" s="73">
        <f t="shared" si="14"/>
        <v>2.6499999999999999E-2</v>
      </c>
    </row>
    <row r="927" spans="2:4">
      <c r="B927" s="296">
        <v>41464</v>
      </c>
      <c r="C927" s="297">
        <v>2.65</v>
      </c>
      <c r="D927" s="73">
        <f t="shared" si="14"/>
        <v>2.6499999999999999E-2</v>
      </c>
    </row>
    <row r="928" spans="2:4">
      <c r="B928" s="296">
        <v>41465</v>
      </c>
      <c r="C928" s="297">
        <v>2.7</v>
      </c>
      <c r="D928" s="73">
        <f t="shared" si="14"/>
        <v>2.7000000000000003E-2</v>
      </c>
    </row>
    <row r="929" spans="2:4">
      <c r="B929" s="296">
        <v>41466</v>
      </c>
      <c r="C929" s="297">
        <v>2.6</v>
      </c>
      <c r="D929" s="73">
        <f t="shared" si="14"/>
        <v>2.6000000000000002E-2</v>
      </c>
    </row>
    <row r="930" spans="2:4">
      <c r="B930" s="296">
        <v>41467</v>
      </c>
      <c r="C930" s="297">
        <v>2.61</v>
      </c>
      <c r="D930" s="73">
        <f t="shared" si="14"/>
        <v>2.6099999999999998E-2</v>
      </c>
    </row>
    <row r="931" spans="2:4">
      <c r="B931" s="296">
        <v>41470</v>
      </c>
      <c r="C931" s="297">
        <v>2.57</v>
      </c>
      <c r="D931" s="73">
        <f t="shared" si="14"/>
        <v>2.5699999999999997E-2</v>
      </c>
    </row>
    <row r="932" spans="2:4">
      <c r="B932" s="296">
        <v>41471</v>
      </c>
      <c r="C932" s="297">
        <v>2.5499999999999998</v>
      </c>
      <c r="D932" s="73">
        <f t="shared" si="14"/>
        <v>2.5499999999999998E-2</v>
      </c>
    </row>
    <row r="933" spans="2:4">
      <c r="B933" s="296">
        <v>41472</v>
      </c>
      <c r="C933" s="297">
        <v>2.52</v>
      </c>
      <c r="D933" s="73">
        <f t="shared" si="14"/>
        <v>2.52E-2</v>
      </c>
    </row>
    <row r="934" spans="2:4">
      <c r="B934" s="296">
        <v>41473</v>
      </c>
      <c r="C934" s="297">
        <v>2.56</v>
      </c>
      <c r="D934" s="73">
        <f t="shared" si="14"/>
        <v>2.5600000000000001E-2</v>
      </c>
    </row>
    <row r="935" spans="2:4">
      <c r="B935" s="296">
        <v>41474</v>
      </c>
      <c r="C935" s="297">
        <v>2.5</v>
      </c>
      <c r="D935" s="73">
        <f t="shared" si="14"/>
        <v>2.5000000000000001E-2</v>
      </c>
    </row>
    <row r="936" spans="2:4">
      <c r="B936" s="296">
        <v>41477</v>
      </c>
      <c r="C936" s="297">
        <v>2.5</v>
      </c>
      <c r="D936" s="73">
        <f t="shared" si="14"/>
        <v>2.5000000000000001E-2</v>
      </c>
    </row>
    <row r="937" spans="2:4">
      <c r="B937" s="296">
        <v>41478</v>
      </c>
      <c r="C937" s="297">
        <v>2.5299999999999998</v>
      </c>
      <c r="D937" s="73">
        <f t="shared" si="14"/>
        <v>2.53E-2</v>
      </c>
    </row>
    <row r="938" spans="2:4">
      <c r="B938" s="296">
        <v>41479</v>
      </c>
      <c r="C938" s="297">
        <v>2.61</v>
      </c>
      <c r="D938" s="73">
        <f t="shared" si="14"/>
        <v>2.6099999999999998E-2</v>
      </c>
    </row>
    <row r="939" spans="2:4">
      <c r="B939" s="296">
        <v>41480</v>
      </c>
      <c r="C939" s="297">
        <v>2.61</v>
      </c>
      <c r="D939" s="73">
        <f t="shared" si="14"/>
        <v>2.6099999999999998E-2</v>
      </c>
    </row>
    <row r="940" spans="2:4">
      <c r="B940" s="296">
        <v>41481</v>
      </c>
      <c r="C940" s="297">
        <v>2.58</v>
      </c>
      <c r="D940" s="73">
        <f t="shared" si="14"/>
        <v>2.58E-2</v>
      </c>
    </row>
    <row r="941" spans="2:4">
      <c r="B941" s="296">
        <v>41484</v>
      </c>
      <c r="C941" s="297">
        <v>2.61</v>
      </c>
      <c r="D941" s="73">
        <f t="shared" si="14"/>
        <v>2.6099999999999998E-2</v>
      </c>
    </row>
    <row r="942" spans="2:4">
      <c r="B942" s="296">
        <v>41485</v>
      </c>
      <c r="C942" s="297">
        <v>2.63</v>
      </c>
      <c r="D942" s="73">
        <f t="shared" si="14"/>
        <v>2.63E-2</v>
      </c>
    </row>
    <row r="943" spans="2:4">
      <c r="B943" s="296">
        <v>41486</v>
      </c>
      <c r="C943" s="297">
        <v>2.6</v>
      </c>
      <c r="D943" s="73">
        <f t="shared" si="14"/>
        <v>2.6000000000000002E-2</v>
      </c>
    </row>
    <row r="944" spans="2:4">
      <c r="B944" s="296">
        <v>41487</v>
      </c>
      <c r="C944" s="297">
        <v>2.74</v>
      </c>
      <c r="D944" s="73">
        <f t="shared" si="14"/>
        <v>2.7400000000000001E-2</v>
      </c>
    </row>
    <row r="945" spans="2:4">
      <c r="B945" s="296">
        <v>41488</v>
      </c>
      <c r="C945" s="297">
        <v>2.63</v>
      </c>
      <c r="D945" s="73">
        <f t="shared" si="14"/>
        <v>2.63E-2</v>
      </c>
    </row>
    <row r="946" spans="2:4">
      <c r="B946" s="296">
        <v>41491</v>
      </c>
      <c r="C946" s="297">
        <v>2.67</v>
      </c>
      <c r="D946" s="73">
        <f t="shared" si="14"/>
        <v>2.6699999999999998E-2</v>
      </c>
    </row>
    <row r="947" spans="2:4">
      <c r="B947" s="296">
        <v>41492</v>
      </c>
      <c r="C947" s="297">
        <v>2.67</v>
      </c>
      <c r="D947" s="73">
        <f t="shared" si="14"/>
        <v>2.6699999999999998E-2</v>
      </c>
    </row>
    <row r="948" spans="2:4">
      <c r="B948" s="296">
        <v>41493</v>
      </c>
      <c r="C948" s="297">
        <v>2.61</v>
      </c>
      <c r="D948" s="73">
        <f t="shared" si="14"/>
        <v>2.6099999999999998E-2</v>
      </c>
    </row>
    <row r="949" spans="2:4">
      <c r="B949" s="296">
        <v>41494</v>
      </c>
      <c r="C949" s="297">
        <v>2.58</v>
      </c>
      <c r="D949" s="73">
        <f t="shared" si="14"/>
        <v>2.58E-2</v>
      </c>
    </row>
    <row r="950" spans="2:4">
      <c r="B950" s="296">
        <v>41495</v>
      </c>
      <c r="C950" s="297">
        <v>2.57</v>
      </c>
      <c r="D950" s="73">
        <f t="shared" si="14"/>
        <v>2.5699999999999997E-2</v>
      </c>
    </row>
    <row r="951" spans="2:4">
      <c r="B951" s="296">
        <v>41498</v>
      </c>
      <c r="C951" s="297">
        <v>2.61</v>
      </c>
      <c r="D951" s="73">
        <f t="shared" si="14"/>
        <v>2.6099999999999998E-2</v>
      </c>
    </row>
    <row r="952" spans="2:4">
      <c r="B952" s="296">
        <v>41499</v>
      </c>
      <c r="C952" s="297">
        <v>2.71</v>
      </c>
      <c r="D952" s="73">
        <f t="shared" si="14"/>
        <v>2.7099999999999999E-2</v>
      </c>
    </row>
    <row r="953" spans="2:4">
      <c r="B953" s="296">
        <v>41500</v>
      </c>
      <c r="C953" s="297">
        <v>2.71</v>
      </c>
      <c r="D953" s="73">
        <f t="shared" si="14"/>
        <v>2.7099999999999999E-2</v>
      </c>
    </row>
    <row r="954" spans="2:4">
      <c r="B954" s="296">
        <v>41501</v>
      </c>
      <c r="C954" s="297">
        <v>2.77</v>
      </c>
      <c r="D954" s="73">
        <f t="shared" si="14"/>
        <v>2.7699999999999999E-2</v>
      </c>
    </row>
    <row r="955" spans="2:4">
      <c r="B955" s="296">
        <v>41502</v>
      </c>
      <c r="C955" s="297">
        <v>2.84</v>
      </c>
      <c r="D955" s="73">
        <f t="shared" si="14"/>
        <v>2.8399999999999998E-2</v>
      </c>
    </row>
    <row r="956" spans="2:4">
      <c r="B956" s="296">
        <v>41505</v>
      </c>
      <c r="C956" s="297">
        <v>2.88</v>
      </c>
      <c r="D956" s="73">
        <f t="shared" si="14"/>
        <v>2.8799999999999999E-2</v>
      </c>
    </row>
    <row r="957" spans="2:4">
      <c r="B957" s="296">
        <v>41506</v>
      </c>
      <c r="C957" s="297">
        <v>2.82</v>
      </c>
      <c r="D957" s="73">
        <f t="shared" si="14"/>
        <v>2.8199999999999999E-2</v>
      </c>
    </row>
    <row r="958" spans="2:4">
      <c r="B958" s="296">
        <v>41507</v>
      </c>
      <c r="C958" s="297">
        <v>2.87</v>
      </c>
      <c r="D958" s="73">
        <f t="shared" si="14"/>
        <v>2.87E-2</v>
      </c>
    </row>
    <row r="959" spans="2:4">
      <c r="B959" s="296">
        <v>41508</v>
      </c>
      <c r="C959" s="297">
        <v>2.9</v>
      </c>
      <c r="D959" s="73">
        <f t="shared" si="14"/>
        <v>2.8999999999999998E-2</v>
      </c>
    </row>
    <row r="960" spans="2:4">
      <c r="B960" s="296">
        <v>41509</v>
      </c>
      <c r="C960" s="297">
        <v>2.82</v>
      </c>
      <c r="D960" s="73">
        <f t="shared" si="14"/>
        <v>2.8199999999999999E-2</v>
      </c>
    </row>
    <row r="961" spans="2:4">
      <c r="B961" s="296">
        <v>41512</v>
      </c>
      <c r="C961" s="297">
        <v>2.79</v>
      </c>
      <c r="D961" s="73">
        <f t="shared" si="14"/>
        <v>2.7900000000000001E-2</v>
      </c>
    </row>
    <row r="962" spans="2:4">
      <c r="B962" s="296">
        <v>41513</v>
      </c>
      <c r="C962" s="297">
        <v>2.72</v>
      </c>
      <c r="D962" s="73">
        <f t="shared" si="14"/>
        <v>2.7200000000000002E-2</v>
      </c>
    </row>
    <row r="963" spans="2:4">
      <c r="B963" s="296">
        <v>41514</v>
      </c>
      <c r="C963" s="297">
        <v>2.78</v>
      </c>
      <c r="D963" s="73">
        <f t="shared" si="14"/>
        <v>2.7799999999999998E-2</v>
      </c>
    </row>
    <row r="964" spans="2:4">
      <c r="B964" s="296">
        <v>41515</v>
      </c>
      <c r="C964" s="297">
        <v>2.75</v>
      </c>
      <c r="D964" s="73">
        <f t="shared" si="14"/>
        <v>2.75E-2</v>
      </c>
    </row>
    <row r="965" spans="2:4">
      <c r="B965" s="296">
        <v>41516</v>
      </c>
      <c r="C965" s="297">
        <v>2.78</v>
      </c>
      <c r="D965" s="73">
        <f t="shared" si="14"/>
        <v>2.7799999999999998E-2</v>
      </c>
    </row>
    <row r="966" spans="2:4">
      <c r="B966" s="296">
        <v>41519</v>
      </c>
      <c r="C966" s="297" t="s">
        <v>325</v>
      </c>
      <c r="D966" s="73">
        <f t="shared" si="14"/>
        <v>2.7799999999999998E-2</v>
      </c>
    </row>
    <row r="967" spans="2:4">
      <c r="B967" s="296">
        <v>41520</v>
      </c>
      <c r="C967" s="297">
        <v>2.86</v>
      </c>
      <c r="D967" s="73">
        <f t="shared" si="14"/>
        <v>2.86E-2</v>
      </c>
    </row>
    <row r="968" spans="2:4">
      <c r="B968" s="296">
        <v>41521</v>
      </c>
      <c r="C968" s="297">
        <v>2.9</v>
      </c>
      <c r="D968" s="73">
        <f t="shared" si="14"/>
        <v>2.8999999999999998E-2</v>
      </c>
    </row>
    <row r="969" spans="2:4">
      <c r="B969" s="296">
        <v>41522</v>
      </c>
      <c r="C969" s="297">
        <v>2.98</v>
      </c>
      <c r="D969" s="73">
        <f t="shared" si="14"/>
        <v>2.98E-2</v>
      </c>
    </row>
    <row r="970" spans="2:4">
      <c r="B970" s="296">
        <v>41523</v>
      </c>
      <c r="C970" s="297">
        <v>2.94</v>
      </c>
      <c r="D970" s="73">
        <f t="shared" si="14"/>
        <v>2.9399999999999999E-2</v>
      </c>
    </row>
    <row r="971" spans="2:4">
      <c r="B971" s="296">
        <v>41526</v>
      </c>
      <c r="C971" s="297">
        <v>2.9</v>
      </c>
      <c r="D971" s="73">
        <f t="shared" si="14"/>
        <v>2.8999999999999998E-2</v>
      </c>
    </row>
    <row r="972" spans="2:4">
      <c r="B972" s="296">
        <v>41527</v>
      </c>
      <c r="C972" s="297">
        <v>2.96</v>
      </c>
      <c r="D972" s="73">
        <f t="shared" si="14"/>
        <v>2.9600000000000001E-2</v>
      </c>
    </row>
    <row r="973" spans="2:4">
      <c r="B973" s="296">
        <v>41528</v>
      </c>
      <c r="C973" s="297">
        <v>2.93</v>
      </c>
      <c r="D973" s="73">
        <f t="shared" si="14"/>
        <v>2.9300000000000003E-2</v>
      </c>
    </row>
    <row r="974" spans="2:4">
      <c r="B974" s="296">
        <v>41529</v>
      </c>
      <c r="C974" s="297">
        <v>2.92</v>
      </c>
      <c r="D974" s="73">
        <f t="shared" si="14"/>
        <v>2.92E-2</v>
      </c>
    </row>
    <row r="975" spans="2:4">
      <c r="B975" s="296">
        <v>41530</v>
      </c>
      <c r="C975" s="297">
        <v>2.9</v>
      </c>
      <c r="D975" s="73">
        <f t="shared" si="14"/>
        <v>2.8999999999999998E-2</v>
      </c>
    </row>
    <row r="976" spans="2:4">
      <c r="B976" s="296">
        <v>41533</v>
      </c>
      <c r="C976" s="297">
        <v>2.88</v>
      </c>
      <c r="D976" s="73">
        <f t="shared" si="14"/>
        <v>2.8799999999999999E-2</v>
      </c>
    </row>
    <row r="977" spans="2:4">
      <c r="B977" s="296">
        <v>41534</v>
      </c>
      <c r="C977" s="297">
        <v>2.86</v>
      </c>
      <c r="D977" s="73">
        <f t="shared" si="14"/>
        <v>2.86E-2</v>
      </c>
    </row>
    <row r="978" spans="2:4">
      <c r="B978" s="296">
        <v>41535</v>
      </c>
      <c r="C978" s="297">
        <v>2.69</v>
      </c>
      <c r="D978" s="73">
        <f t="shared" si="14"/>
        <v>2.69E-2</v>
      </c>
    </row>
    <row r="979" spans="2:4">
      <c r="B979" s="296">
        <v>41536</v>
      </c>
      <c r="C979" s="297">
        <v>2.76</v>
      </c>
      <c r="D979" s="73">
        <f t="shared" si="14"/>
        <v>2.76E-2</v>
      </c>
    </row>
    <row r="980" spans="2:4">
      <c r="B980" s="296">
        <v>41537</v>
      </c>
      <c r="C980" s="297">
        <v>2.75</v>
      </c>
      <c r="D980" s="73">
        <f t="shared" si="14"/>
        <v>2.75E-2</v>
      </c>
    </row>
    <row r="981" spans="2:4">
      <c r="B981" s="296">
        <v>41540</v>
      </c>
      <c r="C981" s="297">
        <v>2.72</v>
      </c>
      <c r="D981" s="73">
        <f t="shared" si="14"/>
        <v>2.7200000000000002E-2</v>
      </c>
    </row>
    <row r="982" spans="2:4">
      <c r="B982" s="296">
        <v>41541</v>
      </c>
      <c r="C982" s="297">
        <v>2.67</v>
      </c>
      <c r="D982" s="73">
        <f t="shared" si="14"/>
        <v>2.6699999999999998E-2</v>
      </c>
    </row>
    <row r="983" spans="2:4">
      <c r="B983" s="296">
        <v>41542</v>
      </c>
      <c r="C983" s="297">
        <v>2.63</v>
      </c>
      <c r="D983" s="73">
        <f t="shared" si="14"/>
        <v>2.63E-2</v>
      </c>
    </row>
    <row r="984" spans="2:4">
      <c r="B984" s="296">
        <v>41543</v>
      </c>
      <c r="C984" s="297">
        <v>2.66</v>
      </c>
      <c r="D984" s="73">
        <f t="shared" si="14"/>
        <v>2.6600000000000002E-2</v>
      </c>
    </row>
    <row r="985" spans="2:4">
      <c r="B985" s="296">
        <v>41544</v>
      </c>
      <c r="C985" s="297">
        <v>2.64</v>
      </c>
      <c r="D985" s="73">
        <f t="shared" si="14"/>
        <v>2.64E-2</v>
      </c>
    </row>
    <row r="986" spans="2:4">
      <c r="B986" s="296">
        <v>41547</v>
      </c>
      <c r="C986" s="297">
        <v>2.64</v>
      </c>
      <c r="D986" s="73">
        <f t="shared" si="14"/>
        <v>2.64E-2</v>
      </c>
    </row>
    <row r="987" spans="2:4">
      <c r="B987" s="296">
        <v>41548</v>
      </c>
      <c r="C987" s="297">
        <v>2.66</v>
      </c>
      <c r="D987" s="73">
        <f t="shared" ref="D987:D1050" si="15">IF( LEN( C987 ) = 0, #N/A, IF( C987 = "ND", D986, C987 / 100 ) )</f>
        <v>2.6600000000000002E-2</v>
      </c>
    </row>
    <row r="988" spans="2:4">
      <c r="B988" s="296">
        <v>41549</v>
      </c>
      <c r="C988" s="297">
        <v>2.63</v>
      </c>
      <c r="D988" s="73">
        <f t="shared" si="15"/>
        <v>2.63E-2</v>
      </c>
    </row>
    <row r="989" spans="2:4">
      <c r="B989" s="296">
        <v>41550</v>
      </c>
      <c r="C989" s="297">
        <v>2.62</v>
      </c>
      <c r="D989" s="73">
        <f t="shared" si="15"/>
        <v>2.6200000000000001E-2</v>
      </c>
    </row>
    <row r="990" spans="2:4">
      <c r="B990" s="296">
        <v>41551</v>
      </c>
      <c r="C990" s="297">
        <v>2.66</v>
      </c>
      <c r="D990" s="73">
        <f t="shared" si="15"/>
        <v>2.6600000000000002E-2</v>
      </c>
    </row>
    <row r="991" spans="2:4">
      <c r="B991" s="296">
        <v>41554</v>
      </c>
      <c r="C991" s="297">
        <v>2.65</v>
      </c>
      <c r="D991" s="73">
        <f t="shared" si="15"/>
        <v>2.6499999999999999E-2</v>
      </c>
    </row>
    <row r="992" spans="2:4">
      <c r="B992" s="296">
        <v>41555</v>
      </c>
      <c r="C992" s="297">
        <v>2.66</v>
      </c>
      <c r="D992" s="73">
        <f t="shared" si="15"/>
        <v>2.6600000000000002E-2</v>
      </c>
    </row>
    <row r="993" spans="2:4">
      <c r="B993" s="296">
        <v>41556</v>
      </c>
      <c r="C993" s="297">
        <v>2.68</v>
      </c>
      <c r="D993" s="73">
        <f t="shared" si="15"/>
        <v>2.6800000000000001E-2</v>
      </c>
    </row>
    <row r="994" spans="2:4">
      <c r="B994" s="296">
        <v>41557</v>
      </c>
      <c r="C994" s="297">
        <v>2.71</v>
      </c>
      <c r="D994" s="73">
        <f t="shared" si="15"/>
        <v>2.7099999999999999E-2</v>
      </c>
    </row>
    <row r="995" spans="2:4">
      <c r="B995" s="296">
        <v>41558</v>
      </c>
      <c r="C995" s="297">
        <v>2.7</v>
      </c>
      <c r="D995" s="73">
        <f t="shared" si="15"/>
        <v>2.7000000000000003E-2</v>
      </c>
    </row>
    <row r="996" spans="2:4">
      <c r="B996" s="296">
        <v>41561</v>
      </c>
      <c r="C996" s="297" t="s">
        <v>325</v>
      </c>
      <c r="D996" s="73">
        <f t="shared" si="15"/>
        <v>2.7000000000000003E-2</v>
      </c>
    </row>
    <row r="997" spans="2:4">
      <c r="B997" s="296">
        <v>41562</v>
      </c>
      <c r="C997" s="297">
        <v>2.75</v>
      </c>
      <c r="D997" s="73">
        <f t="shared" si="15"/>
        <v>2.75E-2</v>
      </c>
    </row>
    <row r="998" spans="2:4">
      <c r="B998" s="296">
        <v>41563</v>
      </c>
      <c r="C998" s="297">
        <v>2.69</v>
      </c>
      <c r="D998" s="73">
        <f t="shared" si="15"/>
        <v>2.69E-2</v>
      </c>
    </row>
    <row r="999" spans="2:4">
      <c r="B999" s="296">
        <v>41564</v>
      </c>
      <c r="C999" s="297">
        <v>2.61</v>
      </c>
      <c r="D999" s="73">
        <f t="shared" si="15"/>
        <v>2.6099999999999998E-2</v>
      </c>
    </row>
    <row r="1000" spans="2:4">
      <c r="B1000" s="296">
        <v>41565</v>
      </c>
      <c r="C1000" s="297">
        <v>2.6</v>
      </c>
      <c r="D1000" s="73">
        <f t="shared" si="15"/>
        <v>2.6000000000000002E-2</v>
      </c>
    </row>
    <row r="1001" spans="2:4">
      <c r="B1001" s="296">
        <v>41568</v>
      </c>
      <c r="C1001" s="297">
        <v>2.63</v>
      </c>
      <c r="D1001" s="73">
        <f t="shared" si="15"/>
        <v>2.63E-2</v>
      </c>
    </row>
    <row r="1002" spans="2:4">
      <c r="B1002" s="296">
        <v>41569</v>
      </c>
      <c r="C1002" s="297">
        <v>2.54</v>
      </c>
      <c r="D1002" s="73">
        <f t="shared" si="15"/>
        <v>2.5399999999999999E-2</v>
      </c>
    </row>
    <row r="1003" spans="2:4">
      <c r="B1003" s="296">
        <v>41570</v>
      </c>
      <c r="C1003" s="297">
        <v>2.5099999999999998</v>
      </c>
      <c r="D1003" s="73">
        <f t="shared" si="15"/>
        <v>2.5099999999999997E-2</v>
      </c>
    </row>
    <row r="1004" spans="2:4">
      <c r="B1004" s="296">
        <v>41571</v>
      </c>
      <c r="C1004" s="297">
        <v>2.5299999999999998</v>
      </c>
      <c r="D1004" s="73">
        <f t="shared" si="15"/>
        <v>2.53E-2</v>
      </c>
    </row>
    <row r="1005" spans="2:4">
      <c r="B1005" s="296">
        <v>41572</v>
      </c>
      <c r="C1005" s="297">
        <v>2.5299999999999998</v>
      </c>
      <c r="D1005" s="73">
        <f t="shared" si="15"/>
        <v>2.53E-2</v>
      </c>
    </row>
    <row r="1006" spans="2:4">
      <c r="B1006" s="296">
        <v>41575</v>
      </c>
      <c r="C1006" s="297">
        <v>2.54</v>
      </c>
      <c r="D1006" s="73">
        <f t="shared" si="15"/>
        <v>2.5399999999999999E-2</v>
      </c>
    </row>
    <row r="1007" spans="2:4">
      <c r="B1007" s="296">
        <v>41576</v>
      </c>
      <c r="C1007" s="297">
        <v>2.5299999999999998</v>
      </c>
      <c r="D1007" s="73">
        <f t="shared" si="15"/>
        <v>2.53E-2</v>
      </c>
    </row>
    <row r="1008" spans="2:4">
      <c r="B1008" s="296">
        <v>41577</v>
      </c>
      <c r="C1008" s="297">
        <v>2.5499999999999998</v>
      </c>
      <c r="D1008" s="73">
        <f t="shared" si="15"/>
        <v>2.5499999999999998E-2</v>
      </c>
    </row>
    <row r="1009" spans="2:4">
      <c r="B1009" s="296">
        <v>41578</v>
      </c>
      <c r="C1009" s="297">
        <v>2.57</v>
      </c>
      <c r="D1009" s="73">
        <f t="shared" si="15"/>
        <v>2.5699999999999997E-2</v>
      </c>
    </row>
    <row r="1010" spans="2:4">
      <c r="B1010" s="296">
        <v>41579</v>
      </c>
      <c r="C1010" s="297">
        <v>2.65</v>
      </c>
      <c r="D1010" s="73">
        <f t="shared" si="15"/>
        <v>2.6499999999999999E-2</v>
      </c>
    </row>
    <row r="1011" spans="2:4">
      <c r="B1011" s="296">
        <v>41582</v>
      </c>
      <c r="C1011" s="297">
        <v>2.63</v>
      </c>
      <c r="D1011" s="73">
        <f t="shared" si="15"/>
        <v>2.63E-2</v>
      </c>
    </row>
    <row r="1012" spans="2:4">
      <c r="B1012" s="296">
        <v>41583</v>
      </c>
      <c r="C1012" s="297">
        <v>2.69</v>
      </c>
      <c r="D1012" s="73">
        <f t="shared" si="15"/>
        <v>2.69E-2</v>
      </c>
    </row>
    <row r="1013" spans="2:4">
      <c r="B1013" s="296">
        <v>41584</v>
      </c>
      <c r="C1013" s="297">
        <v>2.67</v>
      </c>
      <c r="D1013" s="73">
        <f t="shared" si="15"/>
        <v>2.6699999999999998E-2</v>
      </c>
    </row>
    <row r="1014" spans="2:4">
      <c r="B1014" s="296">
        <v>41585</v>
      </c>
      <c r="C1014" s="297">
        <v>2.63</v>
      </c>
      <c r="D1014" s="73">
        <f t="shared" si="15"/>
        <v>2.63E-2</v>
      </c>
    </row>
    <row r="1015" spans="2:4">
      <c r="B1015" s="296">
        <v>41586</v>
      </c>
      <c r="C1015" s="297">
        <v>2.77</v>
      </c>
      <c r="D1015" s="73">
        <f t="shared" si="15"/>
        <v>2.7699999999999999E-2</v>
      </c>
    </row>
    <row r="1016" spans="2:4">
      <c r="B1016" s="296">
        <v>41589</v>
      </c>
      <c r="C1016" s="297" t="s">
        <v>325</v>
      </c>
      <c r="D1016" s="73">
        <f t="shared" si="15"/>
        <v>2.7699999999999999E-2</v>
      </c>
    </row>
    <row r="1017" spans="2:4">
      <c r="B1017" s="296">
        <v>41590</v>
      </c>
      <c r="C1017" s="297">
        <v>2.8</v>
      </c>
      <c r="D1017" s="73">
        <f t="shared" si="15"/>
        <v>2.7999999999999997E-2</v>
      </c>
    </row>
    <row r="1018" spans="2:4">
      <c r="B1018" s="296">
        <v>41591</v>
      </c>
      <c r="C1018" s="297">
        <v>2.75</v>
      </c>
      <c r="D1018" s="73">
        <f t="shared" si="15"/>
        <v>2.75E-2</v>
      </c>
    </row>
    <row r="1019" spans="2:4">
      <c r="B1019" s="296">
        <v>41592</v>
      </c>
      <c r="C1019" s="297">
        <v>2.69</v>
      </c>
      <c r="D1019" s="73">
        <f t="shared" si="15"/>
        <v>2.69E-2</v>
      </c>
    </row>
    <row r="1020" spans="2:4">
      <c r="B1020" s="296">
        <v>41593</v>
      </c>
      <c r="C1020" s="297">
        <v>2.71</v>
      </c>
      <c r="D1020" s="73">
        <f t="shared" si="15"/>
        <v>2.7099999999999999E-2</v>
      </c>
    </row>
    <row r="1021" spans="2:4">
      <c r="B1021" s="296">
        <v>41596</v>
      </c>
      <c r="C1021" s="297">
        <v>2.67</v>
      </c>
      <c r="D1021" s="73">
        <f t="shared" si="15"/>
        <v>2.6699999999999998E-2</v>
      </c>
    </row>
    <row r="1022" spans="2:4">
      <c r="B1022" s="296">
        <v>41597</v>
      </c>
      <c r="C1022" s="297">
        <v>2.71</v>
      </c>
      <c r="D1022" s="73">
        <f t="shared" si="15"/>
        <v>2.7099999999999999E-2</v>
      </c>
    </row>
    <row r="1023" spans="2:4">
      <c r="B1023" s="296">
        <v>41598</v>
      </c>
      <c r="C1023" s="297">
        <v>2.8</v>
      </c>
      <c r="D1023" s="73">
        <f t="shared" si="15"/>
        <v>2.7999999999999997E-2</v>
      </c>
    </row>
    <row r="1024" spans="2:4">
      <c r="B1024" s="296">
        <v>41599</v>
      </c>
      <c r="C1024" s="297">
        <v>2.79</v>
      </c>
      <c r="D1024" s="73">
        <f t="shared" si="15"/>
        <v>2.7900000000000001E-2</v>
      </c>
    </row>
    <row r="1025" spans="2:4">
      <c r="B1025" s="296">
        <v>41600</v>
      </c>
      <c r="C1025" s="297">
        <v>2.75</v>
      </c>
      <c r="D1025" s="73">
        <f t="shared" si="15"/>
        <v>2.75E-2</v>
      </c>
    </row>
    <row r="1026" spans="2:4">
      <c r="B1026" s="296">
        <v>41603</v>
      </c>
      <c r="C1026" s="297">
        <v>2.74</v>
      </c>
      <c r="D1026" s="73">
        <f t="shared" si="15"/>
        <v>2.7400000000000001E-2</v>
      </c>
    </row>
    <row r="1027" spans="2:4">
      <c r="B1027" s="296">
        <v>41604</v>
      </c>
      <c r="C1027" s="297">
        <v>2.71</v>
      </c>
      <c r="D1027" s="73">
        <f t="shared" si="15"/>
        <v>2.7099999999999999E-2</v>
      </c>
    </row>
    <row r="1028" spans="2:4">
      <c r="B1028" s="296">
        <v>41605</v>
      </c>
      <c r="C1028" s="297">
        <v>2.74</v>
      </c>
      <c r="D1028" s="73">
        <f t="shared" si="15"/>
        <v>2.7400000000000001E-2</v>
      </c>
    </row>
    <row r="1029" spans="2:4">
      <c r="B1029" s="296">
        <v>41606</v>
      </c>
      <c r="C1029" s="297" t="s">
        <v>325</v>
      </c>
      <c r="D1029" s="73">
        <f t="shared" si="15"/>
        <v>2.7400000000000001E-2</v>
      </c>
    </row>
    <row r="1030" spans="2:4">
      <c r="B1030" s="296">
        <v>41607</v>
      </c>
      <c r="C1030" s="297">
        <v>2.75</v>
      </c>
      <c r="D1030" s="73">
        <f t="shared" si="15"/>
        <v>2.75E-2</v>
      </c>
    </row>
    <row r="1031" spans="2:4">
      <c r="B1031" s="296">
        <v>41610</v>
      </c>
      <c r="C1031" s="297">
        <v>2.81</v>
      </c>
      <c r="D1031" s="73">
        <f t="shared" si="15"/>
        <v>2.81E-2</v>
      </c>
    </row>
    <row r="1032" spans="2:4">
      <c r="B1032" s="296">
        <v>41611</v>
      </c>
      <c r="C1032" s="297">
        <v>2.79</v>
      </c>
      <c r="D1032" s="73">
        <f t="shared" si="15"/>
        <v>2.7900000000000001E-2</v>
      </c>
    </row>
    <row r="1033" spans="2:4">
      <c r="B1033" s="296">
        <v>41612</v>
      </c>
      <c r="C1033" s="297">
        <v>2.84</v>
      </c>
      <c r="D1033" s="73">
        <f t="shared" si="15"/>
        <v>2.8399999999999998E-2</v>
      </c>
    </row>
    <row r="1034" spans="2:4">
      <c r="B1034" s="296">
        <v>41613</v>
      </c>
      <c r="C1034" s="297">
        <v>2.88</v>
      </c>
      <c r="D1034" s="73">
        <f t="shared" si="15"/>
        <v>2.8799999999999999E-2</v>
      </c>
    </row>
    <row r="1035" spans="2:4">
      <c r="B1035" s="296">
        <v>41614</v>
      </c>
      <c r="C1035" s="297">
        <v>2.88</v>
      </c>
      <c r="D1035" s="73">
        <f t="shared" si="15"/>
        <v>2.8799999999999999E-2</v>
      </c>
    </row>
    <row r="1036" spans="2:4">
      <c r="B1036" s="296">
        <v>41617</v>
      </c>
      <c r="C1036" s="297">
        <v>2.86</v>
      </c>
      <c r="D1036" s="73">
        <f t="shared" si="15"/>
        <v>2.86E-2</v>
      </c>
    </row>
    <row r="1037" spans="2:4">
      <c r="B1037" s="296">
        <v>41618</v>
      </c>
      <c r="C1037" s="297">
        <v>2.81</v>
      </c>
      <c r="D1037" s="73">
        <f t="shared" si="15"/>
        <v>2.81E-2</v>
      </c>
    </row>
    <row r="1038" spans="2:4">
      <c r="B1038" s="296">
        <v>41619</v>
      </c>
      <c r="C1038" s="297">
        <v>2.86</v>
      </c>
      <c r="D1038" s="73">
        <f t="shared" si="15"/>
        <v>2.86E-2</v>
      </c>
    </row>
    <row r="1039" spans="2:4">
      <c r="B1039" s="296">
        <v>41620</v>
      </c>
      <c r="C1039" s="297">
        <v>2.89</v>
      </c>
      <c r="D1039" s="73">
        <f t="shared" si="15"/>
        <v>2.8900000000000002E-2</v>
      </c>
    </row>
    <row r="1040" spans="2:4">
      <c r="B1040" s="296">
        <v>41621</v>
      </c>
      <c r="C1040" s="297">
        <v>2.88</v>
      </c>
      <c r="D1040" s="73">
        <f t="shared" si="15"/>
        <v>2.8799999999999999E-2</v>
      </c>
    </row>
    <row r="1041" spans="2:4">
      <c r="B1041" s="296">
        <v>41624</v>
      </c>
      <c r="C1041" s="297">
        <v>2.89</v>
      </c>
      <c r="D1041" s="73">
        <f t="shared" si="15"/>
        <v>2.8900000000000002E-2</v>
      </c>
    </row>
    <row r="1042" spans="2:4">
      <c r="B1042" s="296">
        <v>41625</v>
      </c>
      <c r="C1042" s="297">
        <v>2.85</v>
      </c>
      <c r="D1042" s="73">
        <f t="shared" si="15"/>
        <v>2.8500000000000001E-2</v>
      </c>
    </row>
    <row r="1043" spans="2:4">
      <c r="B1043" s="296">
        <v>41626</v>
      </c>
      <c r="C1043" s="297">
        <v>2.89</v>
      </c>
      <c r="D1043" s="73">
        <f t="shared" si="15"/>
        <v>2.8900000000000002E-2</v>
      </c>
    </row>
    <row r="1044" spans="2:4">
      <c r="B1044" s="296">
        <v>41627</v>
      </c>
      <c r="C1044" s="297">
        <v>2.94</v>
      </c>
      <c r="D1044" s="73">
        <f t="shared" si="15"/>
        <v>2.9399999999999999E-2</v>
      </c>
    </row>
    <row r="1045" spans="2:4">
      <c r="B1045" s="296">
        <v>41628</v>
      </c>
      <c r="C1045" s="297">
        <v>2.89</v>
      </c>
      <c r="D1045" s="73">
        <f t="shared" si="15"/>
        <v>2.8900000000000002E-2</v>
      </c>
    </row>
    <row r="1046" spans="2:4">
      <c r="B1046" s="296">
        <v>41631</v>
      </c>
      <c r="C1046" s="297">
        <v>2.94</v>
      </c>
      <c r="D1046" s="73">
        <f t="shared" si="15"/>
        <v>2.9399999999999999E-2</v>
      </c>
    </row>
    <row r="1047" spans="2:4">
      <c r="B1047" s="296">
        <v>41632</v>
      </c>
      <c r="C1047" s="297">
        <v>2.99</v>
      </c>
      <c r="D1047" s="73">
        <f t="shared" si="15"/>
        <v>2.9900000000000003E-2</v>
      </c>
    </row>
    <row r="1048" spans="2:4">
      <c r="B1048" s="296">
        <v>41633</v>
      </c>
      <c r="C1048" s="297" t="s">
        <v>325</v>
      </c>
      <c r="D1048" s="73">
        <f t="shared" si="15"/>
        <v>2.9900000000000003E-2</v>
      </c>
    </row>
    <row r="1049" spans="2:4">
      <c r="B1049" s="296">
        <v>41634</v>
      </c>
      <c r="C1049" s="297">
        <v>3</v>
      </c>
      <c r="D1049" s="73">
        <f t="shared" si="15"/>
        <v>0.03</v>
      </c>
    </row>
    <row r="1050" spans="2:4">
      <c r="B1050" s="296">
        <v>41635</v>
      </c>
      <c r="C1050" s="297">
        <v>3.02</v>
      </c>
      <c r="D1050" s="73">
        <f t="shared" si="15"/>
        <v>3.0200000000000001E-2</v>
      </c>
    </row>
    <row r="1051" spans="2:4">
      <c r="B1051" s="121">
        <v>41638</v>
      </c>
      <c r="C1051" s="123">
        <v>2.99</v>
      </c>
      <c r="D1051" s="73">
        <f t="shared" ref="D1051:D1114" si="16">IF( LEN( C1051 ) = 0, #N/A, IF( C1051 = "ND", D1050, C1051 / 100 ) )</f>
        <v>2.9900000000000003E-2</v>
      </c>
    </row>
    <row r="1052" spans="2:4">
      <c r="B1052" s="121">
        <v>41639</v>
      </c>
      <c r="C1052" s="123">
        <v>3.04</v>
      </c>
      <c r="D1052" s="73">
        <f t="shared" si="16"/>
        <v>3.04E-2</v>
      </c>
    </row>
    <row r="1053" spans="2:4">
      <c r="B1053" s="121">
        <v>41640</v>
      </c>
      <c r="C1053" s="123" t="s">
        <v>325</v>
      </c>
      <c r="D1053" s="73">
        <f t="shared" si="16"/>
        <v>3.04E-2</v>
      </c>
    </row>
    <row r="1054" spans="2:4">
      <c r="B1054" s="121">
        <v>41641</v>
      </c>
      <c r="C1054" s="123">
        <v>3</v>
      </c>
      <c r="D1054" s="73">
        <f t="shared" si="16"/>
        <v>0.03</v>
      </c>
    </row>
    <row r="1055" spans="2:4">
      <c r="B1055" s="121">
        <v>41642</v>
      </c>
      <c r="C1055" s="123">
        <v>3.01</v>
      </c>
      <c r="D1055" s="73">
        <f t="shared" si="16"/>
        <v>3.0099999999999998E-2</v>
      </c>
    </row>
    <row r="1056" spans="2:4">
      <c r="B1056" s="121">
        <v>41645</v>
      </c>
      <c r="C1056" s="123">
        <v>2.98</v>
      </c>
      <c r="D1056" s="73">
        <f t="shared" si="16"/>
        <v>2.98E-2</v>
      </c>
    </row>
    <row r="1057" spans="2:4">
      <c r="B1057" s="121">
        <v>41646</v>
      </c>
      <c r="C1057" s="123">
        <v>2.96</v>
      </c>
      <c r="D1057" s="73">
        <f t="shared" si="16"/>
        <v>2.9600000000000001E-2</v>
      </c>
    </row>
    <row r="1058" spans="2:4">
      <c r="B1058" s="121">
        <v>41647</v>
      </c>
      <c r="C1058" s="123">
        <v>3.01</v>
      </c>
      <c r="D1058" s="73">
        <f t="shared" si="16"/>
        <v>3.0099999999999998E-2</v>
      </c>
    </row>
    <row r="1059" spans="2:4">
      <c r="B1059" s="121">
        <v>41648</v>
      </c>
      <c r="C1059" s="123">
        <v>2.97</v>
      </c>
      <c r="D1059" s="73">
        <f t="shared" si="16"/>
        <v>2.9700000000000001E-2</v>
      </c>
    </row>
    <row r="1060" spans="2:4">
      <c r="B1060" s="121">
        <v>41649</v>
      </c>
      <c r="C1060" s="123">
        <v>2.88</v>
      </c>
      <c r="D1060" s="73">
        <f t="shared" si="16"/>
        <v>2.8799999999999999E-2</v>
      </c>
    </row>
    <row r="1061" spans="2:4">
      <c r="B1061" s="121">
        <v>41652</v>
      </c>
      <c r="C1061" s="123">
        <v>2.84</v>
      </c>
      <c r="D1061" s="73">
        <f t="shared" si="16"/>
        <v>2.8399999999999998E-2</v>
      </c>
    </row>
    <row r="1062" spans="2:4">
      <c r="B1062" s="121">
        <v>41653</v>
      </c>
      <c r="C1062" s="123">
        <v>2.88</v>
      </c>
      <c r="D1062" s="73">
        <f t="shared" si="16"/>
        <v>2.8799999999999999E-2</v>
      </c>
    </row>
    <row r="1063" spans="2:4">
      <c r="B1063" s="121">
        <v>41654</v>
      </c>
      <c r="C1063" s="123">
        <v>2.9</v>
      </c>
      <c r="D1063" s="73">
        <f t="shared" si="16"/>
        <v>2.8999999999999998E-2</v>
      </c>
    </row>
    <row r="1064" spans="2:4">
      <c r="B1064" s="121">
        <v>41655</v>
      </c>
      <c r="C1064" s="123">
        <v>2.86</v>
      </c>
      <c r="D1064" s="73">
        <f t="shared" si="16"/>
        <v>2.86E-2</v>
      </c>
    </row>
    <row r="1065" spans="2:4">
      <c r="B1065" s="121">
        <v>41656</v>
      </c>
      <c r="C1065" s="123">
        <v>2.84</v>
      </c>
      <c r="D1065" s="73">
        <f t="shared" si="16"/>
        <v>2.8399999999999998E-2</v>
      </c>
    </row>
    <row r="1066" spans="2:4">
      <c r="B1066" s="121">
        <v>41659</v>
      </c>
      <c r="C1066" s="123" t="s">
        <v>325</v>
      </c>
      <c r="D1066" s="73">
        <f t="shared" si="16"/>
        <v>2.8399999999999998E-2</v>
      </c>
    </row>
    <row r="1067" spans="2:4">
      <c r="B1067" s="121">
        <v>41660</v>
      </c>
      <c r="C1067" s="123">
        <v>2.85</v>
      </c>
      <c r="D1067" s="73">
        <f t="shared" si="16"/>
        <v>2.8500000000000001E-2</v>
      </c>
    </row>
    <row r="1068" spans="2:4">
      <c r="B1068" s="121">
        <v>41661</v>
      </c>
      <c r="C1068" s="123">
        <v>2.87</v>
      </c>
      <c r="D1068" s="73">
        <f t="shared" si="16"/>
        <v>2.87E-2</v>
      </c>
    </row>
    <row r="1069" spans="2:4">
      <c r="B1069" s="121">
        <v>41662</v>
      </c>
      <c r="C1069" s="123">
        <v>2.79</v>
      </c>
      <c r="D1069" s="73">
        <f t="shared" si="16"/>
        <v>2.7900000000000001E-2</v>
      </c>
    </row>
    <row r="1070" spans="2:4">
      <c r="B1070" s="121">
        <v>41663</v>
      </c>
      <c r="C1070" s="123">
        <v>2.75</v>
      </c>
      <c r="D1070" s="73">
        <f t="shared" si="16"/>
        <v>2.75E-2</v>
      </c>
    </row>
    <row r="1071" spans="2:4">
      <c r="B1071" s="121">
        <v>41666</v>
      </c>
      <c r="C1071" s="123">
        <v>2.78</v>
      </c>
      <c r="D1071" s="73">
        <f t="shared" si="16"/>
        <v>2.7799999999999998E-2</v>
      </c>
    </row>
    <row r="1072" spans="2:4">
      <c r="B1072" s="121">
        <v>41667</v>
      </c>
      <c r="C1072" s="123">
        <v>2.77</v>
      </c>
      <c r="D1072" s="73">
        <f t="shared" si="16"/>
        <v>2.7699999999999999E-2</v>
      </c>
    </row>
    <row r="1073" spans="2:4">
      <c r="B1073" s="121">
        <v>41668</v>
      </c>
      <c r="C1073" s="123">
        <v>2.69</v>
      </c>
      <c r="D1073" s="73">
        <f t="shared" si="16"/>
        <v>2.69E-2</v>
      </c>
    </row>
    <row r="1074" spans="2:4">
      <c r="B1074" s="121">
        <v>41669</v>
      </c>
      <c r="C1074" s="123">
        <v>2.72</v>
      </c>
      <c r="D1074" s="73">
        <f t="shared" si="16"/>
        <v>2.7200000000000002E-2</v>
      </c>
    </row>
    <row r="1075" spans="2:4">
      <c r="B1075" s="121">
        <v>41670</v>
      </c>
      <c r="C1075" s="123">
        <v>2.67</v>
      </c>
      <c r="D1075" s="73">
        <f t="shared" si="16"/>
        <v>2.6699999999999998E-2</v>
      </c>
    </row>
    <row r="1076" spans="2:4">
      <c r="B1076" s="121">
        <v>41673</v>
      </c>
      <c r="C1076" s="123">
        <v>2.61</v>
      </c>
      <c r="D1076" s="73">
        <f t="shared" si="16"/>
        <v>2.6099999999999998E-2</v>
      </c>
    </row>
    <row r="1077" spans="2:4">
      <c r="B1077" s="121">
        <v>41674</v>
      </c>
      <c r="C1077" s="123">
        <v>2.64</v>
      </c>
      <c r="D1077" s="73">
        <f t="shared" si="16"/>
        <v>2.64E-2</v>
      </c>
    </row>
    <row r="1078" spans="2:4">
      <c r="B1078" s="121">
        <v>41675</v>
      </c>
      <c r="C1078" s="123">
        <v>2.7</v>
      </c>
      <c r="D1078" s="73">
        <f t="shared" si="16"/>
        <v>2.7000000000000003E-2</v>
      </c>
    </row>
    <row r="1079" spans="2:4">
      <c r="B1079" s="121">
        <v>41676</v>
      </c>
      <c r="C1079" s="123">
        <v>2.73</v>
      </c>
      <c r="D1079" s="73">
        <f t="shared" si="16"/>
        <v>2.7300000000000001E-2</v>
      </c>
    </row>
    <row r="1080" spans="2:4">
      <c r="B1080" s="121">
        <v>41677</v>
      </c>
      <c r="C1080" s="123">
        <v>2.71</v>
      </c>
      <c r="D1080" s="73">
        <f t="shared" si="16"/>
        <v>2.7099999999999999E-2</v>
      </c>
    </row>
    <row r="1081" spans="2:4">
      <c r="B1081" s="121">
        <v>41680</v>
      </c>
      <c r="C1081" s="123">
        <v>2.7</v>
      </c>
      <c r="D1081" s="73">
        <f t="shared" si="16"/>
        <v>2.7000000000000003E-2</v>
      </c>
    </row>
    <row r="1082" spans="2:4">
      <c r="B1082" s="121">
        <v>41681</v>
      </c>
      <c r="C1082" s="123">
        <v>2.75</v>
      </c>
      <c r="D1082" s="73">
        <f t="shared" si="16"/>
        <v>2.75E-2</v>
      </c>
    </row>
    <row r="1083" spans="2:4">
      <c r="B1083" s="121">
        <v>41682</v>
      </c>
      <c r="C1083" s="123">
        <v>2.8</v>
      </c>
      <c r="D1083" s="73">
        <f t="shared" si="16"/>
        <v>2.7999999999999997E-2</v>
      </c>
    </row>
    <row r="1084" spans="2:4">
      <c r="B1084" s="121">
        <v>41683</v>
      </c>
      <c r="C1084" s="123">
        <v>2.73</v>
      </c>
      <c r="D1084" s="73">
        <f t="shared" si="16"/>
        <v>2.7300000000000001E-2</v>
      </c>
    </row>
    <row r="1085" spans="2:4">
      <c r="B1085" s="121">
        <v>41684</v>
      </c>
      <c r="C1085" s="123">
        <v>2.75</v>
      </c>
      <c r="D1085" s="73">
        <f t="shared" si="16"/>
        <v>2.75E-2</v>
      </c>
    </row>
    <row r="1086" spans="2:4">
      <c r="B1086" s="121">
        <v>41687</v>
      </c>
      <c r="C1086" s="123" t="s">
        <v>325</v>
      </c>
      <c r="D1086" s="73">
        <f t="shared" si="16"/>
        <v>2.75E-2</v>
      </c>
    </row>
    <row r="1087" spans="2:4">
      <c r="B1087" s="121">
        <v>41688</v>
      </c>
      <c r="C1087" s="123">
        <v>2.71</v>
      </c>
      <c r="D1087" s="73">
        <f t="shared" si="16"/>
        <v>2.7099999999999999E-2</v>
      </c>
    </row>
    <row r="1088" spans="2:4">
      <c r="B1088" s="121">
        <v>41689</v>
      </c>
      <c r="C1088" s="123">
        <v>2.73</v>
      </c>
      <c r="D1088" s="73">
        <f t="shared" si="16"/>
        <v>2.7300000000000001E-2</v>
      </c>
    </row>
    <row r="1089" spans="2:4">
      <c r="B1089" s="121">
        <v>41690</v>
      </c>
      <c r="C1089" s="123">
        <v>2.76</v>
      </c>
      <c r="D1089" s="73">
        <f t="shared" si="16"/>
        <v>2.76E-2</v>
      </c>
    </row>
    <row r="1090" spans="2:4">
      <c r="B1090" s="121">
        <v>41691</v>
      </c>
      <c r="C1090" s="123">
        <v>2.73</v>
      </c>
      <c r="D1090" s="73">
        <f t="shared" si="16"/>
        <v>2.7300000000000001E-2</v>
      </c>
    </row>
    <row r="1091" spans="2:4">
      <c r="B1091" s="121">
        <v>41694</v>
      </c>
      <c r="C1091" s="123">
        <v>2.75</v>
      </c>
      <c r="D1091" s="73">
        <f t="shared" si="16"/>
        <v>2.75E-2</v>
      </c>
    </row>
    <row r="1092" spans="2:4">
      <c r="B1092" s="121">
        <v>41695</v>
      </c>
      <c r="C1092" s="123">
        <v>2.7</v>
      </c>
      <c r="D1092" s="73">
        <f t="shared" si="16"/>
        <v>2.7000000000000003E-2</v>
      </c>
    </row>
    <row r="1093" spans="2:4">
      <c r="B1093" s="121">
        <v>41696</v>
      </c>
      <c r="C1093" s="123">
        <v>2.67</v>
      </c>
      <c r="D1093" s="73">
        <f t="shared" si="16"/>
        <v>2.6699999999999998E-2</v>
      </c>
    </row>
    <row r="1094" spans="2:4">
      <c r="B1094" s="121">
        <v>41697</v>
      </c>
      <c r="C1094" s="123">
        <v>2.65</v>
      </c>
      <c r="D1094" s="73">
        <f t="shared" si="16"/>
        <v>2.6499999999999999E-2</v>
      </c>
    </row>
    <row r="1095" spans="2:4">
      <c r="B1095" s="121">
        <v>41698</v>
      </c>
      <c r="C1095" s="123">
        <v>2.66</v>
      </c>
      <c r="D1095" s="73">
        <f t="shared" si="16"/>
        <v>2.6600000000000002E-2</v>
      </c>
    </row>
    <row r="1096" spans="2:4">
      <c r="B1096" s="121">
        <v>41701</v>
      </c>
      <c r="C1096" s="123">
        <v>2.6</v>
      </c>
      <c r="D1096" s="73">
        <f t="shared" si="16"/>
        <v>2.6000000000000002E-2</v>
      </c>
    </row>
    <row r="1097" spans="2:4">
      <c r="B1097" s="121">
        <v>41702</v>
      </c>
      <c r="C1097" s="123">
        <v>2.7</v>
      </c>
      <c r="D1097" s="73">
        <f t="shared" si="16"/>
        <v>2.7000000000000003E-2</v>
      </c>
    </row>
    <row r="1098" spans="2:4">
      <c r="B1098" s="121">
        <v>41703</v>
      </c>
      <c r="C1098" s="123">
        <v>2.7</v>
      </c>
      <c r="D1098" s="73">
        <f t="shared" si="16"/>
        <v>2.7000000000000003E-2</v>
      </c>
    </row>
    <row r="1099" spans="2:4">
      <c r="B1099" s="121">
        <v>41704</v>
      </c>
      <c r="C1099" s="123">
        <v>2.74</v>
      </c>
      <c r="D1099" s="73">
        <f t="shared" si="16"/>
        <v>2.7400000000000001E-2</v>
      </c>
    </row>
    <row r="1100" spans="2:4">
      <c r="B1100" s="121">
        <v>41705</v>
      </c>
      <c r="C1100" s="123">
        <v>2.8</v>
      </c>
      <c r="D1100" s="73">
        <f t="shared" si="16"/>
        <v>2.7999999999999997E-2</v>
      </c>
    </row>
    <row r="1101" spans="2:4">
      <c r="B1101" s="121">
        <v>41708</v>
      </c>
      <c r="C1101" s="123">
        <v>2.79</v>
      </c>
      <c r="D1101" s="73">
        <f t="shared" si="16"/>
        <v>2.7900000000000001E-2</v>
      </c>
    </row>
    <row r="1102" spans="2:4">
      <c r="B1102" s="121">
        <v>41709</v>
      </c>
      <c r="C1102" s="123">
        <v>2.77</v>
      </c>
      <c r="D1102" s="73">
        <f t="shared" si="16"/>
        <v>2.7699999999999999E-2</v>
      </c>
    </row>
    <row r="1103" spans="2:4">
      <c r="B1103" s="121">
        <v>41710</v>
      </c>
      <c r="C1103" s="123">
        <v>2.73</v>
      </c>
      <c r="D1103" s="73">
        <f t="shared" si="16"/>
        <v>2.7300000000000001E-2</v>
      </c>
    </row>
    <row r="1104" spans="2:4">
      <c r="B1104" s="121">
        <v>41711</v>
      </c>
      <c r="C1104" s="123">
        <v>2.66</v>
      </c>
      <c r="D1104" s="73">
        <f t="shared" si="16"/>
        <v>2.6600000000000002E-2</v>
      </c>
    </row>
    <row r="1105" spans="2:4">
      <c r="B1105" s="121">
        <v>41712</v>
      </c>
      <c r="C1105" s="123">
        <v>2.65</v>
      </c>
      <c r="D1105" s="73">
        <f t="shared" si="16"/>
        <v>2.6499999999999999E-2</v>
      </c>
    </row>
    <row r="1106" spans="2:4">
      <c r="B1106" s="121">
        <v>41715</v>
      </c>
      <c r="C1106" s="123">
        <v>2.7</v>
      </c>
      <c r="D1106" s="73">
        <f t="shared" si="16"/>
        <v>2.7000000000000003E-2</v>
      </c>
    </row>
    <row r="1107" spans="2:4">
      <c r="B1107" s="121">
        <v>41716</v>
      </c>
      <c r="C1107" s="123">
        <v>2.68</v>
      </c>
      <c r="D1107" s="73">
        <f t="shared" si="16"/>
        <v>2.6800000000000001E-2</v>
      </c>
    </row>
    <row r="1108" spans="2:4">
      <c r="B1108" s="121">
        <v>41717</v>
      </c>
      <c r="C1108" s="123">
        <v>2.78</v>
      </c>
      <c r="D1108" s="73">
        <f t="shared" si="16"/>
        <v>2.7799999999999998E-2</v>
      </c>
    </row>
    <row r="1109" spans="2:4">
      <c r="B1109" s="121">
        <v>41718</v>
      </c>
      <c r="C1109" s="123">
        <v>2.79</v>
      </c>
      <c r="D1109" s="73">
        <f t="shared" si="16"/>
        <v>2.7900000000000001E-2</v>
      </c>
    </row>
    <row r="1110" spans="2:4">
      <c r="B1110" s="121">
        <v>41719</v>
      </c>
      <c r="C1110" s="123">
        <v>2.75</v>
      </c>
      <c r="D1110" s="73">
        <f t="shared" si="16"/>
        <v>2.75E-2</v>
      </c>
    </row>
    <row r="1111" spans="2:4">
      <c r="B1111" s="121">
        <v>41722</v>
      </c>
      <c r="C1111" s="123">
        <v>2.74</v>
      </c>
      <c r="D1111" s="73">
        <f t="shared" si="16"/>
        <v>2.7400000000000001E-2</v>
      </c>
    </row>
    <row r="1112" spans="2:4">
      <c r="B1112" s="121">
        <v>41723</v>
      </c>
      <c r="C1112" s="123">
        <v>2.75</v>
      </c>
      <c r="D1112" s="73">
        <f t="shared" si="16"/>
        <v>2.75E-2</v>
      </c>
    </row>
    <row r="1113" spans="2:4">
      <c r="B1113" s="121">
        <v>41724</v>
      </c>
      <c r="C1113" s="123">
        <v>2.71</v>
      </c>
      <c r="D1113" s="73">
        <f t="shared" si="16"/>
        <v>2.7099999999999999E-2</v>
      </c>
    </row>
    <row r="1114" spans="2:4">
      <c r="B1114" s="121">
        <v>41725</v>
      </c>
      <c r="C1114" s="123">
        <v>2.69</v>
      </c>
      <c r="D1114" s="73">
        <f t="shared" si="16"/>
        <v>2.69E-2</v>
      </c>
    </row>
    <row r="1115" spans="2:4">
      <c r="B1115" s="121">
        <v>41726</v>
      </c>
      <c r="C1115" s="123">
        <v>2.73</v>
      </c>
      <c r="D1115" s="73">
        <f t="shared" ref="D1115:D1178" si="17">IF( LEN( C1115 ) = 0, #N/A, IF( C1115 = "ND", D1114, C1115 / 100 ) )</f>
        <v>2.7300000000000001E-2</v>
      </c>
    </row>
    <row r="1116" spans="2:4">
      <c r="B1116" s="121">
        <v>41729</v>
      </c>
      <c r="C1116" s="123">
        <v>2.73</v>
      </c>
      <c r="D1116" s="73">
        <f t="shared" si="17"/>
        <v>2.7300000000000001E-2</v>
      </c>
    </row>
    <row r="1117" spans="2:4">
      <c r="B1117" s="121">
        <v>41730</v>
      </c>
      <c r="C1117" s="123">
        <v>2.77</v>
      </c>
      <c r="D1117" s="73">
        <f t="shared" si="17"/>
        <v>2.7699999999999999E-2</v>
      </c>
    </row>
    <row r="1118" spans="2:4">
      <c r="B1118" s="121">
        <v>41731</v>
      </c>
      <c r="C1118" s="123">
        <v>2.82</v>
      </c>
      <c r="D1118" s="73">
        <f t="shared" si="17"/>
        <v>2.8199999999999999E-2</v>
      </c>
    </row>
    <row r="1119" spans="2:4">
      <c r="B1119" s="121">
        <v>41732</v>
      </c>
      <c r="C1119" s="123">
        <v>2.8</v>
      </c>
      <c r="D1119" s="73">
        <f t="shared" si="17"/>
        <v>2.7999999999999997E-2</v>
      </c>
    </row>
    <row r="1120" spans="2:4">
      <c r="B1120" s="121">
        <v>41733</v>
      </c>
      <c r="C1120" s="123">
        <v>2.74</v>
      </c>
      <c r="D1120" s="73">
        <f t="shared" si="17"/>
        <v>2.7400000000000001E-2</v>
      </c>
    </row>
    <row r="1121" spans="2:4">
      <c r="B1121" s="121">
        <v>41736</v>
      </c>
      <c r="C1121" s="123">
        <v>2.71</v>
      </c>
      <c r="D1121" s="73">
        <f t="shared" si="17"/>
        <v>2.7099999999999999E-2</v>
      </c>
    </row>
    <row r="1122" spans="2:4">
      <c r="B1122" s="121">
        <v>41737</v>
      </c>
      <c r="C1122" s="123">
        <v>2.69</v>
      </c>
      <c r="D1122" s="73">
        <f t="shared" si="17"/>
        <v>2.69E-2</v>
      </c>
    </row>
    <row r="1123" spans="2:4">
      <c r="B1123" s="121">
        <v>41738</v>
      </c>
      <c r="C1123" s="123">
        <v>2.71</v>
      </c>
      <c r="D1123" s="73">
        <f t="shared" si="17"/>
        <v>2.7099999999999999E-2</v>
      </c>
    </row>
    <row r="1124" spans="2:4">
      <c r="B1124" s="121">
        <v>41739</v>
      </c>
      <c r="C1124" s="123">
        <v>2.65</v>
      </c>
      <c r="D1124" s="73">
        <f t="shared" si="17"/>
        <v>2.6499999999999999E-2</v>
      </c>
    </row>
    <row r="1125" spans="2:4">
      <c r="B1125" s="121">
        <v>41740</v>
      </c>
      <c r="C1125" s="123">
        <v>2.63</v>
      </c>
      <c r="D1125" s="73">
        <f t="shared" si="17"/>
        <v>2.63E-2</v>
      </c>
    </row>
    <row r="1126" spans="2:4">
      <c r="B1126" s="121">
        <v>41743</v>
      </c>
      <c r="C1126" s="123">
        <v>2.65</v>
      </c>
      <c r="D1126" s="73">
        <f t="shared" si="17"/>
        <v>2.6499999999999999E-2</v>
      </c>
    </row>
    <row r="1127" spans="2:4">
      <c r="B1127" s="121">
        <v>41744</v>
      </c>
      <c r="C1127" s="123">
        <v>2.64</v>
      </c>
      <c r="D1127" s="73">
        <f t="shared" si="17"/>
        <v>2.64E-2</v>
      </c>
    </row>
    <row r="1128" spans="2:4">
      <c r="B1128" s="121">
        <v>41745</v>
      </c>
      <c r="C1128" s="123">
        <v>2.65</v>
      </c>
      <c r="D1128" s="73">
        <f t="shared" si="17"/>
        <v>2.6499999999999999E-2</v>
      </c>
    </row>
    <row r="1129" spans="2:4">
      <c r="B1129" s="121">
        <v>41746</v>
      </c>
      <c r="C1129" s="123">
        <v>2.73</v>
      </c>
      <c r="D1129" s="73">
        <f t="shared" si="17"/>
        <v>2.7300000000000001E-2</v>
      </c>
    </row>
    <row r="1130" spans="2:4">
      <c r="B1130" s="121">
        <v>41747</v>
      </c>
      <c r="C1130" s="123" t="s">
        <v>325</v>
      </c>
      <c r="D1130" s="73">
        <f t="shared" si="17"/>
        <v>2.7300000000000001E-2</v>
      </c>
    </row>
    <row r="1131" spans="2:4">
      <c r="B1131" s="121">
        <v>41750</v>
      </c>
      <c r="C1131" s="123">
        <v>2.73</v>
      </c>
      <c r="D1131" s="73">
        <f t="shared" si="17"/>
        <v>2.7300000000000001E-2</v>
      </c>
    </row>
    <row r="1132" spans="2:4">
      <c r="B1132" s="121">
        <v>41751</v>
      </c>
      <c r="C1132" s="123">
        <v>2.73</v>
      </c>
      <c r="D1132" s="73">
        <f t="shared" si="17"/>
        <v>2.7300000000000001E-2</v>
      </c>
    </row>
    <row r="1133" spans="2:4">
      <c r="B1133" s="121">
        <v>41752</v>
      </c>
      <c r="C1133" s="123">
        <v>2.7</v>
      </c>
      <c r="D1133" s="73">
        <f t="shared" si="17"/>
        <v>2.7000000000000003E-2</v>
      </c>
    </row>
    <row r="1134" spans="2:4">
      <c r="B1134" s="121">
        <v>41753</v>
      </c>
      <c r="C1134" s="123">
        <v>2.7</v>
      </c>
      <c r="D1134" s="73">
        <f t="shared" si="17"/>
        <v>2.7000000000000003E-2</v>
      </c>
    </row>
    <row r="1135" spans="2:4">
      <c r="B1135" s="121">
        <v>41754</v>
      </c>
      <c r="C1135" s="123">
        <v>2.68</v>
      </c>
      <c r="D1135" s="73">
        <f t="shared" si="17"/>
        <v>2.6800000000000001E-2</v>
      </c>
    </row>
    <row r="1136" spans="2:4">
      <c r="B1136" s="121">
        <v>41757</v>
      </c>
      <c r="C1136" s="123">
        <v>2.7</v>
      </c>
      <c r="D1136" s="73">
        <f t="shared" si="17"/>
        <v>2.7000000000000003E-2</v>
      </c>
    </row>
    <row r="1137" spans="2:4">
      <c r="B1137" s="121">
        <v>41758</v>
      </c>
      <c r="C1137" s="123">
        <v>2.71</v>
      </c>
      <c r="D1137" s="73">
        <f t="shared" si="17"/>
        <v>2.7099999999999999E-2</v>
      </c>
    </row>
    <row r="1138" spans="2:4">
      <c r="B1138" s="121">
        <v>41759</v>
      </c>
      <c r="C1138" s="123">
        <v>2.67</v>
      </c>
      <c r="D1138" s="73">
        <f t="shared" si="17"/>
        <v>2.6699999999999998E-2</v>
      </c>
    </row>
    <row r="1139" spans="2:4">
      <c r="B1139" s="121">
        <v>41760</v>
      </c>
      <c r="C1139" s="123">
        <v>2.63</v>
      </c>
      <c r="D1139" s="73">
        <f t="shared" si="17"/>
        <v>2.63E-2</v>
      </c>
    </row>
    <row r="1140" spans="2:4">
      <c r="B1140" s="121">
        <v>41761</v>
      </c>
      <c r="C1140" s="123">
        <v>2.6</v>
      </c>
      <c r="D1140" s="73">
        <f t="shared" si="17"/>
        <v>2.6000000000000002E-2</v>
      </c>
    </row>
    <row r="1141" spans="2:4">
      <c r="B1141" s="121">
        <v>41764</v>
      </c>
      <c r="C1141" s="123">
        <v>2.63</v>
      </c>
      <c r="D1141" s="73">
        <f t="shared" si="17"/>
        <v>2.63E-2</v>
      </c>
    </row>
    <row r="1142" spans="2:4">
      <c r="B1142" s="121">
        <v>41765</v>
      </c>
      <c r="C1142" s="123">
        <v>2.61</v>
      </c>
      <c r="D1142" s="73">
        <f t="shared" si="17"/>
        <v>2.6099999999999998E-2</v>
      </c>
    </row>
    <row r="1143" spans="2:4">
      <c r="B1143" s="121">
        <v>41766</v>
      </c>
      <c r="C1143" s="123">
        <v>2.62</v>
      </c>
      <c r="D1143" s="73">
        <f t="shared" si="17"/>
        <v>2.6200000000000001E-2</v>
      </c>
    </row>
    <row r="1144" spans="2:4">
      <c r="B1144" s="121">
        <v>41767</v>
      </c>
      <c r="C1144" s="123">
        <v>2.61</v>
      </c>
      <c r="D1144" s="73">
        <f t="shared" si="17"/>
        <v>2.6099999999999998E-2</v>
      </c>
    </row>
    <row r="1145" spans="2:4">
      <c r="B1145" s="121">
        <v>41768</v>
      </c>
      <c r="C1145" s="123">
        <v>2.62</v>
      </c>
      <c r="D1145" s="73">
        <f t="shared" si="17"/>
        <v>2.6200000000000001E-2</v>
      </c>
    </row>
    <row r="1146" spans="2:4">
      <c r="B1146" s="121">
        <v>41771</v>
      </c>
      <c r="C1146" s="123">
        <v>2.66</v>
      </c>
      <c r="D1146" s="73">
        <f t="shared" si="17"/>
        <v>2.6600000000000002E-2</v>
      </c>
    </row>
    <row r="1147" spans="2:4">
      <c r="B1147" s="121">
        <v>41772</v>
      </c>
      <c r="C1147" s="123">
        <v>2.61</v>
      </c>
      <c r="D1147" s="73">
        <f t="shared" si="17"/>
        <v>2.6099999999999998E-2</v>
      </c>
    </row>
    <row r="1148" spans="2:4">
      <c r="B1148" s="121">
        <v>41773</v>
      </c>
      <c r="C1148" s="123">
        <v>2.54</v>
      </c>
      <c r="D1148" s="73">
        <f t="shared" si="17"/>
        <v>2.5399999999999999E-2</v>
      </c>
    </row>
    <row r="1149" spans="2:4">
      <c r="B1149" s="121">
        <v>41774</v>
      </c>
      <c r="C1149" s="123">
        <v>2.5</v>
      </c>
      <c r="D1149" s="73">
        <f t="shared" si="17"/>
        <v>2.5000000000000001E-2</v>
      </c>
    </row>
    <row r="1150" spans="2:4">
      <c r="B1150" s="121">
        <v>41775</v>
      </c>
      <c r="C1150" s="123">
        <v>2.52</v>
      </c>
      <c r="D1150" s="73">
        <f t="shared" si="17"/>
        <v>2.52E-2</v>
      </c>
    </row>
    <row r="1151" spans="2:4">
      <c r="B1151" s="121">
        <v>41778</v>
      </c>
      <c r="C1151" s="123">
        <v>2.54</v>
      </c>
      <c r="D1151" s="73">
        <f t="shared" si="17"/>
        <v>2.5399999999999999E-2</v>
      </c>
    </row>
    <row r="1152" spans="2:4">
      <c r="B1152" s="121">
        <v>41779</v>
      </c>
      <c r="C1152" s="123">
        <v>2.52</v>
      </c>
      <c r="D1152" s="73">
        <f t="shared" si="17"/>
        <v>2.52E-2</v>
      </c>
    </row>
    <row r="1153" spans="2:4">
      <c r="B1153" s="121">
        <v>41780</v>
      </c>
      <c r="C1153" s="123">
        <v>2.54</v>
      </c>
      <c r="D1153" s="73">
        <f t="shared" si="17"/>
        <v>2.5399999999999999E-2</v>
      </c>
    </row>
    <row r="1154" spans="2:4">
      <c r="B1154" s="121">
        <v>41781</v>
      </c>
      <c r="C1154" s="123">
        <v>2.56</v>
      </c>
      <c r="D1154" s="73">
        <f t="shared" si="17"/>
        <v>2.5600000000000001E-2</v>
      </c>
    </row>
    <row r="1155" spans="2:4">
      <c r="B1155" s="121">
        <v>41782</v>
      </c>
      <c r="C1155" s="123">
        <v>2.54</v>
      </c>
      <c r="D1155" s="73">
        <f t="shared" si="17"/>
        <v>2.5399999999999999E-2</v>
      </c>
    </row>
    <row r="1156" spans="2:4">
      <c r="B1156" s="121">
        <v>41785</v>
      </c>
      <c r="C1156" s="123" t="s">
        <v>325</v>
      </c>
      <c r="D1156" s="73">
        <f t="shared" si="17"/>
        <v>2.5399999999999999E-2</v>
      </c>
    </row>
    <row r="1157" spans="2:4">
      <c r="B1157" s="121">
        <v>41786</v>
      </c>
      <c r="C1157" s="123">
        <v>2.52</v>
      </c>
      <c r="D1157" s="73">
        <f t="shared" si="17"/>
        <v>2.52E-2</v>
      </c>
    </row>
    <row r="1158" spans="2:4">
      <c r="B1158" s="121">
        <v>41787</v>
      </c>
      <c r="C1158" s="123">
        <v>2.44</v>
      </c>
      <c r="D1158" s="73">
        <f t="shared" si="17"/>
        <v>2.4399999999999998E-2</v>
      </c>
    </row>
    <row r="1159" spans="2:4">
      <c r="B1159" s="121">
        <v>41788</v>
      </c>
      <c r="C1159" s="123">
        <v>2.4500000000000002</v>
      </c>
      <c r="D1159" s="73">
        <f t="shared" si="17"/>
        <v>2.4500000000000001E-2</v>
      </c>
    </row>
    <row r="1160" spans="2:4">
      <c r="B1160" s="121">
        <v>41789</v>
      </c>
      <c r="C1160" s="123">
        <v>2.48</v>
      </c>
      <c r="D1160" s="73">
        <f t="shared" si="17"/>
        <v>2.4799999999999999E-2</v>
      </c>
    </row>
    <row r="1161" spans="2:4">
      <c r="B1161" s="121">
        <v>41792</v>
      </c>
      <c r="C1161" s="123">
        <v>2.54</v>
      </c>
      <c r="D1161" s="73">
        <f t="shared" si="17"/>
        <v>2.5399999999999999E-2</v>
      </c>
    </row>
    <row r="1162" spans="2:4">
      <c r="B1162" s="121">
        <v>41793</v>
      </c>
      <c r="C1162" s="123">
        <v>2.6</v>
      </c>
      <c r="D1162" s="73">
        <f t="shared" si="17"/>
        <v>2.6000000000000002E-2</v>
      </c>
    </row>
    <row r="1163" spans="2:4">
      <c r="B1163" s="121">
        <v>41794</v>
      </c>
      <c r="C1163" s="123">
        <v>2.61</v>
      </c>
      <c r="D1163" s="73">
        <f t="shared" si="17"/>
        <v>2.6099999999999998E-2</v>
      </c>
    </row>
    <row r="1164" spans="2:4">
      <c r="B1164" s="121">
        <v>41795</v>
      </c>
      <c r="C1164" s="123">
        <v>2.59</v>
      </c>
      <c r="D1164" s="73">
        <f t="shared" si="17"/>
        <v>2.5899999999999999E-2</v>
      </c>
    </row>
    <row r="1165" spans="2:4">
      <c r="B1165" s="121">
        <v>41796</v>
      </c>
      <c r="C1165" s="123">
        <v>2.6</v>
      </c>
      <c r="D1165" s="73">
        <f t="shared" si="17"/>
        <v>2.6000000000000002E-2</v>
      </c>
    </row>
    <row r="1166" spans="2:4">
      <c r="B1166" s="121">
        <v>41799</v>
      </c>
      <c r="C1166" s="123">
        <v>2.62</v>
      </c>
      <c r="D1166" s="73">
        <f t="shared" si="17"/>
        <v>2.6200000000000001E-2</v>
      </c>
    </row>
    <row r="1167" spans="2:4">
      <c r="B1167" s="121">
        <v>41800</v>
      </c>
      <c r="C1167" s="123">
        <v>2.64</v>
      </c>
      <c r="D1167" s="73">
        <f t="shared" si="17"/>
        <v>2.64E-2</v>
      </c>
    </row>
    <row r="1168" spans="2:4">
      <c r="B1168" s="121">
        <v>41801</v>
      </c>
      <c r="C1168" s="123">
        <v>2.65</v>
      </c>
      <c r="D1168" s="73">
        <f t="shared" si="17"/>
        <v>2.6499999999999999E-2</v>
      </c>
    </row>
    <row r="1169" spans="2:4">
      <c r="B1169" s="121">
        <v>41802</v>
      </c>
      <c r="C1169" s="123">
        <v>2.58</v>
      </c>
      <c r="D1169" s="73">
        <f t="shared" si="17"/>
        <v>2.58E-2</v>
      </c>
    </row>
    <row r="1170" spans="2:4">
      <c r="B1170" s="121">
        <v>41803</v>
      </c>
      <c r="C1170" s="123">
        <v>2.6</v>
      </c>
      <c r="D1170" s="73">
        <f t="shared" si="17"/>
        <v>2.6000000000000002E-2</v>
      </c>
    </row>
    <row r="1171" spans="2:4">
      <c r="B1171" s="121">
        <v>41806</v>
      </c>
      <c r="C1171" s="123">
        <v>2.61</v>
      </c>
      <c r="D1171" s="73">
        <f t="shared" si="17"/>
        <v>2.6099999999999998E-2</v>
      </c>
    </row>
    <row r="1172" spans="2:4">
      <c r="B1172" s="121">
        <v>41807</v>
      </c>
      <c r="C1172" s="123">
        <v>2.66</v>
      </c>
      <c r="D1172" s="73">
        <f t="shared" si="17"/>
        <v>2.6600000000000002E-2</v>
      </c>
    </row>
    <row r="1173" spans="2:4">
      <c r="B1173" s="121">
        <v>41808</v>
      </c>
      <c r="C1173" s="123">
        <v>2.61</v>
      </c>
      <c r="D1173" s="73">
        <f t="shared" si="17"/>
        <v>2.6099999999999998E-2</v>
      </c>
    </row>
    <row r="1174" spans="2:4">
      <c r="B1174" s="121">
        <v>41809</v>
      </c>
      <c r="C1174" s="123">
        <v>2.64</v>
      </c>
      <c r="D1174" s="73">
        <f t="shared" si="17"/>
        <v>2.64E-2</v>
      </c>
    </row>
    <row r="1175" spans="2:4">
      <c r="B1175" s="121">
        <v>41810</v>
      </c>
      <c r="C1175" s="123">
        <v>2.63</v>
      </c>
      <c r="D1175" s="73">
        <f t="shared" si="17"/>
        <v>2.63E-2</v>
      </c>
    </row>
    <row r="1176" spans="2:4">
      <c r="B1176" s="121">
        <v>41813</v>
      </c>
      <c r="C1176" s="123">
        <v>2.63</v>
      </c>
      <c r="D1176" s="73">
        <f t="shared" si="17"/>
        <v>2.63E-2</v>
      </c>
    </row>
    <row r="1177" spans="2:4">
      <c r="B1177" s="121">
        <v>41814</v>
      </c>
      <c r="C1177" s="123">
        <v>2.59</v>
      </c>
      <c r="D1177" s="73">
        <f t="shared" si="17"/>
        <v>2.5899999999999999E-2</v>
      </c>
    </row>
    <row r="1178" spans="2:4">
      <c r="B1178" s="121">
        <v>41815</v>
      </c>
      <c r="C1178" s="123">
        <v>2.57</v>
      </c>
      <c r="D1178" s="73">
        <f t="shared" si="17"/>
        <v>2.5699999999999997E-2</v>
      </c>
    </row>
    <row r="1179" spans="2:4">
      <c r="B1179" s="121">
        <v>41816</v>
      </c>
      <c r="C1179" s="123">
        <v>2.5299999999999998</v>
      </c>
      <c r="D1179" s="73">
        <f t="shared" ref="D1179:D1242" si="18">IF( LEN( C1179 ) = 0, #N/A, IF( C1179 = "ND", D1178, C1179 / 100 ) )</f>
        <v>2.53E-2</v>
      </c>
    </row>
    <row r="1180" spans="2:4">
      <c r="B1180" s="121">
        <v>41817</v>
      </c>
      <c r="C1180" s="123">
        <v>2.54</v>
      </c>
      <c r="D1180" s="73">
        <f t="shared" si="18"/>
        <v>2.5399999999999999E-2</v>
      </c>
    </row>
    <row r="1181" spans="2:4">
      <c r="B1181" s="121">
        <v>41820</v>
      </c>
      <c r="C1181" s="123">
        <v>2.5299999999999998</v>
      </c>
      <c r="D1181" s="73">
        <f t="shared" si="18"/>
        <v>2.53E-2</v>
      </c>
    </row>
    <row r="1182" spans="2:4">
      <c r="B1182" s="121">
        <v>41821</v>
      </c>
      <c r="C1182" s="123">
        <v>2.58</v>
      </c>
      <c r="D1182" s="73">
        <f t="shared" si="18"/>
        <v>2.58E-2</v>
      </c>
    </row>
    <row r="1183" spans="2:4">
      <c r="B1183" s="121">
        <v>41822</v>
      </c>
      <c r="C1183" s="123">
        <v>2.64</v>
      </c>
      <c r="D1183" s="73">
        <f t="shared" si="18"/>
        <v>2.64E-2</v>
      </c>
    </row>
    <row r="1184" spans="2:4">
      <c r="B1184" s="121">
        <v>41823</v>
      </c>
      <c r="C1184" s="123">
        <v>2.65</v>
      </c>
      <c r="D1184" s="73">
        <f t="shared" si="18"/>
        <v>2.6499999999999999E-2</v>
      </c>
    </row>
    <row r="1185" spans="2:4">
      <c r="B1185" s="121">
        <v>41824</v>
      </c>
      <c r="C1185" s="123" t="s">
        <v>325</v>
      </c>
      <c r="D1185" s="73">
        <f t="shared" si="18"/>
        <v>2.6499999999999999E-2</v>
      </c>
    </row>
    <row r="1186" spans="2:4">
      <c r="B1186" s="121">
        <v>41827</v>
      </c>
      <c r="C1186" s="123">
        <v>2.63</v>
      </c>
      <c r="D1186" s="73">
        <f t="shared" si="18"/>
        <v>2.63E-2</v>
      </c>
    </row>
    <row r="1187" spans="2:4">
      <c r="B1187" s="121">
        <v>41828</v>
      </c>
      <c r="C1187" s="123">
        <v>2.58</v>
      </c>
      <c r="D1187" s="73">
        <f t="shared" si="18"/>
        <v>2.58E-2</v>
      </c>
    </row>
    <row r="1188" spans="2:4">
      <c r="B1188" s="121">
        <v>41829</v>
      </c>
      <c r="C1188" s="123">
        <v>2.57</v>
      </c>
      <c r="D1188" s="73">
        <f t="shared" si="18"/>
        <v>2.5699999999999997E-2</v>
      </c>
    </row>
    <row r="1189" spans="2:4">
      <c r="B1189" s="121">
        <v>41830</v>
      </c>
      <c r="C1189" s="123">
        <v>2.5499999999999998</v>
      </c>
      <c r="D1189" s="73">
        <f t="shared" si="18"/>
        <v>2.5499999999999998E-2</v>
      </c>
    </row>
    <row r="1190" spans="2:4">
      <c r="B1190" s="121">
        <v>41831</v>
      </c>
      <c r="C1190" s="123">
        <v>2.5299999999999998</v>
      </c>
      <c r="D1190" s="73">
        <f t="shared" si="18"/>
        <v>2.53E-2</v>
      </c>
    </row>
    <row r="1191" spans="2:4">
      <c r="B1191" s="121">
        <v>41834</v>
      </c>
      <c r="C1191" s="123">
        <v>2.5499999999999998</v>
      </c>
      <c r="D1191" s="73">
        <f t="shared" si="18"/>
        <v>2.5499999999999998E-2</v>
      </c>
    </row>
    <row r="1192" spans="2:4">
      <c r="B1192" s="121">
        <v>41835</v>
      </c>
      <c r="C1192" s="123">
        <v>2.56</v>
      </c>
      <c r="D1192" s="73">
        <f t="shared" si="18"/>
        <v>2.5600000000000001E-2</v>
      </c>
    </row>
    <row r="1193" spans="2:4">
      <c r="B1193" s="121">
        <v>41836</v>
      </c>
      <c r="C1193" s="123">
        <v>2.5499999999999998</v>
      </c>
      <c r="D1193" s="73">
        <f t="shared" si="18"/>
        <v>2.5499999999999998E-2</v>
      </c>
    </row>
    <row r="1194" spans="2:4">
      <c r="B1194" s="121">
        <v>41837</v>
      </c>
      <c r="C1194" s="123">
        <v>2.4700000000000002</v>
      </c>
      <c r="D1194" s="73">
        <f t="shared" si="18"/>
        <v>2.4700000000000003E-2</v>
      </c>
    </row>
    <row r="1195" spans="2:4">
      <c r="B1195" s="121">
        <v>41838</v>
      </c>
      <c r="C1195" s="123">
        <v>2.5</v>
      </c>
      <c r="D1195" s="73">
        <f t="shared" si="18"/>
        <v>2.5000000000000001E-2</v>
      </c>
    </row>
    <row r="1196" spans="2:4">
      <c r="B1196" s="121">
        <v>41841</v>
      </c>
      <c r="C1196" s="123">
        <v>2.4900000000000002</v>
      </c>
      <c r="D1196" s="73">
        <f t="shared" si="18"/>
        <v>2.4900000000000002E-2</v>
      </c>
    </row>
    <row r="1197" spans="2:4">
      <c r="B1197" s="121">
        <v>41842</v>
      </c>
      <c r="C1197" s="123">
        <v>2.48</v>
      </c>
      <c r="D1197" s="73">
        <f t="shared" si="18"/>
        <v>2.4799999999999999E-2</v>
      </c>
    </row>
    <row r="1198" spans="2:4">
      <c r="B1198" s="121">
        <v>41843</v>
      </c>
      <c r="C1198" s="123">
        <v>2.48</v>
      </c>
      <c r="D1198" s="73">
        <f t="shared" si="18"/>
        <v>2.4799999999999999E-2</v>
      </c>
    </row>
    <row r="1199" spans="2:4">
      <c r="B1199" s="121">
        <v>41844</v>
      </c>
      <c r="C1199" s="123">
        <v>2.52</v>
      </c>
      <c r="D1199" s="73">
        <f t="shared" si="18"/>
        <v>2.52E-2</v>
      </c>
    </row>
    <row r="1200" spans="2:4">
      <c r="B1200" s="121">
        <v>41845</v>
      </c>
      <c r="C1200" s="123">
        <v>2.48</v>
      </c>
      <c r="D1200" s="73">
        <f t="shared" si="18"/>
        <v>2.4799999999999999E-2</v>
      </c>
    </row>
    <row r="1201" spans="2:4">
      <c r="B1201" s="121">
        <v>41848</v>
      </c>
      <c r="C1201" s="123">
        <v>2.5</v>
      </c>
      <c r="D1201" s="73">
        <f t="shared" si="18"/>
        <v>2.5000000000000001E-2</v>
      </c>
    </row>
    <row r="1202" spans="2:4">
      <c r="B1202" s="121">
        <v>41849</v>
      </c>
      <c r="C1202" s="123">
        <v>2.4700000000000002</v>
      </c>
      <c r="D1202" s="73">
        <f t="shared" si="18"/>
        <v>2.4700000000000003E-2</v>
      </c>
    </row>
    <row r="1203" spans="2:4">
      <c r="B1203" s="121">
        <v>41850</v>
      </c>
      <c r="C1203" s="123">
        <v>2.57</v>
      </c>
      <c r="D1203" s="73">
        <f t="shared" si="18"/>
        <v>2.5699999999999997E-2</v>
      </c>
    </row>
    <row r="1204" spans="2:4">
      <c r="B1204" s="121">
        <v>41851</v>
      </c>
      <c r="C1204" s="123">
        <v>2.58</v>
      </c>
      <c r="D1204" s="73">
        <f t="shared" si="18"/>
        <v>2.58E-2</v>
      </c>
    </row>
    <row r="1205" spans="2:4">
      <c r="B1205" s="121">
        <v>41852</v>
      </c>
      <c r="C1205" s="123">
        <v>2.52</v>
      </c>
      <c r="D1205" s="73">
        <f t="shared" si="18"/>
        <v>2.52E-2</v>
      </c>
    </row>
    <row r="1206" spans="2:4">
      <c r="B1206" s="121">
        <v>41855</v>
      </c>
      <c r="C1206" s="123">
        <v>2.5099999999999998</v>
      </c>
      <c r="D1206" s="73">
        <f t="shared" si="18"/>
        <v>2.5099999999999997E-2</v>
      </c>
    </row>
    <row r="1207" spans="2:4">
      <c r="B1207" s="121">
        <v>41856</v>
      </c>
      <c r="C1207" s="123">
        <v>2.4900000000000002</v>
      </c>
      <c r="D1207" s="73">
        <f t="shared" si="18"/>
        <v>2.4900000000000002E-2</v>
      </c>
    </row>
    <row r="1208" spans="2:4">
      <c r="B1208" s="121">
        <v>41857</v>
      </c>
      <c r="C1208" s="123">
        <v>2.4900000000000002</v>
      </c>
      <c r="D1208" s="73">
        <f t="shared" si="18"/>
        <v>2.4900000000000002E-2</v>
      </c>
    </row>
    <row r="1209" spans="2:4">
      <c r="B1209" s="121">
        <v>41858</v>
      </c>
      <c r="C1209" s="123">
        <v>2.4300000000000002</v>
      </c>
      <c r="D1209" s="73">
        <f t="shared" si="18"/>
        <v>2.4300000000000002E-2</v>
      </c>
    </row>
    <row r="1210" spans="2:4">
      <c r="B1210" s="121">
        <v>41859</v>
      </c>
      <c r="C1210" s="123">
        <v>2.44</v>
      </c>
      <c r="D1210" s="73">
        <f t="shared" si="18"/>
        <v>2.4399999999999998E-2</v>
      </c>
    </row>
    <row r="1211" spans="2:4">
      <c r="B1211" s="121">
        <v>41862</v>
      </c>
      <c r="C1211" s="123">
        <v>2.44</v>
      </c>
      <c r="D1211" s="73">
        <f t="shared" si="18"/>
        <v>2.4399999999999998E-2</v>
      </c>
    </row>
    <row r="1212" spans="2:4">
      <c r="B1212" s="121">
        <v>41863</v>
      </c>
      <c r="C1212" s="123">
        <v>2.46</v>
      </c>
      <c r="D1212" s="73">
        <f t="shared" si="18"/>
        <v>2.46E-2</v>
      </c>
    </row>
    <row r="1213" spans="2:4">
      <c r="B1213" s="121">
        <v>41864</v>
      </c>
      <c r="C1213" s="123">
        <v>2.4300000000000002</v>
      </c>
      <c r="D1213" s="73">
        <f t="shared" si="18"/>
        <v>2.4300000000000002E-2</v>
      </c>
    </row>
    <row r="1214" spans="2:4">
      <c r="B1214" s="121">
        <v>41865</v>
      </c>
      <c r="C1214" s="123">
        <v>2.4</v>
      </c>
      <c r="D1214" s="73">
        <f t="shared" si="18"/>
        <v>2.4E-2</v>
      </c>
    </row>
    <row r="1215" spans="2:4">
      <c r="B1215" s="121">
        <v>41866</v>
      </c>
      <c r="C1215" s="123">
        <v>2.34</v>
      </c>
      <c r="D1215" s="73">
        <f t="shared" si="18"/>
        <v>2.3399999999999997E-2</v>
      </c>
    </row>
    <row r="1216" spans="2:4">
      <c r="B1216" s="121">
        <v>41869</v>
      </c>
      <c r="C1216" s="123">
        <v>2.39</v>
      </c>
      <c r="D1216" s="73">
        <f t="shared" si="18"/>
        <v>2.3900000000000001E-2</v>
      </c>
    </row>
    <row r="1217" spans="2:4">
      <c r="B1217" s="121">
        <v>41870</v>
      </c>
      <c r="C1217" s="123">
        <v>2.4</v>
      </c>
      <c r="D1217" s="73">
        <f t="shared" si="18"/>
        <v>2.4E-2</v>
      </c>
    </row>
    <row r="1218" spans="2:4">
      <c r="B1218" s="121">
        <v>41871</v>
      </c>
      <c r="C1218" s="123">
        <v>2.4300000000000002</v>
      </c>
      <c r="D1218" s="73">
        <f t="shared" si="18"/>
        <v>2.4300000000000002E-2</v>
      </c>
    </row>
    <row r="1219" spans="2:4">
      <c r="B1219" s="121">
        <v>41872</v>
      </c>
      <c r="C1219" s="123">
        <v>2.41</v>
      </c>
      <c r="D1219" s="73">
        <f t="shared" si="18"/>
        <v>2.41E-2</v>
      </c>
    </row>
    <row r="1220" spans="2:4">
      <c r="B1220" s="121">
        <v>41873</v>
      </c>
      <c r="C1220" s="123">
        <v>2.4</v>
      </c>
      <c r="D1220" s="73">
        <f t="shared" si="18"/>
        <v>2.4E-2</v>
      </c>
    </row>
    <row r="1221" spans="2:4">
      <c r="B1221" s="121">
        <v>41876</v>
      </c>
      <c r="C1221" s="123">
        <v>2.39</v>
      </c>
      <c r="D1221" s="73">
        <f t="shared" si="18"/>
        <v>2.3900000000000001E-2</v>
      </c>
    </row>
    <row r="1222" spans="2:4">
      <c r="B1222" s="121">
        <v>41877</v>
      </c>
      <c r="C1222" s="123">
        <v>2.39</v>
      </c>
      <c r="D1222" s="73">
        <f t="shared" si="18"/>
        <v>2.3900000000000001E-2</v>
      </c>
    </row>
    <row r="1223" spans="2:4">
      <c r="B1223" s="121">
        <v>41878</v>
      </c>
      <c r="C1223" s="123">
        <v>2.37</v>
      </c>
      <c r="D1223" s="73">
        <f t="shared" si="18"/>
        <v>2.3700000000000002E-2</v>
      </c>
    </row>
    <row r="1224" spans="2:4">
      <c r="B1224" s="121">
        <v>41879</v>
      </c>
      <c r="C1224" s="123">
        <v>2.34</v>
      </c>
      <c r="D1224" s="73">
        <f t="shared" si="18"/>
        <v>2.3399999999999997E-2</v>
      </c>
    </row>
    <row r="1225" spans="2:4">
      <c r="B1225" s="121">
        <v>41880</v>
      </c>
      <c r="C1225" s="123">
        <v>2.35</v>
      </c>
      <c r="D1225" s="73">
        <f t="shared" si="18"/>
        <v>2.35E-2</v>
      </c>
    </row>
    <row r="1226" spans="2:4">
      <c r="B1226" s="121">
        <v>41883</v>
      </c>
      <c r="C1226" s="123" t="s">
        <v>325</v>
      </c>
      <c r="D1226" s="73">
        <f t="shared" si="18"/>
        <v>2.35E-2</v>
      </c>
    </row>
    <row r="1227" spans="2:4">
      <c r="B1227" s="121">
        <v>41884</v>
      </c>
      <c r="C1227" s="123">
        <v>2.42</v>
      </c>
      <c r="D1227" s="73">
        <f t="shared" si="18"/>
        <v>2.4199999999999999E-2</v>
      </c>
    </row>
    <row r="1228" spans="2:4">
      <c r="B1228" s="121">
        <v>41885</v>
      </c>
      <c r="C1228" s="123">
        <v>2.41</v>
      </c>
      <c r="D1228" s="73">
        <f t="shared" si="18"/>
        <v>2.41E-2</v>
      </c>
    </row>
    <row r="1229" spans="2:4">
      <c r="B1229" s="121">
        <v>41886</v>
      </c>
      <c r="C1229" s="123">
        <v>2.4500000000000002</v>
      </c>
      <c r="D1229" s="73">
        <f t="shared" si="18"/>
        <v>2.4500000000000001E-2</v>
      </c>
    </row>
    <row r="1230" spans="2:4">
      <c r="B1230" s="121">
        <v>41887</v>
      </c>
      <c r="C1230" s="123">
        <v>2.46</v>
      </c>
      <c r="D1230" s="73">
        <f t="shared" si="18"/>
        <v>2.46E-2</v>
      </c>
    </row>
    <row r="1231" spans="2:4">
      <c r="B1231" s="121">
        <v>41890</v>
      </c>
      <c r="C1231" s="123">
        <v>2.48</v>
      </c>
      <c r="D1231" s="73">
        <f t="shared" si="18"/>
        <v>2.4799999999999999E-2</v>
      </c>
    </row>
    <row r="1232" spans="2:4">
      <c r="B1232" s="121">
        <v>41891</v>
      </c>
      <c r="C1232" s="123">
        <v>2.5</v>
      </c>
      <c r="D1232" s="73">
        <f t="shared" si="18"/>
        <v>2.5000000000000001E-2</v>
      </c>
    </row>
    <row r="1233" spans="2:4">
      <c r="B1233" s="121">
        <v>41892</v>
      </c>
      <c r="C1233" s="123">
        <v>2.54</v>
      </c>
      <c r="D1233" s="73">
        <f t="shared" si="18"/>
        <v>2.5399999999999999E-2</v>
      </c>
    </row>
    <row r="1234" spans="2:4">
      <c r="B1234" s="121">
        <v>41893</v>
      </c>
      <c r="C1234" s="123">
        <v>2.54</v>
      </c>
      <c r="D1234" s="73">
        <f t="shared" si="18"/>
        <v>2.5399999999999999E-2</v>
      </c>
    </row>
    <row r="1235" spans="2:4">
      <c r="B1235" s="121">
        <v>41894</v>
      </c>
      <c r="C1235" s="123">
        <v>2.62</v>
      </c>
      <c r="D1235" s="73">
        <f t="shared" si="18"/>
        <v>2.6200000000000001E-2</v>
      </c>
    </row>
    <row r="1236" spans="2:4">
      <c r="B1236" s="121">
        <v>41897</v>
      </c>
      <c r="C1236" s="123">
        <v>2.6</v>
      </c>
      <c r="D1236" s="73">
        <f t="shared" si="18"/>
        <v>2.6000000000000002E-2</v>
      </c>
    </row>
    <row r="1237" spans="2:4">
      <c r="B1237" s="121">
        <v>41898</v>
      </c>
      <c r="C1237" s="123">
        <v>2.6</v>
      </c>
      <c r="D1237" s="73">
        <f t="shared" si="18"/>
        <v>2.6000000000000002E-2</v>
      </c>
    </row>
    <row r="1238" spans="2:4">
      <c r="B1238" s="121">
        <v>41899</v>
      </c>
      <c r="C1238" s="123">
        <v>2.62</v>
      </c>
      <c r="D1238" s="73">
        <f t="shared" si="18"/>
        <v>2.6200000000000001E-2</v>
      </c>
    </row>
    <row r="1239" spans="2:4">
      <c r="B1239" s="121">
        <v>41900</v>
      </c>
      <c r="C1239" s="123">
        <v>2.63</v>
      </c>
      <c r="D1239" s="73">
        <f t="shared" si="18"/>
        <v>2.63E-2</v>
      </c>
    </row>
    <row r="1240" spans="2:4">
      <c r="B1240" s="121">
        <v>41901</v>
      </c>
      <c r="C1240" s="123">
        <v>2.59</v>
      </c>
      <c r="D1240" s="73">
        <f t="shared" si="18"/>
        <v>2.5899999999999999E-2</v>
      </c>
    </row>
    <row r="1241" spans="2:4">
      <c r="B1241" s="121">
        <v>41904</v>
      </c>
      <c r="C1241" s="123">
        <v>2.57</v>
      </c>
      <c r="D1241" s="73">
        <f t="shared" si="18"/>
        <v>2.5699999999999997E-2</v>
      </c>
    </row>
    <row r="1242" spans="2:4">
      <c r="B1242" s="121">
        <v>41905</v>
      </c>
      <c r="C1242" s="123">
        <v>2.54</v>
      </c>
      <c r="D1242" s="73">
        <f t="shared" si="18"/>
        <v>2.5399999999999999E-2</v>
      </c>
    </row>
    <row r="1243" spans="2:4">
      <c r="B1243" s="121">
        <v>41906</v>
      </c>
      <c r="C1243" s="123">
        <v>2.57</v>
      </c>
      <c r="D1243" s="73">
        <f t="shared" ref="D1243:D1306" si="19">IF( LEN( C1243 ) = 0, #N/A, IF( C1243 = "ND", D1242, C1243 / 100 ) )</f>
        <v>2.5699999999999997E-2</v>
      </c>
    </row>
    <row r="1244" spans="2:4">
      <c r="B1244" s="121">
        <v>41907</v>
      </c>
      <c r="C1244" s="123">
        <v>2.52</v>
      </c>
      <c r="D1244" s="73">
        <f t="shared" si="19"/>
        <v>2.52E-2</v>
      </c>
    </row>
    <row r="1245" spans="2:4">
      <c r="B1245" s="121">
        <v>41908</v>
      </c>
      <c r="C1245" s="123">
        <v>2.54</v>
      </c>
      <c r="D1245" s="73">
        <f t="shared" si="19"/>
        <v>2.5399999999999999E-2</v>
      </c>
    </row>
    <row r="1246" spans="2:4">
      <c r="B1246" s="121">
        <v>41911</v>
      </c>
      <c r="C1246" s="123">
        <v>2.5</v>
      </c>
      <c r="D1246" s="73">
        <f t="shared" si="19"/>
        <v>2.5000000000000001E-2</v>
      </c>
    </row>
    <row r="1247" spans="2:4">
      <c r="B1247" s="121">
        <v>41912</v>
      </c>
      <c r="C1247" s="123">
        <v>2.52</v>
      </c>
      <c r="D1247" s="73">
        <f t="shared" si="19"/>
        <v>2.52E-2</v>
      </c>
    </row>
    <row r="1248" spans="2:4">
      <c r="B1248" s="121">
        <v>41913</v>
      </c>
      <c r="C1248" s="123">
        <v>2.42</v>
      </c>
      <c r="D1248" s="73">
        <f t="shared" si="19"/>
        <v>2.4199999999999999E-2</v>
      </c>
    </row>
    <row r="1249" spans="2:4">
      <c r="B1249" s="121">
        <v>41914</v>
      </c>
      <c r="C1249" s="123">
        <v>2.44</v>
      </c>
      <c r="D1249" s="73">
        <f t="shared" si="19"/>
        <v>2.4399999999999998E-2</v>
      </c>
    </row>
    <row r="1250" spans="2:4">
      <c r="B1250" s="121">
        <v>41915</v>
      </c>
      <c r="C1250" s="123">
        <v>2.4500000000000002</v>
      </c>
      <c r="D1250" s="73">
        <f t="shared" si="19"/>
        <v>2.4500000000000001E-2</v>
      </c>
    </row>
    <row r="1251" spans="2:4">
      <c r="B1251" s="121">
        <v>41918</v>
      </c>
      <c r="C1251" s="123">
        <v>2.4300000000000002</v>
      </c>
      <c r="D1251" s="73">
        <f t="shared" si="19"/>
        <v>2.4300000000000002E-2</v>
      </c>
    </row>
    <row r="1252" spans="2:4">
      <c r="B1252" s="121">
        <v>41919</v>
      </c>
      <c r="C1252" s="123">
        <v>2.36</v>
      </c>
      <c r="D1252" s="73">
        <f t="shared" si="19"/>
        <v>2.3599999999999999E-2</v>
      </c>
    </row>
    <row r="1253" spans="2:4">
      <c r="B1253" s="121">
        <v>41920</v>
      </c>
      <c r="C1253" s="123">
        <v>2.35</v>
      </c>
      <c r="D1253" s="73">
        <f t="shared" si="19"/>
        <v>2.35E-2</v>
      </c>
    </row>
    <row r="1254" spans="2:4">
      <c r="B1254" s="121">
        <v>41921</v>
      </c>
      <c r="C1254" s="123">
        <v>2.34</v>
      </c>
      <c r="D1254" s="73">
        <f t="shared" si="19"/>
        <v>2.3399999999999997E-2</v>
      </c>
    </row>
    <row r="1255" spans="2:4">
      <c r="B1255" s="121">
        <v>41922</v>
      </c>
      <c r="C1255" s="123">
        <v>2.31</v>
      </c>
      <c r="D1255" s="73">
        <f t="shared" si="19"/>
        <v>2.3099999999999999E-2</v>
      </c>
    </row>
    <row r="1256" spans="2:4">
      <c r="B1256" s="121">
        <v>41925</v>
      </c>
      <c r="C1256" s="123" t="s">
        <v>325</v>
      </c>
      <c r="D1256" s="73">
        <f t="shared" si="19"/>
        <v>2.3099999999999999E-2</v>
      </c>
    </row>
    <row r="1257" spans="2:4">
      <c r="B1257" s="121">
        <v>41926</v>
      </c>
      <c r="C1257" s="123">
        <v>2.21</v>
      </c>
      <c r="D1257" s="73">
        <f t="shared" si="19"/>
        <v>2.2099999999999998E-2</v>
      </c>
    </row>
    <row r="1258" spans="2:4">
      <c r="B1258" s="121">
        <v>41927</v>
      </c>
      <c r="C1258" s="123">
        <v>2.15</v>
      </c>
      <c r="D1258" s="73">
        <f t="shared" si="19"/>
        <v>2.1499999999999998E-2</v>
      </c>
    </row>
    <row r="1259" spans="2:4">
      <c r="B1259" s="121">
        <v>41928</v>
      </c>
      <c r="C1259" s="123">
        <v>2.17</v>
      </c>
      <c r="D1259" s="73">
        <f t="shared" si="19"/>
        <v>2.1700000000000001E-2</v>
      </c>
    </row>
    <row r="1260" spans="2:4">
      <c r="B1260" s="121">
        <v>41929</v>
      </c>
      <c r="C1260" s="123">
        <v>2.2200000000000002</v>
      </c>
      <c r="D1260" s="73">
        <f t="shared" si="19"/>
        <v>2.2200000000000001E-2</v>
      </c>
    </row>
    <row r="1261" spans="2:4">
      <c r="B1261" s="121">
        <v>41932</v>
      </c>
      <c r="C1261" s="123">
        <v>2.2000000000000002</v>
      </c>
      <c r="D1261" s="73">
        <f t="shared" si="19"/>
        <v>2.2000000000000002E-2</v>
      </c>
    </row>
    <row r="1262" spans="2:4">
      <c r="B1262" s="121">
        <v>41933</v>
      </c>
      <c r="C1262" s="123">
        <v>2.23</v>
      </c>
      <c r="D1262" s="73">
        <f t="shared" si="19"/>
        <v>2.23E-2</v>
      </c>
    </row>
    <row r="1263" spans="2:4">
      <c r="B1263" s="121">
        <v>41934</v>
      </c>
      <c r="C1263" s="123">
        <v>2.25</v>
      </c>
      <c r="D1263" s="73">
        <f t="shared" si="19"/>
        <v>2.2499999999999999E-2</v>
      </c>
    </row>
    <row r="1264" spans="2:4">
      <c r="B1264" s="121">
        <v>41935</v>
      </c>
      <c r="C1264" s="123">
        <v>2.29</v>
      </c>
      <c r="D1264" s="73">
        <f t="shared" si="19"/>
        <v>2.29E-2</v>
      </c>
    </row>
    <row r="1265" spans="2:4">
      <c r="B1265" s="121">
        <v>41936</v>
      </c>
      <c r="C1265" s="123">
        <v>2.29</v>
      </c>
      <c r="D1265" s="73">
        <f t="shared" si="19"/>
        <v>2.29E-2</v>
      </c>
    </row>
    <row r="1266" spans="2:4">
      <c r="B1266" s="121">
        <v>41939</v>
      </c>
      <c r="C1266" s="123">
        <v>2.27</v>
      </c>
      <c r="D1266" s="73">
        <f t="shared" si="19"/>
        <v>2.2700000000000001E-2</v>
      </c>
    </row>
    <row r="1267" spans="2:4">
      <c r="B1267" s="121">
        <v>41940</v>
      </c>
      <c r="C1267" s="123">
        <v>2.2999999999999998</v>
      </c>
      <c r="D1267" s="73">
        <f t="shared" si="19"/>
        <v>2.3E-2</v>
      </c>
    </row>
    <row r="1268" spans="2:4">
      <c r="B1268" s="121">
        <v>41941</v>
      </c>
      <c r="C1268" s="123">
        <v>2.34</v>
      </c>
      <c r="D1268" s="73">
        <f t="shared" si="19"/>
        <v>2.3399999999999997E-2</v>
      </c>
    </row>
    <row r="1269" spans="2:4">
      <c r="B1269" s="121">
        <v>41942</v>
      </c>
      <c r="C1269" s="123">
        <v>2.3199999999999998</v>
      </c>
      <c r="D1269" s="73">
        <f t="shared" si="19"/>
        <v>2.3199999999999998E-2</v>
      </c>
    </row>
    <row r="1270" spans="2:4">
      <c r="B1270" s="121">
        <v>41943</v>
      </c>
      <c r="C1270" s="123">
        <v>2.35</v>
      </c>
      <c r="D1270" s="73">
        <f t="shared" si="19"/>
        <v>2.35E-2</v>
      </c>
    </row>
    <row r="1271" spans="2:4">
      <c r="B1271" s="121">
        <v>41946</v>
      </c>
      <c r="C1271" s="123">
        <v>2.36</v>
      </c>
      <c r="D1271" s="73">
        <f t="shared" si="19"/>
        <v>2.3599999999999999E-2</v>
      </c>
    </row>
    <row r="1272" spans="2:4">
      <c r="B1272" s="121">
        <v>41947</v>
      </c>
      <c r="C1272" s="123">
        <v>2.35</v>
      </c>
      <c r="D1272" s="73">
        <f t="shared" si="19"/>
        <v>2.35E-2</v>
      </c>
    </row>
    <row r="1273" spans="2:4">
      <c r="B1273" s="121">
        <v>41948</v>
      </c>
      <c r="C1273" s="123">
        <v>2.36</v>
      </c>
      <c r="D1273" s="73">
        <f t="shared" si="19"/>
        <v>2.3599999999999999E-2</v>
      </c>
    </row>
    <row r="1274" spans="2:4">
      <c r="B1274" s="121">
        <v>41949</v>
      </c>
      <c r="C1274" s="123">
        <v>2.39</v>
      </c>
      <c r="D1274" s="73">
        <f t="shared" si="19"/>
        <v>2.3900000000000001E-2</v>
      </c>
    </row>
    <row r="1275" spans="2:4">
      <c r="B1275" s="121">
        <v>41950</v>
      </c>
      <c r="C1275" s="123">
        <v>2.3199999999999998</v>
      </c>
      <c r="D1275" s="73">
        <f t="shared" si="19"/>
        <v>2.3199999999999998E-2</v>
      </c>
    </row>
    <row r="1276" spans="2:4">
      <c r="B1276" s="121">
        <v>41953</v>
      </c>
      <c r="C1276" s="123">
        <v>2.38</v>
      </c>
      <c r="D1276" s="73">
        <f t="shared" si="19"/>
        <v>2.3799999999999998E-2</v>
      </c>
    </row>
    <row r="1277" spans="2:4">
      <c r="B1277" s="121">
        <v>41954</v>
      </c>
      <c r="C1277" s="123" t="s">
        <v>325</v>
      </c>
      <c r="D1277" s="73">
        <f t="shared" si="19"/>
        <v>2.3799999999999998E-2</v>
      </c>
    </row>
    <row r="1278" spans="2:4">
      <c r="B1278" s="121">
        <v>41955</v>
      </c>
      <c r="C1278" s="123">
        <v>2.37</v>
      </c>
      <c r="D1278" s="73">
        <f t="shared" si="19"/>
        <v>2.3700000000000002E-2</v>
      </c>
    </row>
    <row r="1279" spans="2:4">
      <c r="B1279" s="121">
        <v>41956</v>
      </c>
      <c r="C1279" s="123">
        <v>2.35</v>
      </c>
      <c r="D1279" s="73">
        <f t="shared" si="19"/>
        <v>2.35E-2</v>
      </c>
    </row>
    <row r="1280" spans="2:4">
      <c r="B1280" s="121">
        <v>41957</v>
      </c>
      <c r="C1280" s="123">
        <v>2.3199999999999998</v>
      </c>
      <c r="D1280" s="73">
        <f t="shared" si="19"/>
        <v>2.3199999999999998E-2</v>
      </c>
    </row>
    <row r="1281" spans="2:4">
      <c r="B1281" s="121">
        <v>41960</v>
      </c>
      <c r="C1281" s="123">
        <v>2.34</v>
      </c>
      <c r="D1281" s="73">
        <f t="shared" si="19"/>
        <v>2.3399999999999997E-2</v>
      </c>
    </row>
    <row r="1282" spans="2:4">
      <c r="B1282" s="121">
        <v>41961</v>
      </c>
      <c r="C1282" s="123">
        <v>2.3199999999999998</v>
      </c>
      <c r="D1282" s="73">
        <f t="shared" si="19"/>
        <v>2.3199999999999998E-2</v>
      </c>
    </row>
    <row r="1283" spans="2:4">
      <c r="B1283" s="121">
        <v>41962</v>
      </c>
      <c r="C1283" s="123">
        <v>2.36</v>
      </c>
      <c r="D1283" s="73">
        <f t="shared" si="19"/>
        <v>2.3599999999999999E-2</v>
      </c>
    </row>
    <row r="1284" spans="2:4">
      <c r="B1284" s="121">
        <v>41963</v>
      </c>
      <c r="C1284" s="123">
        <v>2.34</v>
      </c>
      <c r="D1284" s="73">
        <f t="shared" si="19"/>
        <v>2.3399999999999997E-2</v>
      </c>
    </row>
    <row r="1285" spans="2:4">
      <c r="B1285" s="121">
        <v>41964</v>
      </c>
      <c r="C1285" s="123">
        <v>2.31</v>
      </c>
      <c r="D1285" s="73">
        <f t="shared" si="19"/>
        <v>2.3099999999999999E-2</v>
      </c>
    </row>
    <row r="1286" spans="2:4">
      <c r="B1286" s="121">
        <v>41967</v>
      </c>
      <c r="C1286" s="123">
        <v>2.2999999999999998</v>
      </c>
      <c r="D1286" s="73">
        <f t="shared" si="19"/>
        <v>2.3E-2</v>
      </c>
    </row>
    <row r="1287" spans="2:4">
      <c r="B1287" s="121">
        <v>41968</v>
      </c>
      <c r="C1287" s="123">
        <v>2.27</v>
      </c>
      <c r="D1287" s="73">
        <f t="shared" si="19"/>
        <v>2.2700000000000001E-2</v>
      </c>
    </row>
    <row r="1288" spans="2:4">
      <c r="B1288" s="121">
        <v>41969</v>
      </c>
      <c r="C1288" s="123">
        <v>2.2400000000000002</v>
      </c>
      <c r="D1288" s="73">
        <f t="shared" si="19"/>
        <v>2.2400000000000003E-2</v>
      </c>
    </row>
    <row r="1289" spans="2:4">
      <c r="B1289" s="121">
        <v>41970</v>
      </c>
      <c r="C1289" s="123" t="s">
        <v>325</v>
      </c>
      <c r="D1289" s="73">
        <f t="shared" si="19"/>
        <v>2.2400000000000003E-2</v>
      </c>
    </row>
    <row r="1290" spans="2:4">
      <c r="B1290" s="121">
        <v>41971</v>
      </c>
      <c r="C1290" s="123">
        <v>2.1800000000000002</v>
      </c>
      <c r="D1290" s="73">
        <f t="shared" si="19"/>
        <v>2.18E-2</v>
      </c>
    </row>
    <row r="1291" spans="2:4">
      <c r="B1291" s="121">
        <v>41974</v>
      </c>
      <c r="C1291" s="123">
        <v>2.2200000000000002</v>
      </c>
      <c r="D1291" s="73">
        <f t="shared" si="19"/>
        <v>2.2200000000000001E-2</v>
      </c>
    </row>
    <row r="1292" spans="2:4">
      <c r="B1292" s="121">
        <v>41975</v>
      </c>
      <c r="C1292" s="123">
        <v>2.2799999999999998</v>
      </c>
      <c r="D1292" s="73">
        <f t="shared" si="19"/>
        <v>2.2799999999999997E-2</v>
      </c>
    </row>
    <row r="1293" spans="2:4">
      <c r="B1293" s="121">
        <v>41976</v>
      </c>
      <c r="C1293" s="123">
        <v>2.29</v>
      </c>
      <c r="D1293" s="73">
        <f t="shared" si="19"/>
        <v>2.29E-2</v>
      </c>
    </row>
    <row r="1294" spans="2:4">
      <c r="B1294" s="121">
        <v>41977</v>
      </c>
      <c r="C1294" s="123">
        <v>2.25</v>
      </c>
      <c r="D1294" s="73">
        <f t="shared" si="19"/>
        <v>2.2499999999999999E-2</v>
      </c>
    </row>
    <row r="1295" spans="2:4">
      <c r="B1295" s="121">
        <v>41978</v>
      </c>
      <c r="C1295" s="123">
        <v>2.31</v>
      </c>
      <c r="D1295" s="73">
        <f t="shared" si="19"/>
        <v>2.3099999999999999E-2</v>
      </c>
    </row>
    <row r="1296" spans="2:4">
      <c r="B1296" s="121">
        <v>41981</v>
      </c>
      <c r="C1296" s="123">
        <v>2.2599999999999998</v>
      </c>
      <c r="D1296" s="73">
        <f t="shared" si="19"/>
        <v>2.2599999999999999E-2</v>
      </c>
    </row>
    <row r="1297" spans="2:4">
      <c r="B1297" s="121">
        <v>41982</v>
      </c>
      <c r="C1297" s="123">
        <v>2.2200000000000002</v>
      </c>
      <c r="D1297" s="73">
        <f t="shared" si="19"/>
        <v>2.2200000000000001E-2</v>
      </c>
    </row>
    <row r="1298" spans="2:4">
      <c r="B1298" s="121">
        <v>41983</v>
      </c>
      <c r="C1298" s="123">
        <v>2.1800000000000002</v>
      </c>
      <c r="D1298" s="73">
        <f t="shared" si="19"/>
        <v>2.18E-2</v>
      </c>
    </row>
    <row r="1299" spans="2:4">
      <c r="B1299" s="121">
        <v>41984</v>
      </c>
      <c r="C1299" s="123">
        <v>2.19</v>
      </c>
      <c r="D1299" s="73">
        <f t="shared" si="19"/>
        <v>2.1899999999999999E-2</v>
      </c>
    </row>
    <row r="1300" spans="2:4">
      <c r="B1300" s="121">
        <v>41985</v>
      </c>
      <c r="C1300" s="123">
        <v>2.1</v>
      </c>
      <c r="D1300" s="73">
        <f t="shared" si="19"/>
        <v>2.1000000000000001E-2</v>
      </c>
    </row>
    <row r="1301" spans="2:4">
      <c r="B1301" s="121">
        <v>41988</v>
      </c>
      <c r="C1301" s="123">
        <v>2.12</v>
      </c>
      <c r="D1301" s="73">
        <f t="shared" si="19"/>
        <v>2.12E-2</v>
      </c>
    </row>
    <row r="1302" spans="2:4">
      <c r="B1302" s="121">
        <v>41989</v>
      </c>
      <c r="C1302" s="123">
        <v>2.0699999999999998</v>
      </c>
      <c r="D1302" s="73">
        <f t="shared" si="19"/>
        <v>2.07E-2</v>
      </c>
    </row>
    <row r="1303" spans="2:4">
      <c r="B1303" s="121">
        <v>41990</v>
      </c>
      <c r="C1303" s="123">
        <v>2.14</v>
      </c>
      <c r="D1303" s="73">
        <f t="shared" si="19"/>
        <v>2.1400000000000002E-2</v>
      </c>
    </row>
    <row r="1304" spans="2:4">
      <c r="B1304" s="121">
        <v>41991</v>
      </c>
      <c r="C1304" s="123">
        <v>2.2200000000000002</v>
      </c>
      <c r="D1304" s="73">
        <f t="shared" si="19"/>
        <v>2.2200000000000001E-2</v>
      </c>
    </row>
    <row r="1305" spans="2:4">
      <c r="B1305" s="121">
        <v>41992</v>
      </c>
      <c r="C1305" s="123">
        <v>2.17</v>
      </c>
      <c r="D1305" s="73">
        <f t="shared" si="19"/>
        <v>2.1700000000000001E-2</v>
      </c>
    </row>
    <row r="1306" spans="2:4">
      <c r="B1306" s="121">
        <v>41995</v>
      </c>
      <c r="C1306" s="123">
        <v>2.17</v>
      </c>
      <c r="D1306" s="73">
        <f t="shared" si="19"/>
        <v>2.1700000000000001E-2</v>
      </c>
    </row>
    <row r="1307" spans="2:4">
      <c r="B1307" s="121">
        <v>41996</v>
      </c>
      <c r="C1307" s="123">
        <v>2.2599999999999998</v>
      </c>
      <c r="D1307" s="73">
        <f t="shared" ref="D1307:D1370" si="20">IF( LEN( C1307 ) = 0, #N/A, IF( C1307 = "ND", D1306, C1307 / 100 ) )</f>
        <v>2.2599999999999999E-2</v>
      </c>
    </row>
    <row r="1308" spans="2:4">
      <c r="B1308" s="121">
        <v>41997</v>
      </c>
      <c r="C1308" s="123">
        <v>2.27</v>
      </c>
      <c r="D1308" s="73">
        <f t="shared" si="20"/>
        <v>2.2700000000000001E-2</v>
      </c>
    </row>
    <row r="1309" spans="2:4">
      <c r="B1309" s="121">
        <v>41998</v>
      </c>
      <c r="C1309" s="123" t="s">
        <v>325</v>
      </c>
      <c r="D1309" s="73">
        <f t="shared" si="20"/>
        <v>2.2700000000000001E-2</v>
      </c>
    </row>
    <row r="1310" spans="2:4">
      <c r="B1310" s="121">
        <v>41999</v>
      </c>
      <c r="C1310" s="123">
        <v>2.25</v>
      </c>
      <c r="D1310" s="73">
        <f t="shared" si="20"/>
        <v>2.2499999999999999E-2</v>
      </c>
    </row>
    <row r="1311" spans="2:4">
      <c r="B1311" s="121">
        <v>42002</v>
      </c>
      <c r="C1311" s="123">
        <v>2.2200000000000002</v>
      </c>
      <c r="D1311" s="73">
        <f t="shared" si="20"/>
        <v>2.2200000000000001E-2</v>
      </c>
    </row>
    <row r="1312" spans="2:4">
      <c r="B1312" s="121">
        <v>42003</v>
      </c>
      <c r="C1312" s="123">
        <v>2.2000000000000002</v>
      </c>
      <c r="D1312" s="73">
        <f t="shared" si="20"/>
        <v>2.2000000000000002E-2</v>
      </c>
    </row>
    <row r="1313" spans="2:4">
      <c r="B1313" s="121">
        <v>42004</v>
      </c>
      <c r="C1313" s="123">
        <v>2.17</v>
      </c>
      <c r="D1313" s="73">
        <f t="shared" si="20"/>
        <v>2.1700000000000001E-2</v>
      </c>
    </row>
    <row r="1314" spans="2:4">
      <c r="B1314" s="121">
        <v>42005</v>
      </c>
      <c r="C1314" s="123" t="s">
        <v>325</v>
      </c>
      <c r="D1314" s="73">
        <f t="shared" si="20"/>
        <v>2.1700000000000001E-2</v>
      </c>
    </row>
    <row r="1315" spans="2:4">
      <c r="B1315" s="121">
        <v>42006</v>
      </c>
      <c r="C1315" s="123">
        <v>2.12</v>
      </c>
      <c r="D1315" s="73">
        <f t="shared" si="20"/>
        <v>2.12E-2</v>
      </c>
    </row>
    <row r="1316" spans="2:4">
      <c r="B1316" s="121">
        <v>42009</v>
      </c>
      <c r="C1316" s="123">
        <v>2.04</v>
      </c>
      <c r="D1316" s="73">
        <f t="shared" si="20"/>
        <v>2.0400000000000001E-2</v>
      </c>
    </row>
    <row r="1317" spans="2:4">
      <c r="B1317" s="121">
        <v>42010</v>
      </c>
      <c r="C1317" s="123">
        <v>1.97</v>
      </c>
      <c r="D1317" s="73">
        <f t="shared" si="20"/>
        <v>1.9699999999999999E-2</v>
      </c>
    </row>
    <row r="1318" spans="2:4">
      <c r="B1318" s="121">
        <v>42011</v>
      </c>
      <c r="C1318" s="123">
        <v>1.96</v>
      </c>
      <c r="D1318" s="73">
        <f t="shared" si="20"/>
        <v>1.9599999999999999E-2</v>
      </c>
    </row>
    <row r="1319" spans="2:4">
      <c r="B1319" s="121">
        <v>42012</v>
      </c>
      <c r="C1319" s="123">
        <v>2.0299999999999998</v>
      </c>
      <c r="D1319" s="73">
        <f t="shared" si="20"/>
        <v>2.0299999999999999E-2</v>
      </c>
    </row>
    <row r="1320" spans="2:4">
      <c r="B1320" s="121">
        <v>42013</v>
      </c>
      <c r="C1320" s="123">
        <v>1.98</v>
      </c>
      <c r="D1320" s="73">
        <f t="shared" si="20"/>
        <v>1.9799999999999998E-2</v>
      </c>
    </row>
    <row r="1321" spans="2:4">
      <c r="B1321" s="121">
        <v>42016</v>
      </c>
      <c r="C1321" s="123">
        <v>1.92</v>
      </c>
      <c r="D1321" s="73">
        <f t="shared" si="20"/>
        <v>1.9199999999999998E-2</v>
      </c>
    </row>
    <row r="1322" spans="2:4">
      <c r="B1322" s="121">
        <v>42017</v>
      </c>
      <c r="C1322" s="123">
        <v>1.91</v>
      </c>
      <c r="D1322" s="73">
        <f t="shared" si="20"/>
        <v>1.9099999999999999E-2</v>
      </c>
    </row>
    <row r="1323" spans="2:4">
      <c r="B1323" s="121">
        <v>42018</v>
      </c>
      <c r="C1323" s="123">
        <v>1.86</v>
      </c>
      <c r="D1323" s="73">
        <f t="shared" si="20"/>
        <v>1.8600000000000002E-2</v>
      </c>
    </row>
    <row r="1324" spans="2:4">
      <c r="B1324" s="121">
        <v>42019</v>
      </c>
      <c r="C1324" s="123">
        <v>1.77</v>
      </c>
      <c r="D1324" s="73">
        <f t="shared" si="20"/>
        <v>1.77E-2</v>
      </c>
    </row>
    <row r="1325" spans="2:4">
      <c r="B1325" s="121">
        <v>42020</v>
      </c>
      <c r="C1325" s="123">
        <v>1.83</v>
      </c>
      <c r="D1325" s="73">
        <f t="shared" si="20"/>
        <v>1.83E-2</v>
      </c>
    </row>
    <row r="1326" spans="2:4">
      <c r="B1326" s="121">
        <v>42023</v>
      </c>
      <c r="C1326" s="123" t="s">
        <v>325</v>
      </c>
      <c r="D1326" s="73">
        <f t="shared" si="20"/>
        <v>1.83E-2</v>
      </c>
    </row>
    <row r="1327" spans="2:4">
      <c r="B1327" s="121">
        <v>42024</v>
      </c>
      <c r="C1327" s="123">
        <v>1.82</v>
      </c>
      <c r="D1327" s="73">
        <f t="shared" si="20"/>
        <v>1.8200000000000001E-2</v>
      </c>
    </row>
    <row r="1328" spans="2:4">
      <c r="B1328" s="121">
        <v>42025</v>
      </c>
      <c r="C1328" s="123">
        <v>1.87</v>
      </c>
      <c r="D1328" s="73">
        <f t="shared" si="20"/>
        <v>1.8700000000000001E-2</v>
      </c>
    </row>
    <row r="1329" spans="2:4">
      <c r="B1329" s="121">
        <v>42026</v>
      </c>
      <c r="C1329" s="123">
        <v>1.9</v>
      </c>
      <c r="D1329" s="73">
        <f t="shared" si="20"/>
        <v>1.9E-2</v>
      </c>
    </row>
    <row r="1330" spans="2:4">
      <c r="B1330" s="121">
        <v>42027</v>
      </c>
      <c r="C1330" s="123">
        <v>1.81</v>
      </c>
      <c r="D1330" s="73">
        <f t="shared" si="20"/>
        <v>1.8100000000000002E-2</v>
      </c>
    </row>
    <row r="1331" spans="2:4">
      <c r="B1331" s="121">
        <v>42030</v>
      </c>
      <c r="C1331" s="123">
        <v>1.83</v>
      </c>
      <c r="D1331" s="73">
        <f t="shared" si="20"/>
        <v>1.83E-2</v>
      </c>
    </row>
    <row r="1332" spans="2:4">
      <c r="B1332" s="121">
        <v>42031</v>
      </c>
      <c r="C1332" s="123">
        <v>1.83</v>
      </c>
      <c r="D1332" s="73">
        <f t="shared" si="20"/>
        <v>1.83E-2</v>
      </c>
    </row>
    <row r="1333" spans="2:4">
      <c r="B1333" s="121">
        <v>42032</v>
      </c>
      <c r="C1333" s="123">
        <v>1.73</v>
      </c>
      <c r="D1333" s="73">
        <f t="shared" si="20"/>
        <v>1.7299999999999999E-2</v>
      </c>
    </row>
    <row r="1334" spans="2:4">
      <c r="B1334" s="121">
        <v>42033</v>
      </c>
      <c r="C1334" s="123">
        <v>1.77</v>
      </c>
      <c r="D1334" s="73">
        <f t="shared" si="20"/>
        <v>1.77E-2</v>
      </c>
    </row>
    <row r="1335" spans="2:4">
      <c r="B1335" s="121">
        <v>42034</v>
      </c>
      <c r="C1335" s="123">
        <v>1.68</v>
      </c>
      <c r="D1335" s="73">
        <f t="shared" si="20"/>
        <v>1.6799999999999999E-2</v>
      </c>
    </row>
    <row r="1336" spans="2:4">
      <c r="B1336" s="121">
        <v>42037</v>
      </c>
      <c r="C1336" s="123">
        <v>1.68</v>
      </c>
      <c r="D1336" s="73">
        <f t="shared" si="20"/>
        <v>1.6799999999999999E-2</v>
      </c>
    </row>
    <row r="1337" spans="2:4">
      <c r="B1337" s="121">
        <v>42038</v>
      </c>
      <c r="C1337" s="123">
        <v>1.79</v>
      </c>
      <c r="D1337" s="73">
        <f t="shared" si="20"/>
        <v>1.7899999999999999E-2</v>
      </c>
    </row>
    <row r="1338" spans="2:4">
      <c r="B1338" s="121">
        <v>42039</v>
      </c>
      <c r="C1338" s="123">
        <v>1.81</v>
      </c>
      <c r="D1338" s="73">
        <f t="shared" si="20"/>
        <v>1.8100000000000002E-2</v>
      </c>
    </row>
    <row r="1339" spans="2:4">
      <c r="B1339" s="121">
        <v>42040</v>
      </c>
      <c r="C1339" s="123">
        <v>1.83</v>
      </c>
      <c r="D1339" s="73">
        <f t="shared" si="20"/>
        <v>1.83E-2</v>
      </c>
    </row>
    <row r="1340" spans="2:4">
      <c r="B1340" s="121">
        <v>42041</v>
      </c>
      <c r="C1340" s="123">
        <v>1.95</v>
      </c>
      <c r="D1340" s="73">
        <f t="shared" si="20"/>
        <v>1.95E-2</v>
      </c>
    </row>
    <row r="1341" spans="2:4">
      <c r="B1341" s="121">
        <v>42044</v>
      </c>
      <c r="C1341" s="123">
        <v>1.96</v>
      </c>
      <c r="D1341" s="73">
        <f t="shared" si="20"/>
        <v>1.9599999999999999E-2</v>
      </c>
    </row>
    <row r="1342" spans="2:4">
      <c r="B1342" s="121">
        <v>42045</v>
      </c>
      <c r="C1342" s="123">
        <v>2.0099999999999998</v>
      </c>
      <c r="D1342" s="73">
        <f t="shared" si="20"/>
        <v>2.0099999999999996E-2</v>
      </c>
    </row>
    <row r="1343" spans="2:4">
      <c r="B1343" s="121">
        <v>42046</v>
      </c>
      <c r="C1343" s="123">
        <v>2</v>
      </c>
      <c r="D1343" s="73">
        <f t="shared" si="20"/>
        <v>0.02</v>
      </c>
    </row>
    <row r="1344" spans="2:4">
      <c r="B1344" s="121">
        <v>42047</v>
      </c>
      <c r="C1344" s="123">
        <v>1.99</v>
      </c>
      <c r="D1344" s="73">
        <f t="shared" si="20"/>
        <v>1.9900000000000001E-2</v>
      </c>
    </row>
    <row r="1345" spans="2:4">
      <c r="B1345" s="121">
        <v>42048</v>
      </c>
      <c r="C1345" s="123">
        <v>2.02</v>
      </c>
      <c r="D1345" s="73">
        <f t="shared" si="20"/>
        <v>2.0199999999999999E-2</v>
      </c>
    </row>
    <row r="1346" spans="2:4">
      <c r="B1346" s="121">
        <v>42051</v>
      </c>
      <c r="C1346" s="123" t="s">
        <v>325</v>
      </c>
      <c r="D1346" s="73">
        <f t="shared" si="20"/>
        <v>2.0199999999999999E-2</v>
      </c>
    </row>
    <row r="1347" spans="2:4">
      <c r="B1347" s="121">
        <v>42052</v>
      </c>
      <c r="C1347" s="123">
        <v>2.14</v>
      </c>
      <c r="D1347" s="73">
        <f t="shared" si="20"/>
        <v>2.1400000000000002E-2</v>
      </c>
    </row>
    <row r="1348" spans="2:4">
      <c r="B1348" s="121">
        <v>42053</v>
      </c>
      <c r="C1348" s="123">
        <v>2.0699999999999998</v>
      </c>
      <c r="D1348" s="73">
        <f t="shared" si="20"/>
        <v>2.07E-2</v>
      </c>
    </row>
    <row r="1349" spans="2:4">
      <c r="B1349" s="121">
        <v>42054</v>
      </c>
      <c r="C1349" s="123">
        <v>2.11</v>
      </c>
      <c r="D1349" s="73">
        <f t="shared" si="20"/>
        <v>2.1099999999999997E-2</v>
      </c>
    </row>
    <row r="1350" spans="2:4">
      <c r="B1350" s="121">
        <v>42055</v>
      </c>
      <c r="C1350" s="123">
        <v>2.13</v>
      </c>
      <c r="D1350" s="73">
        <f t="shared" si="20"/>
        <v>2.1299999999999999E-2</v>
      </c>
    </row>
    <row r="1351" spans="2:4">
      <c r="B1351" s="121">
        <v>42058</v>
      </c>
      <c r="C1351" s="123">
        <v>2.06</v>
      </c>
      <c r="D1351" s="73">
        <f t="shared" si="20"/>
        <v>2.06E-2</v>
      </c>
    </row>
    <row r="1352" spans="2:4">
      <c r="B1352" s="121">
        <v>42059</v>
      </c>
      <c r="C1352" s="123">
        <v>1.99</v>
      </c>
      <c r="D1352" s="73">
        <f t="shared" si="20"/>
        <v>1.9900000000000001E-2</v>
      </c>
    </row>
    <row r="1353" spans="2:4">
      <c r="B1353" s="121">
        <v>42060</v>
      </c>
      <c r="C1353" s="123">
        <v>1.96</v>
      </c>
      <c r="D1353" s="73">
        <f t="shared" si="20"/>
        <v>1.9599999999999999E-2</v>
      </c>
    </row>
    <row r="1354" spans="2:4">
      <c r="B1354" s="121">
        <v>42061</v>
      </c>
      <c r="C1354" s="123">
        <v>2.0299999999999998</v>
      </c>
      <c r="D1354" s="73">
        <f t="shared" si="20"/>
        <v>2.0299999999999999E-2</v>
      </c>
    </row>
    <row r="1355" spans="2:4">
      <c r="B1355" s="121">
        <v>42062</v>
      </c>
      <c r="C1355" s="123">
        <v>2</v>
      </c>
      <c r="D1355" s="73">
        <f t="shared" si="20"/>
        <v>0.02</v>
      </c>
    </row>
    <row r="1356" spans="2:4">
      <c r="B1356" s="121">
        <v>42065</v>
      </c>
      <c r="C1356" s="123">
        <v>2.08</v>
      </c>
      <c r="D1356" s="73">
        <f t="shared" si="20"/>
        <v>2.0799999999999999E-2</v>
      </c>
    </row>
    <row r="1357" spans="2:4">
      <c r="B1357" s="121">
        <v>42066</v>
      </c>
      <c r="C1357" s="123">
        <v>2.12</v>
      </c>
      <c r="D1357" s="73">
        <f t="shared" si="20"/>
        <v>2.12E-2</v>
      </c>
    </row>
    <row r="1358" spans="2:4">
      <c r="B1358" s="121">
        <v>42067</v>
      </c>
      <c r="C1358" s="123">
        <v>2.12</v>
      </c>
      <c r="D1358" s="73">
        <f t="shared" si="20"/>
        <v>2.12E-2</v>
      </c>
    </row>
    <row r="1359" spans="2:4">
      <c r="B1359" s="121">
        <v>42068</v>
      </c>
      <c r="C1359" s="123">
        <v>2.11</v>
      </c>
      <c r="D1359" s="73">
        <f t="shared" si="20"/>
        <v>2.1099999999999997E-2</v>
      </c>
    </row>
    <row r="1360" spans="2:4">
      <c r="B1360" s="121">
        <v>42069</v>
      </c>
      <c r="C1360" s="123">
        <v>2.2400000000000002</v>
      </c>
      <c r="D1360" s="73">
        <f t="shared" si="20"/>
        <v>2.2400000000000003E-2</v>
      </c>
    </row>
    <row r="1361" spans="2:4">
      <c r="B1361" s="121">
        <v>42072</v>
      </c>
      <c r="C1361" s="123">
        <v>2.2000000000000002</v>
      </c>
      <c r="D1361" s="73">
        <f t="shared" si="20"/>
        <v>2.2000000000000002E-2</v>
      </c>
    </row>
    <row r="1362" spans="2:4">
      <c r="B1362" s="121">
        <v>42073</v>
      </c>
      <c r="C1362" s="123">
        <v>2.14</v>
      </c>
      <c r="D1362" s="73">
        <f t="shared" si="20"/>
        <v>2.1400000000000002E-2</v>
      </c>
    </row>
    <row r="1363" spans="2:4">
      <c r="B1363" s="121">
        <v>42074</v>
      </c>
      <c r="C1363" s="123">
        <v>2.11</v>
      </c>
      <c r="D1363" s="73">
        <f t="shared" si="20"/>
        <v>2.1099999999999997E-2</v>
      </c>
    </row>
    <row r="1364" spans="2:4">
      <c r="B1364" s="121">
        <v>42075</v>
      </c>
      <c r="C1364" s="123">
        <v>2.1</v>
      </c>
      <c r="D1364" s="73">
        <f t="shared" si="20"/>
        <v>2.1000000000000001E-2</v>
      </c>
    </row>
    <row r="1365" spans="2:4">
      <c r="B1365" s="121">
        <v>42076</v>
      </c>
      <c r="C1365" s="123">
        <v>2.13</v>
      </c>
      <c r="D1365" s="73">
        <f t="shared" si="20"/>
        <v>2.1299999999999999E-2</v>
      </c>
    </row>
    <row r="1366" spans="2:4">
      <c r="B1366" s="121">
        <v>42079</v>
      </c>
      <c r="C1366" s="123">
        <v>2.1</v>
      </c>
      <c r="D1366" s="73">
        <f t="shared" si="20"/>
        <v>2.1000000000000001E-2</v>
      </c>
    </row>
    <row r="1367" spans="2:4">
      <c r="B1367" s="121">
        <v>42080</v>
      </c>
      <c r="C1367" s="123">
        <v>2.06</v>
      </c>
      <c r="D1367" s="73">
        <f t="shared" si="20"/>
        <v>2.06E-2</v>
      </c>
    </row>
    <row r="1368" spans="2:4">
      <c r="B1368" s="121">
        <v>42081</v>
      </c>
      <c r="C1368" s="123">
        <v>1.93</v>
      </c>
      <c r="D1368" s="73">
        <f t="shared" si="20"/>
        <v>1.9299999999999998E-2</v>
      </c>
    </row>
    <row r="1369" spans="2:4">
      <c r="B1369" s="121">
        <v>42082</v>
      </c>
      <c r="C1369" s="123">
        <v>1.98</v>
      </c>
      <c r="D1369" s="73">
        <f t="shared" si="20"/>
        <v>1.9799999999999998E-2</v>
      </c>
    </row>
    <row r="1370" spans="2:4">
      <c r="B1370" s="121">
        <v>42083</v>
      </c>
      <c r="C1370" s="123">
        <v>1.93</v>
      </c>
      <c r="D1370" s="73">
        <f t="shared" si="20"/>
        <v>1.9299999999999998E-2</v>
      </c>
    </row>
    <row r="1371" spans="2:4">
      <c r="B1371" s="121">
        <v>42086</v>
      </c>
      <c r="C1371" s="123">
        <v>1.92</v>
      </c>
      <c r="D1371" s="73">
        <f t="shared" ref="D1371:D1381" si="21">IF( LEN( C1371 ) = 0, #N/A, IF( C1371 = "ND", D1370, C1371 / 100 ) )</f>
        <v>1.9199999999999998E-2</v>
      </c>
    </row>
    <row r="1372" spans="2:4">
      <c r="B1372" s="121">
        <v>42087</v>
      </c>
      <c r="C1372" s="123">
        <v>1.88</v>
      </c>
      <c r="D1372" s="73">
        <f t="shared" si="21"/>
        <v>1.8799999999999997E-2</v>
      </c>
    </row>
    <row r="1373" spans="2:4">
      <c r="B1373" s="121">
        <v>42088</v>
      </c>
      <c r="C1373" s="123">
        <v>1.93</v>
      </c>
      <c r="D1373" s="73">
        <f t="shared" si="21"/>
        <v>1.9299999999999998E-2</v>
      </c>
    </row>
    <row r="1374" spans="2:4">
      <c r="B1374" s="121">
        <v>42089</v>
      </c>
      <c r="C1374" s="123">
        <v>2.0099999999999998</v>
      </c>
      <c r="D1374" s="73">
        <f t="shared" si="21"/>
        <v>2.0099999999999996E-2</v>
      </c>
    </row>
    <row r="1375" spans="2:4">
      <c r="B1375" s="121">
        <v>42090</v>
      </c>
      <c r="C1375" s="123">
        <v>1.95</v>
      </c>
      <c r="D1375" s="73">
        <f t="shared" si="21"/>
        <v>1.95E-2</v>
      </c>
    </row>
    <row r="1376" spans="2:4">
      <c r="B1376" s="121">
        <v>42093</v>
      </c>
      <c r="C1376" s="123">
        <v>1.96</v>
      </c>
      <c r="D1376" s="73">
        <f t="shared" si="21"/>
        <v>1.9599999999999999E-2</v>
      </c>
    </row>
    <row r="1377" spans="2:6">
      <c r="B1377" s="121">
        <v>42094</v>
      </c>
      <c r="C1377" s="123">
        <v>1.94</v>
      </c>
      <c r="D1377" s="73">
        <f t="shared" si="21"/>
        <v>1.9400000000000001E-2</v>
      </c>
    </row>
    <row r="1378" spans="2:6">
      <c r="B1378" s="121">
        <v>42095</v>
      </c>
      <c r="C1378" s="123">
        <v>1.87</v>
      </c>
      <c r="D1378" s="73">
        <f t="shared" si="21"/>
        <v>1.8700000000000001E-2</v>
      </c>
      <c r="E1378" s="6"/>
      <c r="F1378" s="6"/>
    </row>
    <row r="1379" spans="2:6">
      <c r="B1379" s="121">
        <v>42096</v>
      </c>
      <c r="C1379" s="123">
        <v>1.92</v>
      </c>
      <c r="D1379" s="73">
        <f t="shared" si="21"/>
        <v>1.9199999999999998E-2</v>
      </c>
      <c r="E1379" s="6"/>
      <c r="F1379" s="6"/>
    </row>
    <row r="1380" spans="2:6">
      <c r="B1380" s="121">
        <v>42097</v>
      </c>
      <c r="C1380" s="123">
        <v>1.85</v>
      </c>
      <c r="D1380" s="73">
        <f t="shared" si="21"/>
        <v>1.8500000000000003E-2</v>
      </c>
      <c r="E1380" s="6"/>
      <c r="F1380" s="6"/>
    </row>
    <row r="1381" spans="2:6">
      <c r="B1381" s="121">
        <v>42100</v>
      </c>
      <c r="C1381" s="123">
        <v>1.92</v>
      </c>
      <c r="D1381" s="73">
        <f t="shared" si="21"/>
        <v>1.9199999999999998E-2</v>
      </c>
      <c r="E1381" s="6"/>
      <c r="F1381" s="6"/>
    </row>
    <row r="1382" spans="2:6">
      <c r="B1382" s="121">
        <v>42101</v>
      </c>
      <c r="C1382" s="123">
        <v>1.89</v>
      </c>
      <c r="D1382" s="73">
        <f t="shared" ref="D1382:D1445" si="22">IF( LEN( C1382 ) = 0, #N/A, IF( C1382 = "ND", D1381, C1382 / 100 ) )</f>
        <v>1.89E-2</v>
      </c>
      <c r="E1382" s="6"/>
      <c r="F1382" s="6"/>
    </row>
    <row r="1383" spans="2:6">
      <c r="B1383" s="121">
        <v>42102</v>
      </c>
      <c r="C1383" s="123">
        <v>1.92</v>
      </c>
      <c r="D1383" s="73">
        <f t="shared" si="22"/>
        <v>1.9199999999999998E-2</v>
      </c>
      <c r="E1383" s="6"/>
      <c r="F1383" s="6"/>
    </row>
    <row r="1384" spans="2:6">
      <c r="B1384" s="121">
        <v>42103</v>
      </c>
      <c r="C1384" s="123">
        <v>1.97</v>
      </c>
      <c r="D1384" s="73">
        <f t="shared" si="22"/>
        <v>1.9699999999999999E-2</v>
      </c>
      <c r="E1384" s="6"/>
      <c r="F1384" s="6"/>
    </row>
    <row r="1385" spans="2:6">
      <c r="B1385" s="121">
        <v>42104</v>
      </c>
      <c r="C1385" s="123">
        <v>1.96</v>
      </c>
      <c r="D1385" s="73">
        <f t="shared" si="22"/>
        <v>1.9599999999999999E-2</v>
      </c>
      <c r="E1385" s="6"/>
      <c r="F1385" s="6"/>
    </row>
    <row r="1386" spans="2:6">
      <c r="B1386" s="121">
        <v>42107</v>
      </c>
      <c r="C1386" s="123">
        <v>1.94</v>
      </c>
      <c r="D1386" s="73">
        <f t="shared" si="22"/>
        <v>1.9400000000000001E-2</v>
      </c>
      <c r="E1386" s="6"/>
      <c r="F1386" s="6"/>
    </row>
    <row r="1387" spans="2:6">
      <c r="B1387" s="121">
        <v>42108</v>
      </c>
      <c r="C1387" s="123">
        <v>1.9</v>
      </c>
      <c r="D1387" s="73">
        <f t="shared" si="22"/>
        <v>1.9E-2</v>
      </c>
      <c r="E1387" s="6"/>
      <c r="F1387" s="6"/>
    </row>
    <row r="1388" spans="2:6">
      <c r="B1388" s="121">
        <v>42109</v>
      </c>
      <c r="C1388" s="123">
        <v>1.91</v>
      </c>
      <c r="D1388" s="73">
        <f t="shared" si="22"/>
        <v>1.9099999999999999E-2</v>
      </c>
    </row>
    <row r="1389" spans="2:6">
      <c r="B1389" s="121">
        <v>42110</v>
      </c>
      <c r="C1389" s="123">
        <v>1.9</v>
      </c>
      <c r="D1389" s="73">
        <f t="shared" si="22"/>
        <v>1.9E-2</v>
      </c>
    </row>
    <row r="1390" spans="2:6">
      <c r="B1390" s="121">
        <v>42111</v>
      </c>
      <c r="C1390" s="123">
        <v>1.87</v>
      </c>
      <c r="D1390" s="73">
        <f t="shared" si="22"/>
        <v>1.8700000000000001E-2</v>
      </c>
    </row>
    <row r="1391" spans="2:6">
      <c r="B1391" s="121">
        <v>42114</v>
      </c>
      <c r="C1391" s="123">
        <v>1.9</v>
      </c>
      <c r="D1391" s="73">
        <f t="shared" si="22"/>
        <v>1.9E-2</v>
      </c>
    </row>
    <row r="1392" spans="2:6">
      <c r="B1392" s="121">
        <v>42115</v>
      </c>
      <c r="C1392" s="123">
        <v>1.92</v>
      </c>
      <c r="D1392" s="73">
        <f t="shared" si="22"/>
        <v>1.9199999999999998E-2</v>
      </c>
    </row>
    <row r="1393" spans="2:4">
      <c r="B1393" s="121">
        <v>42116</v>
      </c>
      <c r="C1393" s="123">
        <v>1.99</v>
      </c>
      <c r="D1393" s="73">
        <f t="shared" si="22"/>
        <v>1.9900000000000001E-2</v>
      </c>
    </row>
    <row r="1394" spans="2:4">
      <c r="B1394" s="121">
        <v>42117</v>
      </c>
      <c r="C1394" s="123">
        <v>1.96</v>
      </c>
      <c r="D1394" s="73">
        <f t="shared" si="22"/>
        <v>1.9599999999999999E-2</v>
      </c>
    </row>
    <row r="1395" spans="2:4">
      <c r="B1395" s="121">
        <v>42118</v>
      </c>
      <c r="C1395" s="123">
        <v>1.93</v>
      </c>
      <c r="D1395" s="73">
        <f t="shared" si="22"/>
        <v>1.9299999999999998E-2</v>
      </c>
    </row>
    <row r="1396" spans="2:4">
      <c r="B1396" s="121">
        <v>42121</v>
      </c>
      <c r="C1396" s="123">
        <v>1.94</v>
      </c>
      <c r="D1396" s="73">
        <f t="shared" si="22"/>
        <v>1.9400000000000001E-2</v>
      </c>
    </row>
    <row r="1397" spans="2:4">
      <c r="B1397" s="121">
        <v>42122</v>
      </c>
      <c r="C1397" s="123">
        <v>2</v>
      </c>
      <c r="D1397" s="73">
        <f t="shared" si="22"/>
        <v>0.02</v>
      </c>
    </row>
    <row r="1398" spans="2:4">
      <c r="B1398" s="121">
        <v>42123</v>
      </c>
      <c r="C1398" s="123">
        <v>2.06</v>
      </c>
      <c r="D1398" s="73">
        <f t="shared" si="22"/>
        <v>2.06E-2</v>
      </c>
    </row>
    <row r="1399" spans="2:4">
      <c r="B1399" s="121">
        <v>42124</v>
      </c>
      <c r="C1399" s="123">
        <v>2.0499999999999998</v>
      </c>
      <c r="D1399" s="73">
        <f t="shared" si="22"/>
        <v>2.0499999999999997E-2</v>
      </c>
    </row>
    <row r="1400" spans="2:4">
      <c r="B1400" s="121">
        <v>42125</v>
      </c>
      <c r="C1400" s="123">
        <v>2.12</v>
      </c>
      <c r="D1400" s="73">
        <f t="shared" si="22"/>
        <v>2.12E-2</v>
      </c>
    </row>
    <row r="1401" spans="2:4">
      <c r="B1401" s="121">
        <v>42128</v>
      </c>
      <c r="C1401" s="123">
        <v>2.16</v>
      </c>
      <c r="D1401" s="73">
        <f t="shared" si="22"/>
        <v>2.1600000000000001E-2</v>
      </c>
    </row>
    <row r="1402" spans="2:4">
      <c r="B1402" s="121">
        <v>42129</v>
      </c>
      <c r="C1402" s="123">
        <v>2.19</v>
      </c>
      <c r="D1402" s="73">
        <f t="shared" si="22"/>
        <v>2.1899999999999999E-2</v>
      </c>
    </row>
    <row r="1403" spans="2:4">
      <c r="B1403" s="121">
        <v>42130</v>
      </c>
      <c r="C1403" s="123">
        <v>2.25</v>
      </c>
      <c r="D1403" s="73">
        <f t="shared" si="22"/>
        <v>2.2499999999999999E-2</v>
      </c>
    </row>
    <row r="1404" spans="2:4">
      <c r="B1404" s="121">
        <v>42131</v>
      </c>
      <c r="C1404" s="123">
        <v>2.1800000000000002</v>
      </c>
      <c r="D1404" s="73">
        <f t="shared" si="22"/>
        <v>2.18E-2</v>
      </c>
    </row>
    <row r="1405" spans="2:4">
      <c r="B1405" s="121">
        <v>42132</v>
      </c>
      <c r="C1405" s="123">
        <v>2.16</v>
      </c>
      <c r="D1405" s="73">
        <f t="shared" si="22"/>
        <v>2.1600000000000001E-2</v>
      </c>
    </row>
    <row r="1406" spans="2:4">
      <c r="B1406" s="121">
        <v>42135</v>
      </c>
      <c r="C1406" s="123">
        <v>2.2799999999999998</v>
      </c>
      <c r="D1406" s="73">
        <f t="shared" si="22"/>
        <v>2.2799999999999997E-2</v>
      </c>
    </row>
    <row r="1407" spans="2:4">
      <c r="B1407" s="121">
        <v>42136</v>
      </c>
      <c r="C1407" s="123">
        <v>2.2799999999999998</v>
      </c>
      <c r="D1407" s="73">
        <f t="shared" si="22"/>
        <v>2.2799999999999997E-2</v>
      </c>
    </row>
    <row r="1408" spans="2:4">
      <c r="B1408" s="121">
        <v>42137</v>
      </c>
      <c r="C1408" s="123">
        <v>2.27</v>
      </c>
      <c r="D1408" s="73">
        <f t="shared" si="22"/>
        <v>2.2700000000000001E-2</v>
      </c>
    </row>
    <row r="1409" spans="2:4">
      <c r="B1409" s="121">
        <v>42138</v>
      </c>
      <c r="C1409" s="123">
        <v>2.23</v>
      </c>
      <c r="D1409" s="73">
        <f t="shared" si="22"/>
        <v>2.23E-2</v>
      </c>
    </row>
    <row r="1410" spans="2:4">
      <c r="B1410" s="121">
        <v>42139</v>
      </c>
      <c r="C1410" s="123">
        <v>2.14</v>
      </c>
      <c r="D1410" s="73">
        <f t="shared" si="22"/>
        <v>2.1400000000000002E-2</v>
      </c>
    </row>
    <row r="1411" spans="2:4">
      <c r="B1411" s="121">
        <v>42142</v>
      </c>
      <c r="C1411" s="123">
        <v>2.23</v>
      </c>
      <c r="D1411" s="73">
        <f t="shared" si="22"/>
        <v>2.23E-2</v>
      </c>
    </row>
    <row r="1412" spans="2:4">
      <c r="B1412" s="121">
        <v>42143</v>
      </c>
      <c r="C1412" s="123">
        <v>2.27</v>
      </c>
      <c r="D1412" s="73">
        <f t="shared" si="22"/>
        <v>2.2700000000000001E-2</v>
      </c>
    </row>
    <row r="1413" spans="2:4">
      <c r="B1413" s="121">
        <v>42144</v>
      </c>
      <c r="C1413" s="123">
        <v>2.2599999999999998</v>
      </c>
      <c r="D1413" s="73">
        <f t="shared" si="22"/>
        <v>2.2599999999999999E-2</v>
      </c>
    </row>
    <row r="1414" spans="2:4">
      <c r="B1414" s="121">
        <v>42145</v>
      </c>
      <c r="C1414" s="123">
        <v>2.19</v>
      </c>
      <c r="D1414" s="73">
        <f t="shared" si="22"/>
        <v>2.1899999999999999E-2</v>
      </c>
    </row>
    <row r="1415" spans="2:4">
      <c r="B1415" s="121">
        <v>42146</v>
      </c>
      <c r="C1415" s="123">
        <v>2.21</v>
      </c>
      <c r="D1415" s="73">
        <f t="shared" si="22"/>
        <v>2.2099999999999998E-2</v>
      </c>
    </row>
    <row r="1416" spans="2:4">
      <c r="B1416" s="121">
        <v>42149</v>
      </c>
      <c r="C1416" s="123" t="s">
        <v>325</v>
      </c>
      <c r="D1416" s="73">
        <f t="shared" si="22"/>
        <v>2.2099999999999998E-2</v>
      </c>
    </row>
    <row r="1417" spans="2:4">
      <c r="B1417" s="121">
        <v>42150</v>
      </c>
      <c r="C1417" s="123">
        <v>2.14</v>
      </c>
      <c r="D1417" s="73">
        <f t="shared" si="22"/>
        <v>2.1400000000000002E-2</v>
      </c>
    </row>
    <row r="1418" spans="2:4">
      <c r="B1418" s="121">
        <v>42151</v>
      </c>
      <c r="C1418" s="123">
        <v>2.14</v>
      </c>
      <c r="D1418" s="73">
        <f t="shared" si="22"/>
        <v>2.1400000000000002E-2</v>
      </c>
    </row>
    <row r="1419" spans="2:4">
      <c r="B1419" s="121">
        <v>42152</v>
      </c>
      <c r="C1419" s="123">
        <v>2.13</v>
      </c>
      <c r="D1419" s="73">
        <f t="shared" si="22"/>
        <v>2.1299999999999999E-2</v>
      </c>
    </row>
    <row r="1420" spans="2:4">
      <c r="B1420" s="121">
        <v>42153</v>
      </c>
      <c r="C1420" s="123">
        <v>2.12</v>
      </c>
      <c r="D1420" s="73">
        <f t="shared" si="22"/>
        <v>2.12E-2</v>
      </c>
    </row>
    <row r="1421" spans="2:4">
      <c r="B1421" s="121">
        <v>42156</v>
      </c>
      <c r="C1421" s="123">
        <v>2.19</v>
      </c>
      <c r="D1421" s="73">
        <f t="shared" si="22"/>
        <v>2.1899999999999999E-2</v>
      </c>
    </row>
    <row r="1422" spans="2:4">
      <c r="B1422" s="121">
        <v>42157</v>
      </c>
      <c r="C1422" s="123">
        <v>2.27</v>
      </c>
      <c r="D1422" s="73">
        <f t="shared" si="22"/>
        <v>2.2700000000000001E-2</v>
      </c>
    </row>
    <row r="1423" spans="2:4">
      <c r="B1423" s="121">
        <v>42158</v>
      </c>
      <c r="C1423" s="123">
        <v>2.38</v>
      </c>
      <c r="D1423" s="73">
        <f t="shared" si="22"/>
        <v>2.3799999999999998E-2</v>
      </c>
    </row>
    <row r="1424" spans="2:4">
      <c r="B1424" s="121">
        <v>42159</v>
      </c>
      <c r="C1424" s="123">
        <v>2.31</v>
      </c>
      <c r="D1424" s="73">
        <f t="shared" si="22"/>
        <v>2.3099999999999999E-2</v>
      </c>
    </row>
    <row r="1425" spans="2:4">
      <c r="B1425" s="121">
        <v>42160</v>
      </c>
      <c r="C1425" s="123">
        <v>2.41</v>
      </c>
      <c r="D1425" s="73">
        <f t="shared" si="22"/>
        <v>2.41E-2</v>
      </c>
    </row>
    <row r="1426" spans="2:4">
      <c r="B1426" s="121">
        <v>42163</v>
      </c>
      <c r="C1426" s="123">
        <v>2.39</v>
      </c>
      <c r="D1426" s="73">
        <f t="shared" si="22"/>
        <v>2.3900000000000001E-2</v>
      </c>
    </row>
    <row r="1427" spans="2:4">
      <c r="B1427" s="121">
        <v>42164</v>
      </c>
      <c r="C1427" s="123">
        <v>2.42</v>
      </c>
      <c r="D1427" s="73">
        <f t="shared" si="22"/>
        <v>2.4199999999999999E-2</v>
      </c>
    </row>
    <row r="1428" spans="2:4">
      <c r="B1428" s="121">
        <v>42165</v>
      </c>
      <c r="C1428" s="123">
        <v>2.5</v>
      </c>
      <c r="D1428" s="73">
        <f t="shared" si="22"/>
        <v>2.5000000000000001E-2</v>
      </c>
    </row>
    <row r="1429" spans="2:4">
      <c r="B1429" s="121">
        <v>42166</v>
      </c>
      <c r="C1429" s="123">
        <v>2.39</v>
      </c>
      <c r="D1429" s="73">
        <f t="shared" si="22"/>
        <v>2.3900000000000001E-2</v>
      </c>
    </row>
    <row r="1430" spans="2:4">
      <c r="B1430" s="121">
        <v>42167</v>
      </c>
      <c r="C1430" s="123">
        <v>2.39</v>
      </c>
      <c r="D1430" s="73">
        <f t="shared" si="22"/>
        <v>2.3900000000000001E-2</v>
      </c>
    </row>
    <row r="1431" spans="2:4">
      <c r="B1431" s="121">
        <v>42170</v>
      </c>
      <c r="C1431" s="123">
        <v>2.36</v>
      </c>
      <c r="D1431" s="73">
        <f t="shared" si="22"/>
        <v>2.3599999999999999E-2</v>
      </c>
    </row>
    <row r="1432" spans="2:4">
      <c r="B1432" s="121">
        <v>42171</v>
      </c>
      <c r="C1432" s="123">
        <v>2.3199999999999998</v>
      </c>
      <c r="D1432" s="73">
        <f t="shared" si="22"/>
        <v>2.3199999999999998E-2</v>
      </c>
    </row>
    <row r="1433" spans="2:4">
      <c r="B1433" s="121">
        <v>42172</v>
      </c>
      <c r="C1433" s="123">
        <v>2.3199999999999998</v>
      </c>
      <c r="D1433" s="73">
        <f t="shared" si="22"/>
        <v>2.3199999999999998E-2</v>
      </c>
    </row>
    <row r="1434" spans="2:4">
      <c r="B1434" s="121">
        <v>42173</v>
      </c>
      <c r="C1434" s="123">
        <v>2.35</v>
      </c>
      <c r="D1434" s="73">
        <f t="shared" si="22"/>
        <v>2.35E-2</v>
      </c>
    </row>
    <row r="1435" spans="2:4">
      <c r="B1435" s="121">
        <v>42174</v>
      </c>
      <c r="C1435" s="123">
        <v>2.2599999999999998</v>
      </c>
      <c r="D1435" s="73">
        <f t="shared" si="22"/>
        <v>2.2599999999999999E-2</v>
      </c>
    </row>
    <row r="1436" spans="2:4">
      <c r="B1436" s="121">
        <v>42177</v>
      </c>
      <c r="C1436" s="123">
        <v>2.37</v>
      </c>
      <c r="D1436" s="73">
        <f t="shared" si="22"/>
        <v>2.3700000000000002E-2</v>
      </c>
    </row>
    <row r="1437" spans="2:4">
      <c r="B1437" s="121">
        <v>42178</v>
      </c>
      <c r="C1437" s="123">
        <v>2.42</v>
      </c>
      <c r="D1437" s="73">
        <f t="shared" si="22"/>
        <v>2.4199999999999999E-2</v>
      </c>
    </row>
    <row r="1438" spans="2:4">
      <c r="B1438" s="121">
        <v>42179</v>
      </c>
      <c r="C1438" s="123">
        <v>2.38</v>
      </c>
      <c r="D1438" s="73">
        <f t="shared" si="22"/>
        <v>2.3799999999999998E-2</v>
      </c>
    </row>
    <row r="1439" spans="2:4">
      <c r="B1439" s="121">
        <v>42180</v>
      </c>
      <c r="C1439" s="123">
        <v>2.4</v>
      </c>
      <c r="D1439" s="73">
        <f t="shared" si="22"/>
        <v>2.4E-2</v>
      </c>
    </row>
    <row r="1440" spans="2:4">
      <c r="B1440" s="121">
        <v>42181</v>
      </c>
      <c r="C1440" s="123">
        <v>2.4900000000000002</v>
      </c>
      <c r="D1440" s="73">
        <f t="shared" si="22"/>
        <v>2.4900000000000002E-2</v>
      </c>
    </row>
    <row r="1441" spans="2:4">
      <c r="B1441" s="121">
        <v>42184</v>
      </c>
      <c r="C1441" s="123">
        <v>2.33</v>
      </c>
      <c r="D1441" s="73">
        <f t="shared" si="22"/>
        <v>2.3300000000000001E-2</v>
      </c>
    </row>
    <row r="1442" spans="2:4">
      <c r="B1442" s="121">
        <v>42185</v>
      </c>
      <c r="C1442" s="123">
        <v>2.35</v>
      </c>
      <c r="D1442" s="73">
        <f t="shared" si="22"/>
        <v>2.35E-2</v>
      </c>
    </row>
    <row r="1443" spans="2:4">
      <c r="B1443" s="121">
        <v>42186</v>
      </c>
      <c r="C1443" s="123">
        <v>2.4300000000000002</v>
      </c>
      <c r="D1443" s="73">
        <f t="shared" si="22"/>
        <v>2.4300000000000002E-2</v>
      </c>
    </row>
    <row r="1444" spans="2:4">
      <c r="B1444" s="121">
        <v>42187</v>
      </c>
      <c r="C1444" s="123">
        <v>2.4</v>
      </c>
      <c r="D1444" s="73">
        <f t="shared" si="22"/>
        <v>2.4E-2</v>
      </c>
    </row>
    <row r="1445" spans="2:4">
      <c r="B1445" s="121">
        <v>42188</v>
      </c>
      <c r="C1445" s="123" t="s">
        <v>325</v>
      </c>
      <c r="D1445" s="73">
        <f t="shared" si="22"/>
        <v>2.4E-2</v>
      </c>
    </row>
    <row r="1446" spans="2:4">
      <c r="B1446" s="121">
        <v>42191</v>
      </c>
      <c r="C1446" s="123">
        <v>2.2999999999999998</v>
      </c>
      <c r="D1446" s="73">
        <f t="shared" ref="D1446:D1508" si="23">IF( LEN( C1446 ) = 0, #N/A, IF( C1446 = "ND", D1445, C1446 / 100 ) )</f>
        <v>2.3E-2</v>
      </c>
    </row>
    <row r="1447" spans="2:4">
      <c r="B1447" s="121">
        <v>42192</v>
      </c>
      <c r="C1447" s="123">
        <v>2.27</v>
      </c>
      <c r="D1447" s="73">
        <f t="shared" si="23"/>
        <v>2.2700000000000001E-2</v>
      </c>
    </row>
    <row r="1448" spans="2:4">
      <c r="B1448" s="121">
        <v>42193</v>
      </c>
      <c r="C1448" s="123">
        <v>2.2200000000000002</v>
      </c>
      <c r="D1448" s="73">
        <f t="shared" si="23"/>
        <v>2.2200000000000001E-2</v>
      </c>
    </row>
    <row r="1449" spans="2:4">
      <c r="B1449" s="121">
        <v>42194</v>
      </c>
      <c r="C1449" s="123">
        <v>2.3199999999999998</v>
      </c>
      <c r="D1449" s="73">
        <f t="shared" si="23"/>
        <v>2.3199999999999998E-2</v>
      </c>
    </row>
    <row r="1450" spans="2:4">
      <c r="B1450" s="121">
        <v>42195</v>
      </c>
      <c r="C1450" s="123">
        <v>2.42</v>
      </c>
      <c r="D1450" s="73">
        <f t="shared" si="23"/>
        <v>2.4199999999999999E-2</v>
      </c>
    </row>
    <row r="1451" spans="2:4">
      <c r="B1451" s="121">
        <v>42198</v>
      </c>
      <c r="C1451" s="123">
        <v>2.44</v>
      </c>
      <c r="D1451" s="73">
        <f t="shared" si="23"/>
        <v>2.4399999999999998E-2</v>
      </c>
    </row>
    <row r="1452" spans="2:4">
      <c r="B1452" s="121">
        <v>42199</v>
      </c>
      <c r="C1452" s="123">
        <v>2.41</v>
      </c>
      <c r="D1452" s="73">
        <f t="shared" si="23"/>
        <v>2.41E-2</v>
      </c>
    </row>
    <row r="1453" spans="2:4">
      <c r="B1453" s="121">
        <v>42200</v>
      </c>
      <c r="C1453" s="123">
        <v>2.36</v>
      </c>
      <c r="D1453" s="73">
        <f t="shared" si="23"/>
        <v>2.3599999999999999E-2</v>
      </c>
    </row>
    <row r="1454" spans="2:4">
      <c r="B1454" s="121">
        <v>42201</v>
      </c>
      <c r="C1454" s="123">
        <v>2.36</v>
      </c>
      <c r="D1454" s="73">
        <f t="shared" si="23"/>
        <v>2.3599999999999999E-2</v>
      </c>
    </row>
    <row r="1455" spans="2:4">
      <c r="B1455" s="121">
        <v>42202</v>
      </c>
      <c r="C1455" s="123">
        <v>2.34</v>
      </c>
      <c r="D1455" s="73">
        <f t="shared" si="23"/>
        <v>2.3399999999999997E-2</v>
      </c>
    </row>
    <row r="1456" spans="2:4">
      <c r="B1456" s="121">
        <v>42205</v>
      </c>
      <c r="C1456" s="123">
        <v>2.38</v>
      </c>
      <c r="D1456" s="73">
        <f t="shared" si="23"/>
        <v>2.3799999999999998E-2</v>
      </c>
    </row>
    <row r="1457" spans="2:4">
      <c r="B1457" s="121">
        <v>42206</v>
      </c>
      <c r="C1457" s="123">
        <v>2.35</v>
      </c>
      <c r="D1457" s="73">
        <f t="shared" si="23"/>
        <v>2.35E-2</v>
      </c>
    </row>
    <row r="1458" spans="2:4">
      <c r="B1458" s="121">
        <v>42207</v>
      </c>
      <c r="C1458" s="123">
        <v>2.33</v>
      </c>
      <c r="D1458" s="73">
        <f t="shared" si="23"/>
        <v>2.3300000000000001E-2</v>
      </c>
    </row>
    <row r="1459" spans="2:4">
      <c r="B1459" s="121">
        <v>42208</v>
      </c>
      <c r="C1459" s="123">
        <v>2.2799999999999998</v>
      </c>
      <c r="D1459" s="73">
        <f t="shared" si="23"/>
        <v>2.2799999999999997E-2</v>
      </c>
    </row>
    <row r="1460" spans="2:4">
      <c r="B1460" s="121">
        <v>42209</v>
      </c>
      <c r="C1460" s="123">
        <v>2.27</v>
      </c>
      <c r="D1460" s="73">
        <f t="shared" si="23"/>
        <v>2.2700000000000001E-2</v>
      </c>
    </row>
    <row r="1461" spans="2:4">
      <c r="B1461" s="121">
        <v>42212</v>
      </c>
      <c r="C1461" s="123">
        <v>2.23</v>
      </c>
      <c r="D1461" s="73">
        <f t="shared" si="23"/>
        <v>2.23E-2</v>
      </c>
    </row>
    <row r="1462" spans="2:4">
      <c r="B1462" s="121">
        <v>42213</v>
      </c>
      <c r="C1462" s="123">
        <v>2.2599999999999998</v>
      </c>
      <c r="D1462" s="73">
        <f t="shared" si="23"/>
        <v>2.2599999999999999E-2</v>
      </c>
    </row>
    <row r="1463" spans="2:4">
      <c r="B1463" s="121">
        <v>42214</v>
      </c>
      <c r="C1463" s="123">
        <v>2.29</v>
      </c>
      <c r="D1463" s="73">
        <f t="shared" si="23"/>
        <v>2.29E-2</v>
      </c>
    </row>
    <row r="1464" spans="2:4">
      <c r="B1464" s="121">
        <v>42215</v>
      </c>
      <c r="C1464" s="123">
        <v>2.2799999999999998</v>
      </c>
      <c r="D1464" s="73">
        <f t="shared" si="23"/>
        <v>2.2799999999999997E-2</v>
      </c>
    </row>
    <row r="1465" spans="2:4">
      <c r="B1465" s="121">
        <v>42216</v>
      </c>
      <c r="C1465" s="123">
        <v>2.2000000000000002</v>
      </c>
      <c r="D1465" s="73">
        <f t="shared" si="23"/>
        <v>2.2000000000000002E-2</v>
      </c>
    </row>
    <row r="1466" spans="2:4">
      <c r="B1466" s="121">
        <v>42219</v>
      </c>
      <c r="C1466" s="123">
        <v>2.16</v>
      </c>
      <c r="D1466" s="73">
        <f t="shared" si="23"/>
        <v>2.1600000000000001E-2</v>
      </c>
    </row>
    <row r="1467" spans="2:4">
      <c r="B1467" s="121">
        <v>42220</v>
      </c>
      <c r="C1467" s="123">
        <v>2.23</v>
      </c>
      <c r="D1467" s="73">
        <f t="shared" si="23"/>
        <v>2.23E-2</v>
      </c>
    </row>
    <row r="1468" spans="2:4">
      <c r="B1468" s="121">
        <v>42221</v>
      </c>
      <c r="C1468" s="123">
        <v>2.2799999999999998</v>
      </c>
      <c r="D1468" s="73">
        <f t="shared" si="23"/>
        <v>2.2799999999999997E-2</v>
      </c>
    </row>
    <row r="1469" spans="2:4">
      <c r="B1469" s="121">
        <v>42222</v>
      </c>
      <c r="C1469" s="123">
        <v>2.23</v>
      </c>
      <c r="D1469" s="73">
        <f t="shared" si="23"/>
        <v>2.23E-2</v>
      </c>
    </row>
    <row r="1470" spans="2:4">
      <c r="B1470" s="121">
        <v>42223</v>
      </c>
      <c r="C1470" s="123">
        <v>2.1800000000000002</v>
      </c>
      <c r="D1470" s="73">
        <f t="shared" si="23"/>
        <v>2.18E-2</v>
      </c>
    </row>
    <row r="1471" spans="2:4">
      <c r="B1471" s="121">
        <v>42226</v>
      </c>
      <c r="C1471" s="123">
        <v>2.2400000000000002</v>
      </c>
      <c r="D1471" s="73">
        <f t="shared" si="23"/>
        <v>2.2400000000000003E-2</v>
      </c>
    </row>
    <row r="1472" spans="2:4">
      <c r="B1472" s="121">
        <v>42227</v>
      </c>
      <c r="C1472" s="123">
        <v>2.15</v>
      </c>
      <c r="D1472" s="73">
        <f t="shared" si="23"/>
        <v>2.1499999999999998E-2</v>
      </c>
    </row>
    <row r="1473" spans="2:4">
      <c r="B1473" s="121">
        <v>42228</v>
      </c>
      <c r="C1473" s="123">
        <v>2.14</v>
      </c>
      <c r="D1473" s="73">
        <f t="shared" si="23"/>
        <v>2.1400000000000002E-2</v>
      </c>
    </row>
    <row r="1474" spans="2:4">
      <c r="B1474" s="121">
        <v>42229</v>
      </c>
      <c r="C1474" s="123">
        <v>2.19</v>
      </c>
      <c r="D1474" s="73">
        <f t="shared" si="23"/>
        <v>2.1899999999999999E-2</v>
      </c>
    </row>
    <row r="1475" spans="2:4">
      <c r="B1475" s="121">
        <v>42230</v>
      </c>
      <c r="C1475" s="123">
        <v>2.2000000000000002</v>
      </c>
      <c r="D1475" s="73">
        <f t="shared" si="23"/>
        <v>2.2000000000000002E-2</v>
      </c>
    </row>
    <row r="1476" spans="2:4">
      <c r="B1476" s="121">
        <v>42233</v>
      </c>
      <c r="C1476" s="123">
        <v>2.16</v>
      </c>
      <c r="D1476" s="73">
        <f t="shared" si="23"/>
        <v>2.1600000000000001E-2</v>
      </c>
    </row>
    <row r="1477" spans="2:4">
      <c r="B1477" s="121">
        <v>42234</v>
      </c>
      <c r="C1477" s="123">
        <v>2.2000000000000002</v>
      </c>
      <c r="D1477" s="73">
        <f t="shared" si="23"/>
        <v>2.2000000000000002E-2</v>
      </c>
    </row>
    <row r="1478" spans="2:4">
      <c r="B1478" s="121">
        <v>42235</v>
      </c>
      <c r="C1478" s="123">
        <v>2.12</v>
      </c>
      <c r="D1478" s="73">
        <f t="shared" si="23"/>
        <v>2.12E-2</v>
      </c>
    </row>
    <row r="1479" spans="2:4">
      <c r="B1479" s="121">
        <v>42236</v>
      </c>
      <c r="C1479" s="123">
        <v>2.09</v>
      </c>
      <c r="D1479" s="73">
        <f t="shared" si="23"/>
        <v>2.0899999999999998E-2</v>
      </c>
    </row>
    <row r="1480" spans="2:4">
      <c r="B1480" s="121">
        <v>42237</v>
      </c>
      <c r="C1480" s="123">
        <v>2.0499999999999998</v>
      </c>
      <c r="D1480" s="73">
        <f t="shared" si="23"/>
        <v>2.0499999999999997E-2</v>
      </c>
    </row>
    <row r="1481" spans="2:4">
      <c r="B1481" s="121">
        <v>42240</v>
      </c>
      <c r="C1481" s="123">
        <v>2.0099999999999998</v>
      </c>
      <c r="D1481" s="73">
        <f t="shared" si="23"/>
        <v>2.0099999999999996E-2</v>
      </c>
    </row>
    <row r="1482" spans="2:4">
      <c r="B1482" s="121">
        <v>42241</v>
      </c>
      <c r="C1482" s="123">
        <v>2.12</v>
      </c>
      <c r="D1482" s="73">
        <f t="shared" si="23"/>
        <v>2.12E-2</v>
      </c>
    </row>
    <row r="1483" spans="2:4">
      <c r="B1483" s="121">
        <v>42242</v>
      </c>
      <c r="C1483" s="123">
        <v>2.1800000000000002</v>
      </c>
      <c r="D1483" s="73">
        <f t="shared" si="23"/>
        <v>2.18E-2</v>
      </c>
    </row>
    <row r="1484" spans="2:4">
      <c r="B1484" s="121">
        <v>42243</v>
      </c>
      <c r="C1484" s="123">
        <v>2.1800000000000002</v>
      </c>
      <c r="D1484" s="73">
        <f t="shared" si="23"/>
        <v>2.18E-2</v>
      </c>
    </row>
    <row r="1485" spans="2:4">
      <c r="B1485" s="121">
        <v>42244</v>
      </c>
      <c r="C1485" s="123">
        <v>2.19</v>
      </c>
      <c r="D1485" s="73">
        <f t="shared" si="23"/>
        <v>2.1899999999999999E-2</v>
      </c>
    </row>
    <row r="1486" spans="2:4">
      <c r="B1486" s="121">
        <v>42247</v>
      </c>
      <c r="C1486" s="123">
        <v>2.21</v>
      </c>
      <c r="D1486" s="73">
        <f t="shared" si="23"/>
        <v>2.2099999999999998E-2</v>
      </c>
    </row>
    <row r="1487" spans="2:4">
      <c r="B1487" s="121">
        <v>42248</v>
      </c>
      <c r="C1487" s="123">
        <v>2.17</v>
      </c>
      <c r="D1487" s="73">
        <f t="shared" si="23"/>
        <v>2.1700000000000001E-2</v>
      </c>
    </row>
    <row r="1488" spans="2:4">
      <c r="B1488" s="121">
        <v>42249</v>
      </c>
      <c r="C1488" s="123">
        <v>2.2000000000000002</v>
      </c>
      <c r="D1488" s="73">
        <f t="shared" si="23"/>
        <v>2.2000000000000002E-2</v>
      </c>
    </row>
    <row r="1489" spans="2:4">
      <c r="B1489" s="121">
        <v>42250</v>
      </c>
      <c r="C1489" s="123">
        <v>2.1800000000000002</v>
      </c>
      <c r="D1489" s="73">
        <f t="shared" si="23"/>
        <v>2.18E-2</v>
      </c>
    </row>
    <row r="1490" spans="2:4">
      <c r="B1490" s="121">
        <v>42251</v>
      </c>
      <c r="C1490" s="123">
        <v>2.13</v>
      </c>
      <c r="D1490" s="73">
        <f t="shared" si="23"/>
        <v>2.1299999999999999E-2</v>
      </c>
    </row>
    <row r="1491" spans="2:4">
      <c r="B1491" s="121">
        <v>42254</v>
      </c>
      <c r="C1491" s="123" t="s">
        <v>325</v>
      </c>
      <c r="D1491" s="73">
        <f>IF( LEN( C1491 ) = 0, #N/A, IF( C1491 = "ND", D1490, C1491 / 100 ) )</f>
        <v>2.1299999999999999E-2</v>
      </c>
    </row>
    <row r="1492" spans="2:4">
      <c r="B1492" s="121">
        <v>42255</v>
      </c>
      <c r="C1492" s="123">
        <v>2.2000000000000002</v>
      </c>
      <c r="D1492" s="73">
        <f t="shared" si="23"/>
        <v>2.2000000000000002E-2</v>
      </c>
    </row>
    <row r="1493" spans="2:4">
      <c r="B1493" s="121">
        <v>42256</v>
      </c>
      <c r="C1493" s="123">
        <v>2.21</v>
      </c>
      <c r="D1493" s="73">
        <f t="shared" si="23"/>
        <v>2.2099999999999998E-2</v>
      </c>
    </row>
    <row r="1494" spans="2:4">
      <c r="B1494" s="121">
        <v>42257</v>
      </c>
      <c r="C1494" s="123">
        <v>2.23</v>
      </c>
      <c r="D1494" s="73">
        <f t="shared" si="23"/>
        <v>2.23E-2</v>
      </c>
    </row>
    <row r="1495" spans="2:4">
      <c r="B1495" s="121">
        <v>42258</v>
      </c>
      <c r="C1495" s="123">
        <v>2.2000000000000002</v>
      </c>
      <c r="D1495" s="73">
        <f t="shared" si="23"/>
        <v>2.2000000000000002E-2</v>
      </c>
    </row>
    <row r="1496" spans="2:4">
      <c r="B1496" s="121">
        <v>42261</v>
      </c>
      <c r="C1496" s="123">
        <v>2.1800000000000002</v>
      </c>
      <c r="D1496" s="73">
        <f t="shared" si="23"/>
        <v>2.18E-2</v>
      </c>
    </row>
    <row r="1497" spans="2:4">
      <c r="B1497" s="121">
        <v>42262</v>
      </c>
      <c r="C1497" s="123">
        <v>2.2799999999999998</v>
      </c>
      <c r="D1497" s="73">
        <f t="shared" si="23"/>
        <v>2.2799999999999997E-2</v>
      </c>
    </row>
    <row r="1498" spans="2:4">
      <c r="B1498" s="121">
        <v>42263</v>
      </c>
      <c r="C1498" s="123">
        <v>2.2999999999999998</v>
      </c>
      <c r="D1498" s="73">
        <f t="shared" si="23"/>
        <v>2.3E-2</v>
      </c>
    </row>
    <row r="1499" spans="2:4">
      <c r="B1499" s="121">
        <v>42264</v>
      </c>
      <c r="C1499" s="123">
        <v>2.21</v>
      </c>
      <c r="D1499" s="73">
        <f t="shared" si="23"/>
        <v>2.2099999999999998E-2</v>
      </c>
    </row>
    <row r="1500" spans="2:4">
      <c r="B1500" s="121">
        <v>42265</v>
      </c>
      <c r="C1500" s="123">
        <v>2.13</v>
      </c>
      <c r="D1500" s="73">
        <f t="shared" si="23"/>
        <v>2.1299999999999999E-2</v>
      </c>
    </row>
    <row r="1501" spans="2:4">
      <c r="B1501" s="121">
        <v>42268</v>
      </c>
      <c r="C1501" s="123">
        <v>2.2000000000000002</v>
      </c>
      <c r="D1501" s="73">
        <f t="shared" si="23"/>
        <v>2.2000000000000002E-2</v>
      </c>
    </row>
    <row r="1502" spans="2:4">
      <c r="B1502" s="121">
        <v>42269</v>
      </c>
      <c r="C1502" s="123">
        <v>2.14</v>
      </c>
      <c r="D1502" s="73">
        <f t="shared" si="23"/>
        <v>2.1400000000000002E-2</v>
      </c>
    </row>
    <row r="1503" spans="2:4">
      <c r="B1503" s="121">
        <v>42270</v>
      </c>
      <c r="C1503" s="123">
        <v>2.16</v>
      </c>
      <c r="D1503" s="73">
        <f t="shared" si="23"/>
        <v>2.1600000000000001E-2</v>
      </c>
    </row>
    <row r="1504" spans="2:4">
      <c r="B1504" s="121">
        <v>42271</v>
      </c>
      <c r="C1504" s="123">
        <v>2.13</v>
      </c>
      <c r="D1504" s="73">
        <f t="shared" si="23"/>
        <v>2.1299999999999999E-2</v>
      </c>
    </row>
    <row r="1505" spans="2:4">
      <c r="B1505" s="121">
        <v>42272</v>
      </c>
      <c r="C1505" s="123">
        <v>2.17</v>
      </c>
      <c r="D1505" s="73">
        <f t="shared" si="23"/>
        <v>2.1700000000000001E-2</v>
      </c>
    </row>
    <row r="1506" spans="2:4">
      <c r="B1506" s="121">
        <v>42275</v>
      </c>
      <c r="C1506" s="123">
        <v>2.1</v>
      </c>
      <c r="D1506" s="73">
        <f t="shared" si="23"/>
        <v>2.1000000000000001E-2</v>
      </c>
    </row>
    <row r="1507" spans="2:4">
      <c r="B1507" s="121">
        <v>42276</v>
      </c>
      <c r="C1507" s="123">
        <v>2.0499999999999998</v>
      </c>
      <c r="D1507" s="73">
        <f t="shared" si="23"/>
        <v>2.0499999999999997E-2</v>
      </c>
    </row>
    <row r="1508" spans="2:4">
      <c r="B1508" s="121">
        <v>42277</v>
      </c>
      <c r="C1508" s="123">
        <v>2.06</v>
      </c>
      <c r="D1508" s="73">
        <f t="shared" si="23"/>
        <v>2.06E-2</v>
      </c>
    </row>
    <row r="1509" spans="2:4">
      <c r="B1509" s="121">
        <v>42278</v>
      </c>
      <c r="C1509" s="123">
        <v>2.0499999999999998</v>
      </c>
      <c r="D1509" s="73">
        <f t="shared" ref="D1509:D1572" si="24">IF( LEN( C1509 ) = 0, #N/A, IF( C1509 = "ND", D1508, C1509 / 100 ) )</f>
        <v>2.0499999999999997E-2</v>
      </c>
    </row>
    <row r="1510" spans="2:4">
      <c r="B1510" s="121">
        <v>42279</v>
      </c>
      <c r="C1510" s="123">
        <v>1.99</v>
      </c>
      <c r="D1510" s="73">
        <f t="shared" si="24"/>
        <v>1.9900000000000001E-2</v>
      </c>
    </row>
    <row r="1511" spans="2:4">
      <c r="B1511" s="121">
        <v>42282</v>
      </c>
      <c r="C1511" s="123">
        <v>2.0699999999999998</v>
      </c>
      <c r="D1511" s="73">
        <f t="shared" si="24"/>
        <v>2.07E-2</v>
      </c>
    </row>
    <row r="1512" spans="2:4">
      <c r="B1512" s="121">
        <v>42283</v>
      </c>
      <c r="C1512" s="123">
        <v>2.0499999999999998</v>
      </c>
      <c r="D1512" s="73">
        <f t="shared" si="24"/>
        <v>2.0499999999999997E-2</v>
      </c>
    </row>
    <row r="1513" spans="2:4">
      <c r="B1513" s="121">
        <v>42284</v>
      </c>
      <c r="C1513" s="123">
        <v>2.08</v>
      </c>
      <c r="D1513" s="73">
        <f t="shared" si="24"/>
        <v>2.0799999999999999E-2</v>
      </c>
    </row>
    <row r="1514" spans="2:4">
      <c r="B1514" s="121">
        <v>42285</v>
      </c>
      <c r="C1514" s="123">
        <v>2.12</v>
      </c>
      <c r="D1514" s="73">
        <f t="shared" si="24"/>
        <v>2.12E-2</v>
      </c>
    </row>
    <row r="1515" spans="2:4">
      <c r="B1515" s="121">
        <v>42286</v>
      </c>
      <c r="C1515" s="123">
        <v>2.12</v>
      </c>
      <c r="D1515" s="73">
        <f t="shared" si="24"/>
        <v>2.12E-2</v>
      </c>
    </row>
    <row r="1516" spans="2:4">
      <c r="B1516" s="121">
        <v>42289</v>
      </c>
      <c r="C1516" s="123" t="s">
        <v>325</v>
      </c>
      <c r="D1516" s="73">
        <f t="shared" si="24"/>
        <v>2.12E-2</v>
      </c>
    </row>
    <row r="1517" spans="2:4">
      <c r="B1517" s="121">
        <v>42290</v>
      </c>
      <c r="C1517" s="123">
        <v>2.06</v>
      </c>
      <c r="D1517" s="73">
        <f t="shared" si="24"/>
        <v>2.06E-2</v>
      </c>
    </row>
    <row r="1518" spans="2:4">
      <c r="B1518" s="121">
        <v>42291</v>
      </c>
      <c r="C1518" s="123">
        <v>1.99</v>
      </c>
      <c r="D1518" s="73">
        <f t="shared" si="24"/>
        <v>1.9900000000000001E-2</v>
      </c>
    </row>
    <row r="1519" spans="2:4">
      <c r="B1519" s="121">
        <v>42292</v>
      </c>
      <c r="C1519" s="123">
        <v>2.04</v>
      </c>
      <c r="D1519" s="73">
        <f t="shared" si="24"/>
        <v>2.0400000000000001E-2</v>
      </c>
    </row>
    <row r="1520" spans="2:4">
      <c r="B1520" s="121">
        <v>42293</v>
      </c>
      <c r="C1520" s="123">
        <v>2.04</v>
      </c>
      <c r="D1520" s="73">
        <f t="shared" si="24"/>
        <v>2.0400000000000001E-2</v>
      </c>
    </row>
    <row r="1521" spans="2:4">
      <c r="B1521" s="121">
        <v>42296</v>
      </c>
      <c r="C1521" s="123">
        <v>2.04</v>
      </c>
      <c r="D1521" s="73">
        <f t="shared" si="24"/>
        <v>2.0400000000000001E-2</v>
      </c>
    </row>
    <row r="1522" spans="2:4">
      <c r="B1522" s="121">
        <v>42297</v>
      </c>
      <c r="C1522" s="123">
        <v>2.08</v>
      </c>
      <c r="D1522" s="73">
        <f t="shared" si="24"/>
        <v>2.0799999999999999E-2</v>
      </c>
    </row>
    <row r="1523" spans="2:4">
      <c r="B1523" s="121">
        <v>42298</v>
      </c>
      <c r="C1523" s="123">
        <v>2.04</v>
      </c>
      <c r="D1523" s="73">
        <f t="shared" si="24"/>
        <v>2.0400000000000001E-2</v>
      </c>
    </row>
    <row r="1524" spans="2:4">
      <c r="B1524" s="121">
        <v>42299</v>
      </c>
      <c r="C1524" s="123">
        <v>2.04</v>
      </c>
      <c r="D1524" s="73">
        <f t="shared" si="24"/>
        <v>2.0400000000000001E-2</v>
      </c>
    </row>
    <row r="1525" spans="2:4">
      <c r="B1525" s="121">
        <v>42300</v>
      </c>
      <c r="C1525" s="123">
        <v>2.09</v>
      </c>
      <c r="D1525" s="73">
        <f t="shared" si="24"/>
        <v>2.0899999999999998E-2</v>
      </c>
    </row>
    <row r="1526" spans="2:4">
      <c r="B1526" s="121">
        <v>42303</v>
      </c>
      <c r="C1526" s="123">
        <v>2.0699999999999998</v>
      </c>
      <c r="D1526" s="73">
        <f t="shared" si="24"/>
        <v>2.07E-2</v>
      </c>
    </row>
    <row r="1527" spans="2:4">
      <c r="B1527" s="121">
        <v>42304</v>
      </c>
      <c r="C1527" s="123">
        <v>2.0499999999999998</v>
      </c>
      <c r="D1527" s="73">
        <f t="shared" si="24"/>
        <v>2.0499999999999997E-2</v>
      </c>
    </row>
    <row r="1528" spans="2:4">
      <c r="B1528" s="121">
        <v>42305</v>
      </c>
      <c r="C1528" s="123">
        <v>2.1</v>
      </c>
      <c r="D1528" s="73">
        <f t="shared" si="24"/>
        <v>2.1000000000000001E-2</v>
      </c>
    </row>
    <row r="1529" spans="2:4">
      <c r="B1529" s="121">
        <v>42306</v>
      </c>
      <c r="C1529" s="123">
        <v>2.19</v>
      </c>
      <c r="D1529" s="73">
        <f t="shared" si="24"/>
        <v>2.1899999999999999E-2</v>
      </c>
    </row>
    <row r="1530" spans="2:4">
      <c r="B1530" s="121">
        <v>42307</v>
      </c>
      <c r="C1530" s="123">
        <v>2.16</v>
      </c>
      <c r="D1530" s="73">
        <f t="shared" si="24"/>
        <v>2.1600000000000001E-2</v>
      </c>
    </row>
    <row r="1531" spans="2:4">
      <c r="B1531" s="121">
        <v>42310</v>
      </c>
      <c r="C1531" s="123">
        <v>2.2000000000000002</v>
      </c>
      <c r="D1531" s="73">
        <f t="shared" si="24"/>
        <v>2.2000000000000002E-2</v>
      </c>
    </row>
    <row r="1532" spans="2:4">
      <c r="B1532" s="121">
        <v>42311</v>
      </c>
      <c r="C1532" s="123">
        <v>2.23</v>
      </c>
      <c r="D1532" s="73">
        <f t="shared" si="24"/>
        <v>2.23E-2</v>
      </c>
    </row>
    <row r="1533" spans="2:4">
      <c r="B1533" s="121">
        <v>42312</v>
      </c>
      <c r="C1533" s="123">
        <v>2.25</v>
      </c>
      <c r="D1533" s="73">
        <f t="shared" si="24"/>
        <v>2.2499999999999999E-2</v>
      </c>
    </row>
    <row r="1534" spans="2:4">
      <c r="B1534" s="121">
        <v>42313</v>
      </c>
      <c r="C1534" s="123">
        <v>2.2599999999999998</v>
      </c>
      <c r="D1534" s="73">
        <f t="shared" si="24"/>
        <v>2.2599999999999999E-2</v>
      </c>
    </row>
    <row r="1535" spans="2:4">
      <c r="B1535" s="121">
        <v>42314</v>
      </c>
      <c r="C1535" s="123">
        <v>2.34</v>
      </c>
      <c r="D1535" s="73">
        <f t="shared" si="24"/>
        <v>2.3399999999999997E-2</v>
      </c>
    </row>
    <row r="1536" spans="2:4">
      <c r="B1536" s="121">
        <v>42317</v>
      </c>
      <c r="C1536" s="123">
        <v>2.36</v>
      </c>
      <c r="D1536" s="73">
        <f t="shared" si="24"/>
        <v>2.3599999999999999E-2</v>
      </c>
    </row>
    <row r="1537" spans="2:4">
      <c r="B1537" s="121">
        <v>42318</v>
      </c>
      <c r="C1537" s="123">
        <v>2.3199999999999998</v>
      </c>
      <c r="D1537" s="73">
        <f t="shared" si="24"/>
        <v>2.3199999999999998E-2</v>
      </c>
    </row>
    <row r="1538" spans="2:4">
      <c r="B1538" s="121">
        <v>42319</v>
      </c>
      <c r="C1538" s="123" t="s">
        <v>325</v>
      </c>
      <c r="D1538" s="73">
        <f t="shared" si="24"/>
        <v>2.3199999999999998E-2</v>
      </c>
    </row>
    <row r="1539" spans="2:4">
      <c r="B1539" s="121">
        <v>42320</v>
      </c>
      <c r="C1539" s="123">
        <v>2.3199999999999998</v>
      </c>
      <c r="D1539" s="73">
        <f t="shared" si="24"/>
        <v>2.3199999999999998E-2</v>
      </c>
    </row>
    <row r="1540" spans="2:4">
      <c r="B1540" s="121">
        <v>42321</v>
      </c>
      <c r="C1540" s="123">
        <v>2.2799999999999998</v>
      </c>
      <c r="D1540" s="73">
        <f t="shared" si="24"/>
        <v>2.2799999999999997E-2</v>
      </c>
    </row>
    <row r="1541" spans="2:4">
      <c r="B1541" s="121">
        <v>42324</v>
      </c>
      <c r="C1541" s="123">
        <v>2.27</v>
      </c>
      <c r="D1541" s="73">
        <f t="shared" si="24"/>
        <v>2.2700000000000001E-2</v>
      </c>
    </row>
    <row r="1542" spans="2:4">
      <c r="B1542" s="121">
        <v>42325</v>
      </c>
      <c r="C1542" s="123">
        <v>2.25</v>
      </c>
      <c r="D1542" s="73">
        <f t="shared" si="24"/>
        <v>2.2499999999999999E-2</v>
      </c>
    </row>
    <row r="1543" spans="2:4">
      <c r="B1543" s="121">
        <v>42326</v>
      </c>
      <c r="C1543" s="123">
        <v>2.27</v>
      </c>
      <c r="D1543" s="73">
        <f t="shared" si="24"/>
        <v>2.2700000000000001E-2</v>
      </c>
    </row>
    <row r="1544" spans="2:4">
      <c r="B1544" s="121">
        <v>42327</v>
      </c>
      <c r="C1544" s="123">
        <v>2.2400000000000002</v>
      </c>
      <c r="D1544" s="73">
        <f t="shared" si="24"/>
        <v>2.2400000000000003E-2</v>
      </c>
    </row>
    <row r="1545" spans="2:4">
      <c r="B1545" s="121">
        <v>42328</v>
      </c>
      <c r="C1545" s="123">
        <v>2.2599999999999998</v>
      </c>
      <c r="D1545" s="73">
        <f t="shared" si="24"/>
        <v>2.2599999999999999E-2</v>
      </c>
    </row>
    <row r="1546" spans="2:4">
      <c r="B1546" s="121">
        <v>42331</v>
      </c>
      <c r="C1546" s="123">
        <v>2.25</v>
      </c>
      <c r="D1546" s="73">
        <f t="shared" si="24"/>
        <v>2.2499999999999999E-2</v>
      </c>
    </row>
    <row r="1547" spans="2:4">
      <c r="B1547" s="121">
        <v>42332</v>
      </c>
      <c r="C1547" s="123">
        <v>2.2400000000000002</v>
      </c>
      <c r="D1547" s="73">
        <f t="shared" si="24"/>
        <v>2.2400000000000003E-2</v>
      </c>
    </row>
    <row r="1548" spans="2:4">
      <c r="B1548" s="121">
        <v>42333</v>
      </c>
      <c r="C1548" s="123">
        <v>2.23</v>
      </c>
      <c r="D1548" s="73">
        <f t="shared" si="24"/>
        <v>2.23E-2</v>
      </c>
    </row>
    <row r="1549" spans="2:4">
      <c r="B1549" s="121">
        <v>42334</v>
      </c>
      <c r="C1549" s="123" t="s">
        <v>325</v>
      </c>
      <c r="D1549" s="73">
        <f t="shared" si="24"/>
        <v>2.23E-2</v>
      </c>
    </row>
    <row r="1550" spans="2:4">
      <c r="B1550" s="121">
        <v>42335</v>
      </c>
      <c r="C1550" s="123">
        <v>2.2200000000000002</v>
      </c>
      <c r="D1550" s="73">
        <f t="shared" si="24"/>
        <v>2.2200000000000001E-2</v>
      </c>
    </row>
    <row r="1551" spans="2:4">
      <c r="B1551" s="121">
        <v>42338</v>
      </c>
      <c r="C1551" s="123">
        <v>2.21</v>
      </c>
      <c r="D1551" s="73">
        <f t="shared" si="24"/>
        <v>2.2099999999999998E-2</v>
      </c>
    </row>
    <row r="1552" spans="2:4">
      <c r="B1552" s="121">
        <v>42339</v>
      </c>
      <c r="C1552" s="123">
        <v>2.15</v>
      </c>
      <c r="D1552" s="73">
        <f t="shared" si="24"/>
        <v>2.1499999999999998E-2</v>
      </c>
    </row>
    <row r="1553" spans="2:4">
      <c r="B1553" s="121">
        <v>42340</v>
      </c>
      <c r="C1553" s="123">
        <v>2.1800000000000002</v>
      </c>
      <c r="D1553" s="73">
        <f t="shared" si="24"/>
        <v>2.18E-2</v>
      </c>
    </row>
    <row r="1554" spans="2:4">
      <c r="B1554" s="121">
        <v>42341</v>
      </c>
      <c r="C1554" s="123">
        <v>2.33</v>
      </c>
      <c r="D1554" s="73">
        <f t="shared" si="24"/>
        <v>2.3300000000000001E-2</v>
      </c>
    </row>
    <row r="1555" spans="2:4">
      <c r="B1555" s="121">
        <v>42342</v>
      </c>
      <c r="C1555" s="123">
        <v>2.2799999999999998</v>
      </c>
      <c r="D1555" s="73">
        <f t="shared" si="24"/>
        <v>2.2799999999999997E-2</v>
      </c>
    </row>
    <row r="1556" spans="2:4">
      <c r="B1556" s="121">
        <v>42345</v>
      </c>
      <c r="C1556" s="123">
        <v>2.23</v>
      </c>
      <c r="D1556" s="73">
        <f t="shared" si="24"/>
        <v>2.23E-2</v>
      </c>
    </row>
    <row r="1557" spans="2:4">
      <c r="B1557" s="121">
        <v>42346</v>
      </c>
      <c r="C1557" s="123">
        <v>2.2400000000000002</v>
      </c>
      <c r="D1557" s="73">
        <f t="shared" si="24"/>
        <v>2.2400000000000003E-2</v>
      </c>
    </row>
    <row r="1558" spans="2:4">
      <c r="B1558" s="121">
        <v>42347</v>
      </c>
      <c r="C1558" s="123">
        <v>2.2200000000000002</v>
      </c>
      <c r="D1558" s="73">
        <f t="shared" si="24"/>
        <v>2.2200000000000001E-2</v>
      </c>
    </row>
    <row r="1559" spans="2:4">
      <c r="B1559" s="121">
        <v>42348</v>
      </c>
      <c r="C1559" s="123">
        <v>2.2400000000000002</v>
      </c>
      <c r="D1559" s="73">
        <f t="shared" si="24"/>
        <v>2.2400000000000003E-2</v>
      </c>
    </row>
    <row r="1560" spans="2:4">
      <c r="B1560" s="121">
        <v>42349</v>
      </c>
      <c r="C1560" s="123">
        <v>2.13</v>
      </c>
      <c r="D1560" s="73">
        <f t="shared" si="24"/>
        <v>2.1299999999999999E-2</v>
      </c>
    </row>
    <row r="1561" spans="2:4">
      <c r="B1561" s="121">
        <v>42352</v>
      </c>
      <c r="C1561" s="123">
        <v>2.23</v>
      </c>
      <c r="D1561" s="73">
        <f t="shared" si="24"/>
        <v>2.23E-2</v>
      </c>
    </row>
    <row r="1562" spans="2:4">
      <c r="B1562" s="121">
        <v>42353</v>
      </c>
      <c r="C1562" s="123">
        <v>2.2799999999999998</v>
      </c>
      <c r="D1562" s="73">
        <f t="shared" si="24"/>
        <v>2.2799999999999997E-2</v>
      </c>
    </row>
    <row r="1563" spans="2:4">
      <c r="B1563" s="121">
        <v>42354</v>
      </c>
      <c r="C1563" s="123">
        <v>2.2999999999999998</v>
      </c>
      <c r="D1563" s="73">
        <f t="shared" si="24"/>
        <v>2.3E-2</v>
      </c>
    </row>
    <row r="1564" spans="2:4">
      <c r="B1564" s="121">
        <v>42355</v>
      </c>
      <c r="C1564" s="123">
        <v>2.2400000000000002</v>
      </c>
      <c r="D1564" s="73">
        <f t="shared" si="24"/>
        <v>2.2400000000000003E-2</v>
      </c>
    </row>
    <row r="1565" spans="2:4">
      <c r="B1565" s="121">
        <v>42356</v>
      </c>
      <c r="C1565" s="123">
        <v>2.19</v>
      </c>
      <c r="D1565" s="73">
        <f t="shared" si="24"/>
        <v>2.1899999999999999E-2</v>
      </c>
    </row>
    <row r="1566" spans="2:4">
      <c r="B1566" s="121">
        <v>42359</v>
      </c>
      <c r="C1566" s="123">
        <v>2.2000000000000002</v>
      </c>
      <c r="D1566" s="73">
        <f t="shared" si="24"/>
        <v>2.2000000000000002E-2</v>
      </c>
    </row>
    <row r="1567" spans="2:4">
      <c r="B1567" s="121">
        <v>42360</v>
      </c>
      <c r="C1567" s="123">
        <v>2.2400000000000002</v>
      </c>
      <c r="D1567" s="73">
        <f t="shared" si="24"/>
        <v>2.2400000000000003E-2</v>
      </c>
    </row>
    <row r="1568" spans="2:4">
      <c r="B1568" s="121">
        <v>42361</v>
      </c>
      <c r="C1568" s="123">
        <v>2.27</v>
      </c>
      <c r="D1568" s="73">
        <f t="shared" si="24"/>
        <v>2.2700000000000001E-2</v>
      </c>
    </row>
    <row r="1569" spans="2:4">
      <c r="B1569" s="121">
        <v>42362</v>
      </c>
      <c r="C1569" s="123">
        <v>2.25</v>
      </c>
      <c r="D1569" s="73">
        <f t="shared" si="24"/>
        <v>2.2499999999999999E-2</v>
      </c>
    </row>
    <row r="1570" spans="2:4">
      <c r="B1570" s="121">
        <v>42363</v>
      </c>
      <c r="C1570" s="123" t="s">
        <v>325</v>
      </c>
      <c r="D1570" s="73">
        <f t="shared" si="24"/>
        <v>2.2499999999999999E-2</v>
      </c>
    </row>
    <row r="1571" spans="2:4">
      <c r="B1571" s="121">
        <v>42366</v>
      </c>
      <c r="C1571" s="123">
        <v>2.2400000000000002</v>
      </c>
      <c r="D1571" s="73">
        <f t="shared" si="24"/>
        <v>2.2400000000000003E-2</v>
      </c>
    </row>
    <row r="1572" spans="2:4">
      <c r="B1572" s="121">
        <v>42367</v>
      </c>
      <c r="C1572" s="123">
        <v>2.3199999999999998</v>
      </c>
      <c r="D1572" s="73">
        <f t="shared" si="24"/>
        <v>2.3199999999999998E-2</v>
      </c>
    </row>
    <row r="1573" spans="2:4">
      <c r="B1573" s="121">
        <v>42368</v>
      </c>
      <c r="C1573" s="123">
        <v>2.31</v>
      </c>
      <c r="D1573" s="73">
        <f t="shared" ref="D1573:D1577" si="25">IF( LEN( C1573 ) = 0, #N/A, IF( C1573 = "ND", D1572, C1573 / 100 ) )</f>
        <v>2.3099999999999999E-2</v>
      </c>
    </row>
    <row r="1574" spans="2:4">
      <c r="B1574" s="121">
        <v>42369</v>
      </c>
      <c r="C1574" s="123">
        <v>2.27</v>
      </c>
      <c r="D1574" s="73">
        <f t="shared" si="25"/>
        <v>2.2700000000000001E-2</v>
      </c>
    </row>
    <row r="1575" spans="2:4">
      <c r="B1575" s="121">
        <v>42370</v>
      </c>
      <c r="C1575" s="123" t="s">
        <v>325</v>
      </c>
      <c r="D1575" s="73">
        <f t="shared" si="25"/>
        <v>2.2700000000000001E-2</v>
      </c>
    </row>
    <row r="1576" spans="2:4">
      <c r="B1576" s="121">
        <v>42373</v>
      </c>
      <c r="C1576" s="123">
        <v>2.2400000000000002</v>
      </c>
      <c r="D1576" s="73">
        <f t="shared" si="25"/>
        <v>2.2400000000000003E-2</v>
      </c>
    </row>
    <row r="1577" spans="2:4">
      <c r="B1577" s="121">
        <v>42374</v>
      </c>
      <c r="C1577" s="123">
        <v>2.25</v>
      </c>
      <c r="D1577" s="73">
        <f t="shared" si="25"/>
        <v>2.2499999999999999E-2</v>
      </c>
    </row>
    <row r="1578" spans="2:4">
      <c r="B1578" s="121">
        <v>42375</v>
      </c>
      <c r="C1578" s="123">
        <v>2.1800000000000002</v>
      </c>
      <c r="D1578" s="73">
        <f t="shared" ref="D1578:D1622" si="26">IF( LEN( C1578 ) = 0, #N/A, IF( C1578 = "ND", D1577, C1578 / 100 ) )</f>
        <v>2.18E-2</v>
      </c>
    </row>
    <row r="1579" spans="2:4">
      <c r="B1579" s="121">
        <v>42376</v>
      </c>
      <c r="C1579" s="123">
        <v>2.16</v>
      </c>
      <c r="D1579" s="73">
        <f t="shared" si="26"/>
        <v>2.1600000000000001E-2</v>
      </c>
    </row>
    <row r="1580" spans="2:4">
      <c r="B1580" s="121">
        <v>42377</v>
      </c>
      <c r="C1580" s="123">
        <v>2.13</v>
      </c>
      <c r="D1580" s="73">
        <f t="shared" si="26"/>
        <v>2.1299999999999999E-2</v>
      </c>
    </row>
    <row r="1581" spans="2:4">
      <c r="B1581" s="121">
        <v>42380</v>
      </c>
      <c r="C1581" s="123">
        <v>2.17</v>
      </c>
      <c r="D1581" s="73">
        <f t="shared" si="26"/>
        <v>2.1700000000000001E-2</v>
      </c>
    </row>
    <row r="1582" spans="2:4">
      <c r="B1582" s="121">
        <v>42381</v>
      </c>
      <c r="C1582" s="123">
        <v>2.12</v>
      </c>
      <c r="D1582" s="73">
        <f t="shared" si="26"/>
        <v>2.12E-2</v>
      </c>
    </row>
    <row r="1583" spans="2:4">
      <c r="B1583" s="121">
        <v>42382</v>
      </c>
      <c r="C1583" s="123">
        <v>2.08</v>
      </c>
      <c r="D1583" s="73">
        <f t="shared" si="26"/>
        <v>2.0799999999999999E-2</v>
      </c>
    </row>
    <row r="1584" spans="2:4">
      <c r="B1584" s="121">
        <v>42383</v>
      </c>
      <c r="C1584" s="123">
        <v>2.1</v>
      </c>
      <c r="D1584" s="73">
        <f t="shared" si="26"/>
        <v>2.1000000000000001E-2</v>
      </c>
    </row>
    <row r="1585" spans="2:4">
      <c r="B1585" s="121">
        <v>42384</v>
      </c>
      <c r="C1585" s="123">
        <v>2.0299999999999998</v>
      </c>
      <c r="D1585" s="73">
        <f t="shared" si="26"/>
        <v>2.0299999999999999E-2</v>
      </c>
    </row>
    <row r="1586" spans="2:4">
      <c r="B1586" s="121">
        <v>42387</v>
      </c>
      <c r="C1586" s="123" t="s">
        <v>325</v>
      </c>
      <c r="D1586" s="73">
        <f t="shared" si="26"/>
        <v>2.0299999999999999E-2</v>
      </c>
    </row>
    <row r="1587" spans="2:4">
      <c r="B1587" s="121">
        <v>42388</v>
      </c>
      <c r="C1587" s="123">
        <v>2.06</v>
      </c>
      <c r="D1587" s="73">
        <f t="shared" si="26"/>
        <v>2.06E-2</v>
      </c>
    </row>
    <row r="1588" spans="2:4">
      <c r="B1588" s="121">
        <v>42389</v>
      </c>
      <c r="C1588" s="123">
        <v>2.0099999999999998</v>
      </c>
      <c r="D1588" s="73">
        <f t="shared" si="26"/>
        <v>2.0099999999999996E-2</v>
      </c>
    </row>
    <row r="1589" spans="2:4">
      <c r="B1589" s="121">
        <v>42390</v>
      </c>
      <c r="C1589" s="123">
        <v>2.02</v>
      </c>
      <c r="D1589" s="73">
        <f t="shared" si="26"/>
        <v>2.0199999999999999E-2</v>
      </c>
    </row>
    <row r="1590" spans="2:4">
      <c r="B1590" s="121">
        <v>42391</v>
      </c>
      <c r="C1590" s="123">
        <v>2.0699999999999998</v>
      </c>
      <c r="D1590" s="73">
        <f t="shared" si="26"/>
        <v>2.07E-2</v>
      </c>
    </row>
    <row r="1591" spans="2:4">
      <c r="B1591" s="121">
        <v>42394</v>
      </c>
      <c r="C1591" s="123">
        <v>2.0299999999999998</v>
      </c>
      <c r="D1591" s="73">
        <f t="shared" si="26"/>
        <v>2.0299999999999999E-2</v>
      </c>
    </row>
    <row r="1592" spans="2:4">
      <c r="B1592" s="121">
        <v>42395</v>
      </c>
      <c r="C1592" s="123">
        <v>2.0099999999999998</v>
      </c>
      <c r="D1592" s="73">
        <f t="shared" si="26"/>
        <v>2.0099999999999996E-2</v>
      </c>
    </row>
    <row r="1593" spans="2:4">
      <c r="B1593" s="121">
        <v>42396</v>
      </c>
      <c r="C1593" s="123">
        <v>2.02</v>
      </c>
      <c r="D1593" s="73">
        <f t="shared" si="26"/>
        <v>2.0199999999999999E-2</v>
      </c>
    </row>
    <row r="1594" spans="2:4">
      <c r="B1594" s="121">
        <v>42397</v>
      </c>
      <c r="C1594" s="123">
        <v>2</v>
      </c>
      <c r="D1594" s="73">
        <f t="shared" si="26"/>
        <v>0.02</v>
      </c>
    </row>
    <row r="1595" spans="2:4">
      <c r="B1595" s="121">
        <v>42398</v>
      </c>
      <c r="C1595" s="123">
        <v>1.94</v>
      </c>
      <c r="D1595" s="73">
        <f t="shared" si="26"/>
        <v>1.9400000000000001E-2</v>
      </c>
    </row>
    <row r="1596" spans="2:4">
      <c r="B1596" s="121">
        <v>42401</v>
      </c>
      <c r="C1596" s="123">
        <v>1.97</v>
      </c>
      <c r="D1596" s="73">
        <f t="shared" si="26"/>
        <v>1.9699999999999999E-2</v>
      </c>
    </row>
    <row r="1597" spans="2:4">
      <c r="B1597" s="121">
        <v>42402</v>
      </c>
      <c r="C1597" s="123">
        <v>1.87</v>
      </c>
      <c r="D1597" s="73">
        <f t="shared" si="26"/>
        <v>1.8700000000000001E-2</v>
      </c>
    </row>
    <row r="1598" spans="2:4">
      <c r="B1598" s="121">
        <v>42403</v>
      </c>
      <c r="C1598" s="123">
        <v>1.88</v>
      </c>
      <c r="D1598" s="73">
        <f t="shared" si="26"/>
        <v>1.8799999999999997E-2</v>
      </c>
    </row>
    <row r="1599" spans="2:4">
      <c r="B1599" s="121">
        <v>42404</v>
      </c>
      <c r="C1599" s="123">
        <v>1.87</v>
      </c>
      <c r="D1599" s="73">
        <f t="shared" si="26"/>
        <v>1.8700000000000001E-2</v>
      </c>
    </row>
    <row r="1600" spans="2:4">
      <c r="B1600" s="121">
        <v>42405</v>
      </c>
      <c r="C1600" s="123">
        <v>1.86</v>
      </c>
      <c r="D1600" s="73">
        <f t="shared" si="26"/>
        <v>1.8600000000000002E-2</v>
      </c>
    </row>
    <row r="1601" spans="2:4">
      <c r="B1601" s="121">
        <v>42408</v>
      </c>
      <c r="C1601" s="123">
        <v>1.75</v>
      </c>
      <c r="D1601" s="73">
        <f t="shared" si="26"/>
        <v>1.7500000000000002E-2</v>
      </c>
    </row>
    <row r="1602" spans="2:4">
      <c r="B1602" s="121">
        <v>42409</v>
      </c>
      <c r="C1602" s="123">
        <v>1.74</v>
      </c>
      <c r="D1602" s="73">
        <f t="shared" si="26"/>
        <v>1.7399999999999999E-2</v>
      </c>
    </row>
    <row r="1603" spans="2:4">
      <c r="B1603" s="121">
        <v>42410</v>
      </c>
      <c r="C1603" s="123">
        <v>1.71</v>
      </c>
      <c r="D1603" s="73">
        <f t="shared" si="26"/>
        <v>1.7100000000000001E-2</v>
      </c>
    </row>
    <row r="1604" spans="2:4">
      <c r="B1604" s="121">
        <v>42411</v>
      </c>
      <c r="C1604" s="123">
        <v>1.63</v>
      </c>
      <c r="D1604" s="73">
        <f t="shared" si="26"/>
        <v>1.6299999999999999E-2</v>
      </c>
    </row>
    <row r="1605" spans="2:4">
      <c r="B1605" s="121">
        <v>42412</v>
      </c>
      <c r="C1605" s="123">
        <v>1.74</v>
      </c>
      <c r="D1605" s="73">
        <f t="shared" si="26"/>
        <v>1.7399999999999999E-2</v>
      </c>
    </row>
    <row r="1606" spans="2:4">
      <c r="B1606" s="121">
        <v>42415</v>
      </c>
      <c r="C1606" s="123" t="s">
        <v>325</v>
      </c>
      <c r="D1606" s="73">
        <f t="shared" si="26"/>
        <v>1.7399999999999999E-2</v>
      </c>
    </row>
    <row r="1607" spans="2:4">
      <c r="B1607" s="121">
        <v>42416</v>
      </c>
      <c r="C1607" s="123">
        <v>1.78</v>
      </c>
      <c r="D1607" s="73">
        <f t="shared" si="26"/>
        <v>1.78E-2</v>
      </c>
    </row>
    <row r="1608" spans="2:4">
      <c r="B1608" s="121">
        <v>42417</v>
      </c>
      <c r="C1608" s="123">
        <v>1.81</v>
      </c>
      <c r="D1608" s="73">
        <f t="shared" si="26"/>
        <v>1.8100000000000002E-2</v>
      </c>
    </row>
    <row r="1609" spans="2:4">
      <c r="B1609" s="121">
        <v>42418</v>
      </c>
      <c r="C1609" s="123">
        <v>1.75</v>
      </c>
      <c r="D1609" s="73">
        <f t="shared" si="26"/>
        <v>1.7500000000000002E-2</v>
      </c>
    </row>
    <row r="1610" spans="2:4">
      <c r="B1610" s="121">
        <v>42419</v>
      </c>
      <c r="C1610" s="123">
        <v>1.76</v>
      </c>
      <c r="D1610" s="73">
        <f t="shared" si="26"/>
        <v>1.7600000000000001E-2</v>
      </c>
    </row>
    <row r="1611" spans="2:4">
      <c r="B1611" s="121">
        <v>42422</v>
      </c>
      <c r="C1611" s="123">
        <v>1.77</v>
      </c>
      <c r="D1611" s="73">
        <f t="shared" si="26"/>
        <v>1.77E-2</v>
      </c>
    </row>
    <row r="1612" spans="2:4">
      <c r="B1612" s="121">
        <v>42423</v>
      </c>
      <c r="C1612" s="123">
        <v>1.74</v>
      </c>
      <c r="D1612" s="73">
        <f t="shared" si="26"/>
        <v>1.7399999999999999E-2</v>
      </c>
    </row>
    <row r="1613" spans="2:4">
      <c r="B1613" s="121">
        <v>42424</v>
      </c>
      <c r="C1613" s="123">
        <v>1.75</v>
      </c>
      <c r="D1613" s="73">
        <f t="shared" si="26"/>
        <v>1.7500000000000002E-2</v>
      </c>
    </row>
    <row r="1614" spans="2:4">
      <c r="B1614" s="121">
        <v>42425</v>
      </c>
      <c r="C1614" s="123">
        <v>1.71</v>
      </c>
      <c r="D1614" s="73">
        <f t="shared" si="26"/>
        <v>1.7100000000000001E-2</v>
      </c>
    </row>
    <row r="1615" spans="2:4">
      <c r="B1615" s="121">
        <v>42426</v>
      </c>
      <c r="C1615" s="123">
        <v>1.76</v>
      </c>
      <c r="D1615" s="73">
        <f t="shared" si="26"/>
        <v>1.7600000000000001E-2</v>
      </c>
    </row>
    <row r="1616" spans="2:4">
      <c r="B1616" s="121">
        <v>42429</v>
      </c>
      <c r="C1616" s="123">
        <v>1.74</v>
      </c>
      <c r="D1616" s="73">
        <f t="shared" si="26"/>
        <v>1.7399999999999999E-2</v>
      </c>
    </row>
    <row r="1617" spans="2:4">
      <c r="B1617" s="121">
        <v>42430</v>
      </c>
      <c r="C1617" s="123">
        <v>1.83</v>
      </c>
      <c r="D1617" s="73">
        <f t="shared" si="26"/>
        <v>1.83E-2</v>
      </c>
    </row>
    <row r="1618" spans="2:4">
      <c r="B1618" s="121">
        <v>42431</v>
      </c>
      <c r="C1618" s="123">
        <v>1.84</v>
      </c>
      <c r="D1618" s="73">
        <f t="shared" si="26"/>
        <v>1.84E-2</v>
      </c>
    </row>
    <row r="1619" spans="2:4">
      <c r="B1619" s="121">
        <v>42432</v>
      </c>
      <c r="C1619" s="123">
        <v>1.83</v>
      </c>
      <c r="D1619" s="73">
        <f t="shared" si="26"/>
        <v>1.83E-2</v>
      </c>
    </row>
    <row r="1620" spans="2:4">
      <c r="B1620" s="121">
        <v>42433</v>
      </c>
      <c r="C1620" s="123">
        <v>1.88</v>
      </c>
      <c r="D1620" s="73">
        <f t="shared" si="26"/>
        <v>1.8799999999999997E-2</v>
      </c>
    </row>
    <row r="1621" spans="2:4">
      <c r="B1621" s="121">
        <v>42436</v>
      </c>
      <c r="C1621" s="123">
        <v>1.91</v>
      </c>
      <c r="D1621" s="73">
        <f t="shared" si="26"/>
        <v>1.9099999999999999E-2</v>
      </c>
    </row>
    <row r="1622" spans="2:4">
      <c r="B1622" s="121">
        <v>42437</v>
      </c>
      <c r="C1622" s="123">
        <v>1.83</v>
      </c>
      <c r="D1622" s="73">
        <f t="shared" si="26"/>
        <v>1.83E-2</v>
      </c>
    </row>
    <row r="1623" spans="2:4">
      <c r="B1623" s="121">
        <v>42438</v>
      </c>
      <c r="C1623" s="123">
        <v>1.9</v>
      </c>
      <c r="D1623" s="73">
        <f t="shared" ref="D1623:D1652" si="27">IF( LEN( C1623 ) = 0, #N/A, IF( C1623 = "ND", D1622, C1623 / 100 ) )</f>
        <v>1.9E-2</v>
      </c>
    </row>
    <row r="1624" spans="2:4">
      <c r="B1624" s="121">
        <v>42439</v>
      </c>
      <c r="C1624" s="123">
        <v>1.93</v>
      </c>
      <c r="D1624" s="73">
        <f t="shared" si="27"/>
        <v>1.9299999999999998E-2</v>
      </c>
    </row>
    <row r="1625" spans="2:4">
      <c r="B1625" s="121">
        <v>42440</v>
      </c>
      <c r="C1625" s="123">
        <v>1.98</v>
      </c>
      <c r="D1625" s="73">
        <f t="shared" si="27"/>
        <v>1.9799999999999998E-2</v>
      </c>
    </row>
    <row r="1626" spans="2:4">
      <c r="B1626" s="121">
        <v>42443</v>
      </c>
      <c r="C1626" s="123">
        <v>1.97</v>
      </c>
      <c r="D1626" s="73">
        <f t="shared" si="27"/>
        <v>1.9699999999999999E-2</v>
      </c>
    </row>
    <row r="1627" spans="2:4">
      <c r="B1627" s="121">
        <v>42444</v>
      </c>
      <c r="C1627" s="123">
        <v>1.97</v>
      </c>
      <c r="D1627" s="73">
        <f t="shared" si="27"/>
        <v>1.9699999999999999E-2</v>
      </c>
    </row>
    <row r="1628" spans="2:4">
      <c r="B1628" s="121">
        <v>42445</v>
      </c>
      <c r="C1628" s="123">
        <v>1.94</v>
      </c>
      <c r="D1628" s="73">
        <f t="shared" si="27"/>
        <v>1.9400000000000001E-2</v>
      </c>
    </row>
    <row r="1629" spans="2:4">
      <c r="B1629" s="121">
        <v>42446</v>
      </c>
      <c r="C1629" s="123">
        <v>1.91</v>
      </c>
      <c r="D1629" s="73">
        <f t="shared" si="27"/>
        <v>1.9099999999999999E-2</v>
      </c>
    </row>
    <row r="1630" spans="2:4">
      <c r="B1630" s="121">
        <v>42447</v>
      </c>
      <c r="C1630" s="123">
        <v>1.88</v>
      </c>
      <c r="D1630" s="73">
        <f t="shared" si="27"/>
        <v>1.8799999999999997E-2</v>
      </c>
    </row>
    <row r="1631" spans="2:4">
      <c r="B1631" s="121">
        <v>42450</v>
      </c>
      <c r="C1631" s="123">
        <v>1.92</v>
      </c>
      <c r="D1631" s="73">
        <f t="shared" si="27"/>
        <v>1.9199999999999998E-2</v>
      </c>
    </row>
    <row r="1632" spans="2:4">
      <c r="B1632" s="121">
        <v>42451</v>
      </c>
      <c r="C1632" s="123">
        <v>1.94</v>
      </c>
      <c r="D1632" s="73">
        <f t="shared" si="27"/>
        <v>1.9400000000000001E-2</v>
      </c>
    </row>
    <row r="1633" spans="2:4">
      <c r="B1633" s="121">
        <v>42452</v>
      </c>
      <c r="C1633" s="123">
        <v>1.88</v>
      </c>
      <c r="D1633" s="73">
        <f t="shared" si="27"/>
        <v>1.8799999999999997E-2</v>
      </c>
    </row>
    <row r="1634" spans="2:4">
      <c r="B1634" s="121">
        <v>42453</v>
      </c>
      <c r="C1634" s="123">
        <v>1.91</v>
      </c>
      <c r="D1634" s="73">
        <f t="shared" si="27"/>
        <v>1.9099999999999999E-2</v>
      </c>
    </row>
    <row r="1635" spans="2:4">
      <c r="B1635" s="121">
        <v>42454</v>
      </c>
      <c r="C1635" s="123" t="s">
        <v>325</v>
      </c>
      <c r="D1635" s="73">
        <f t="shared" si="27"/>
        <v>1.9099999999999999E-2</v>
      </c>
    </row>
    <row r="1636" spans="2:4">
      <c r="B1636" s="121">
        <v>42457</v>
      </c>
      <c r="C1636" s="123">
        <v>1.89</v>
      </c>
      <c r="D1636" s="73">
        <f t="shared" si="27"/>
        <v>1.89E-2</v>
      </c>
    </row>
    <row r="1637" spans="2:4">
      <c r="B1637" s="121">
        <v>42458</v>
      </c>
      <c r="C1637" s="123">
        <v>1.81</v>
      </c>
      <c r="D1637" s="73">
        <f t="shared" si="27"/>
        <v>1.8100000000000002E-2</v>
      </c>
    </row>
    <row r="1638" spans="2:4">
      <c r="B1638" s="121">
        <v>42459</v>
      </c>
      <c r="C1638" s="123">
        <v>1.83</v>
      </c>
      <c r="D1638" s="73">
        <f t="shared" si="27"/>
        <v>1.83E-2</v>
      </c>
    </row>
    <row r="1639" spans="2:4">
      <c r="B1639" s="121">
        <v>42460</v>
      </c>
      <c r="C1639" s="123">
        <v>1.78</v>
      </c>
      <c r="D1639" s="73">
        <f t="shared" si="27"/>
        <v>1.78E-2</v>
      </c>
    </row>
    <row r="1640" spans="2:4">
      <c r="B1640" s="121">
        <v>42461</v>
      </c>
      <c r="C1640" s="123">
        <v>1.79</v>
      </c>
      <c r="D1640" s="73">
        <f t="shared" si="27"/>
        <v>1.7899999999999999E-2</v>
      </c>
    </row>
    <row r="1641" spans="2:4">
      <c r="B1641" s="121">
        <v>42464</v>
      </c>
      <c r="C1641" s="123">
        <v>1.78</v>
      </c>
      <c r="D1641" s="73">
        <f t="shared" si="27"/>
        <v>1.78E-2</v>
      </c>
    </row>
    <row r="1642" spans="2:4">
      <c r="B1642" s="121">
        <v>42465</v>
      </c>
      <c r="C1642" s="123">
        <v>1.73</v>
      </c>
      <c r="D1642" s="73">
        <f t="shared" si="27"/>
        <v>1.7299999999999999E-2</v>
      </c>
    </row>
    <row r="1643" spans="2:4">
      <c r="B1643" s="121">
        <v>42466</v>
      </c>
      <c r="C1643" s="123">
        <v>1.76</v>
      </c>
      <c r="D1643" s="73">
        <f t="shared" si="27"/>
        <v>1.7600000000000001E-2</v>
      </c>
    </row>
    <row r="1644" spans="2:4">
      <c r="B1644" s="121">
        <v>42467</v>
      </c>
      <c r="C1644" s="123">
        <v>1.7</v>
      </c>
      <c r="D1644" s="73">
        <f t="shared" si="27"/>
        <v>1.7000000000000001E-2</v>
      </c>
    </row>
    <row r="1645" spans="2:4">
      <c r="B1645" s="121">
        <v>42468</v>
      </c>
      <c r="C1645" s="123">
        <v>1.72</v>
      </c>
      <c r="D1645" s="73">
        <f t="shared" si="27"/>
        <v>1.72E-2</v>
      </c>
    </row>
    <row r="1646" spans="2:4">
      <c r="B1646" s="121">
        <v>42471</v>
      </c>
      <c r="C1646" s="123">
        <v>1.73</v>
      </c>
      <c r="D1646" s="73">
        <f t="shared" si="27"/>
        <v>1.7299999999999999E-2</v>
      </c>
    </row>
    <row r="1647" spans="2:4">
      <c r="B1647" s="121">
        <v>42472</v>
      </c>
      <c r="C1647" s="123">
        <v>1.79</v>
      </c>
      <c r="D1647" s="73">
        <f t="shared" si="27"/>
        <v>1.7899999999999999E-2</v>
      </c>
    </row>
    <row r="1648" spans="2:4">
      <c r="B1648" s="121">
        <v>42473</v>
      </c>
      <c r="C1648" s="123">
        <v>1.77</v>
      </c>
      <c r="D1648" s="73">
        <f t="shared" si="27"/>
        <v>1.77E-2</v>
      </c>
    </row>
    <row r="1649" spans="2:4">
      <c r="B1649" s="121">
        <v>42474</v>
      </c>
      <c r="C1649" s="123">
        <v>1.8</v>
      </c>
      <c r="D1649" s="73">
        <f t="shared" si="27"/>
        <v>1.8000000000000002E-2</v>
      </c>
    </row>
    <row r="1650" spans="2:4">
      <c r="B1650" s="121">
        <v>42475</v>
      </c>
      <c r="C1650" s="123">
        <v>1.76</v>
      </c>
      <c r="D1650" s="73">
        <f t="shared" si="27"/>
        <v>1.7600000000000001E-2</v>
      </c>
    </row>
    <row r="1651" spans="2:4">
      <c r="B1651" s="121">
        <v>42478</v>
      </c>
      <c r="C1651" s="123">
        <v>1.78</v>
      </c>
      <c r="D1651" s="73">
        <f t="shared" si="27"/>
        <v>1.78E-2</v>
      </c>
    </row>
    <row r="1652" spans="2:4">
      <c r="B1652" s="121">
        <v>42479</v>
      </c>
      <c r="C1652" s="123">
        <v>1.79</v>
      </c>
      <c r="D1652" s="73">
        <f t="shared" si="27"/>
        <v>1.7899999999999999E-2</v>
      </c>
    </row>
    <row r="1653" spans="2:4">
      <c r="B1653" s="121">
        <v>42480</v>
      </c>
      <c r="C1653" s="123">
        <v>1.85</v>
      </c>
      <c r="D1653" s="73">
        <f t="shared" ref="D1653:D1677" si="28">IF( LEN( C1653 ) = 0, #N/A, IF( C1653 = "ND", D1652, C1653 / 100 ) )</f>
        <v>1.8500000000000003E-2</v>
      </c>
    </row>
    <row r="1654" spans="2:4">
      <c r="B1654" s="121">
        <v>42481</v>
      </c>
      <c r="C1654" s="123">
        <v>1.88</v>
      </c>
      <c r="D1654" s="73">
        <f t="shared" si="28"/>
        <v>1.8799999999999997E-2</v>
      </c>
    </row>
    <row r="1655" spans="2:4">
      <c r="B1655" s="121">
        <v>42482</v>
      </c>
      <c r="C1655" s="123">
        <v>1.89</v>
      </c>
      <c r="D1655" s="73">
        <f t="shared" si="28"/>
        <v>1.89E-2</v>
      </c>
    </row>
    <row r="1656" spans="2:4">
      <c r="B1656" s="121">
        <v>42485</v>
      </c>
      <c r="C1656" s="123">
        <v>1.91</v>
      </c>
      <c r="D1656" s="73">
        <f t="shared" si="28"/>
        <v>1.9099999999999999E-2</v>
      </c>
    </row>
    <row r="1657" spans="2:4">
      <c r="B1657" s="121">
        <v>42486</v>
      </c>
      <c r="C1657" s="123">
        <v>1.94</v>
      </c>
      <c r="D1657" s="73">
        <f t="shared" si="28"/>
        <v>1.9400000000000001E-2</v>
      </c>
    </row>
    <row r="1658" spans="2:4">
      <c r="B1658" s="121">
        <v>42487</v>
      </c>
      <c r="C1658" s="123">
        <v>1.87</v>
      </c>
      <c r="D1658" s="73">
        <f t="shared" si="28"/>
        <v>1.8700000000000001E-2</v>
      </c>
    </row>
    <row r="1659" spans="2:4">
      <c r="B1659" s="121">
        <v>42488</v>
      </c>
      <c r="C1659" s="123">
        <v>1.84</v>
      </c>
      <c r="D1659" s="73">
        <f t="shared" si="28"/>
        <v>1.84E-2</v>
      </c>
    </row>
    <row r="1660" spans="2:4">
      <c r="B1660" s="121">
        <v>42489</v>
      </c>
      <c r="C1660" s="123">
        <v>1.83</v>
      </c>
      <c r="D1660" s="73">
        <f t="shared" si="28"/>
        <v>1.83E-2</v>
      </c>
    </row>
    <row r="1661" spans="2:4">
      <c r="B1661" s="121">
        <v>42492</v>
      </c>
      <c r="C1661" s="123">
        <v>1.88</v>
      </c>
      <c r="D1661" s="73">
        <f t="shared" si="28"/>
        <v>1.8799999999999997E-2</v>
      </c>
    </row>
    <row r="1662" spans="2:4">
      <c r="B1662" s="121">
        <v>42493</v>
      </c>
      <c r="C1662" s="123">
        <v>1.81</v>
      </c>
      <c r="D1662" s="73">
        <f t="shared" si="28"/>
        <v>1.8100000000000002E-2</v>
      </c>
    </row>
    <row r="1663" spans="2:4">
      <c r="B1663" s="121">
        <v>42494</v>
      </c>
      <c r="C1663" s="123">
        <v>1.79</v>
      </c>
      <c r="D1663" s="73">
        <f t="shared" si="28"/>
        <v>1.7899999999999999E-2</v>
      </c>
    </row>
    <row r="1664" spans="2:4">
      <c r="B1664" s="121">
        <v>42495</v>
      </c>
      <c r="C1664" s="123">
        <v>1.76</v>
      </c>
      <c r="D1664" s="73">
        <f t="shared" si="28"/>
        <v>1.7600000000000001E-2</v>
      </c>
    </row>
    <row r="1665" spans="2:4">
      <c r="B1665" s="121">
        <v>42496</v>
      </c>
      <c r="C1665" s="123">
        <v>1.79</v>
      </c>
      <c r="D1665" s="73">
        <f t="shared" si="28"/>
        <v>1.7899999999999999E-2</v>
      </c>
    </row>
    <row r="1666" spans="2:4">
      <c r="B1666" s="121">
        <v>42499</v>
      </c>
      <c r="C1666" s="123">
        <v>1.77</v>
      </c>
      <c r="D1666" s="73">
        <f t="shared" si="28"/>
        <v>1.77E-2</v>
      </c>
    </row>
    <row r="1667" spans="2:4">
      <c r="B1667" s="121">
        <v>42500</v>
      </c>
      <c r="C1667" s="123">
        <v>1.77</v>
      </c>
      <c r="D1667" s="73">
        <f t="shared" si="28"/>
        <v>1.77E-2</v>
      </c>
    </row>
    <row r="1668" spans="2:4">
      <c r="B1668" s="121">
        <v>42501</v>
      </c>
      <c r="C1668" s="123">
        <v>1.73</v>
      </c>
      <c r="D1668" s="73">
        <f t="shared" si="28"/>
        <v>1.7299999999999999E-2</v>
      </c>
    </row>
    <row r="1669" spans="2:4">
      <c r="B1669" s="121">
        <v>42502</v>
      </c>
      <c r="C1669" s="123">
        <v>1.75</v>
      </c>
      <c r="D1669" s="73">
        <f t="shared" si="28"/>
        <v>1.7500000000000002E-2</v>
      </c>
    </row>
    <row r="1670" spans="2:4">
      <c r="B1670" s="121">
        <v>42503</v>
      </c>
      <c r="C1670" s="123">
        <v>1.71</v>
      </c>
      <c r="D1670" s="73">
        <f t="shared" si="28"/>
        <v>1.7100000000000001E-2</v>
      </c>
    </row>
    <row r="1671" spans="2:4">
      <c r="B1671" s="121">
        <v>42506</v>
      </c>
      <c r="C1671" s="123">
        <v>1.75</v>
      </c>
      <c r="D1671" s="73">
        <f t="shared" si="28"/>
        <v>1.7500000000000002E-2</v>
      </c>
    </row>
    <row r="1672" spans="2:4">
      <c r="B1672" s="121">
        <v>42507</v>
      </c>
      <c r="C1672" s="123">
        <v>1.76</v>
      </c>
      <c r="D1672" s="73">
        <f t="shared" si="28"/>
        <v>1.7600000000000001E-2</v>
      </c>
    </row>
    <row r="1673" spans="2:4">
      <c r="B1673" s="121">
        <v>42508</v>
      </c>
      <c r="C1673" s="123">
        <v>1.87</v>
      </c>
      <c r="D1673" s="73">
        <f t="shared" si="28"/>
        <v>1.8700000000000001E-2</v>
      </c>
    </row>
    <row r="1674" spans="2:4">
      <c r="B1674" s="121">
        <v>42509</v>
      </c>
      <c r="C1674" s="123">
        <v>1.85</v>
      </c>
      <c r="D1674" s="73">
        <f t="shared" si="28"/>
        <v>1.8500000000000003E-2</v>
      </c>
    </row>
    <row r="1675" spans="2:4">
      <c r="B1675" s="121">
        <v>42510</v>
      </c>
      <c r="C1675" s="123">
        <v>1.85</v>
      </c>
      <c r="D1675" s="73">
        <f t="shared" si="28"/>
        <v>1.8500000000000003E-2</v>
      </c>
    </row>
    <row r="1676" spans="2:4">
      <c r="B1676" s="121">
        <v>42513</v>
      </c>
      <c r="C1676" s="123">
        <v>1.84</v>
      </c>
      <c r="D1676" s="73">
        <f t="shared" si="28"/>
        <v>1.84E-2</v>
      </c>
    </row>
    <row r="1677" spans="2:4">
      <c r="B1677" s="121">
        <v>42514</v>
      </c>
      <c r="C1677" s="123">
        <v>1.86</v>
      </c>
      <c r="D1677" s="73">
        <f t="shared" si="28"/>
        <v>1.8600000000000002E-2</v>
      </c>
    </row>
    <row r="1678" spans="2:4">
      <c r="B1678" s="121">
        <v>42515</v>
      </c>
      <c r="C1678" s="123">
        <v>1.87</v>
      </c>
      <c r="D1678" s="73">
        <f t="shared" ref="D1678:D1741" si="29">IF( LEN( C1678 ) = 0, #N/A, IF( C1678 = "ND", D1677, C1678 / 100 ) )</f>
        <v>1.8700000000000001E-2</v>
      </c>
    </row>
    <row r="1679" spans="2:4">
      <c r="B1679" s="121">
        <v>42516</v>
      </c>
      <c r="C1679" s="123">
        <v>1.83</v>
      </c>
      <c r="D1679" s="73">
        <f t="shared" si="29"/>
        <v>1.83E-2</v>
      </c>
    </row>
    <row r="1680" spans="2:4">
      <c r="B1680" s="121">
        <v>42517</v>
      </c>
      <c r="C1680" s="123">
        <v>1.85</v>
      </c>
      <c r="D1680" s="73">
        <f t="shared" si="29"/>
        <v>1.8500000000000003E-2</v>
      </c>
    </row>
    <row r="1681" spans="2:4">
      <c r="B1681" s="121">
        <v>42520</v>
      </c>
      <c r="C1681" s="123" t="s">
        <v>325</v>
      </c>
      <c r="D1681" s="73">
        <f t="shared" si="29"/>
        <v>1.8500000000000003E-2</v>
      </c>
    </row>
    <row r="1682" spans="2:4">
      <c r="B1682" s="121">
        <v>42521</v>
      </c>
      <c r="C1682" s="123">
        <v>1.84</v>
      </c>
      <c r="D1682" s="73">
        <f t="shared" si="29"/>
        <v>1.84E-2</v>
      </c>
    </row>
    <row r="1683" spans="2:4">
      <c r="B1683" s="121">
        <v>42522</v>
      </c>
      <c r="C1683" s="123">
        <v>1.85</v>
      </c>
      <c r="D1683" s="73">
        <f t="shared" si="29"/>
        <v>1.8500000000000003E-2</v>
      </c>
    </row>
    <row r="1684" spans="2:4">
      <c r="B1684" s="121">
        <v>42523</v>
      </c>
      <c r="C1684" s="123">
        <v>1.81</v>
      </c>
      <c r="D1684" s="73">
        <f t="shared" si="29"/>
        <v>1.8100000000000002E-2</v>
      </c>
    </row>
    <row r="1685" spans="2:4">
      <c r="B1685" s="121">
        <v>42524</v>
      </c>
      <c r="C1685" s="123">
        <v>1.71</v>
      </c>
      <c r="D1685" s="73">
        <f t="shared" si="29"/>
        <v>1.7100000000000001E-2</v>
      </c>
    </row>
    <row r="1686" spans="2:4">
      <c r="B1686" s="121">
        <v>42527</v>
      </c>
      <c r="C1686" s="123">
        <v>1.73</v>
      </c>
      <c r="D1686" s="73">
        <f t="shared" si="29"/>
        <v>1.7299999999999999E-2</v>
      </c>
    </row>
    <row r="1687" spans="2:4">
      <c r="B1687" s="121">
        <v>42528</v>
      </c>
      <c r="C1687" s="123">
        <v>1.72</v>
      </c>
      <c r="D1687" s="73">
        <f t="shared" si="29"/>
        <v>1.72E-2</v>
      </c>
    </row>
    <row r="1688" spans="2:4">
      <c r="B1688" s="121">
        <v>42529</v>
      </c>
      <c r="C1688" s="123">
        <v>1.71</v>
      </c>
      <c r="D1688" s="73">
        <f t="shared" si="29"/>
        <v>1.7100000000000001E-2</v>
      </c>
    </row>
    <row r="1689" spans="2:4">
      <c r="B1689" s="121">
        <v>42530</v>
      </c>
      <c r="C1689" s="123">
        <v>1.68</v>
      </c>
      <c r="D1689" s="73">
        <f t="shared" si="29"/>
        <v>1.6799999999999999E-2</v>
      </c>
    </row>
    <row r="1690" spans="2:4">
      <c r="B1690" s="121">
        <v>42531</v>
      </c>
      <c r="C1690" s="123">
        <v>1.64</v>
      </c>
      <c r="D1690" s="73">
        <f t="shared" si="29"/>
        <v>1.6399999999999998E-2</v>
      </c>
    </row>
    <row r="1691" spans="2:4">
      <c r="B1691" s="121">
        <v>42534</v>
      </c>
      <c r="C1691" s="123">
        <v>1.62</v>
      </c>
      <c r="D1691" s="73">
        <f t="shared" si="29"/>
        <v>1.6200000000000003E-2</v>
      </c>
    </row>
    <row r="1692" spans="2:4">
      <c r="B1692" s="121">
        <v>42535</v>
      </c>
      <c r="C1692" s="123">
        <v>1.62</v>
      </c>
      <c r="D1692" s="73">
        <f t="shared" si="29"/>
        <v>1.6200000000000003E-2</v>
      </c>
    </row>
    <row r="1693" spans="2:4">
      <c r="B1693" s="121">
        <v>42536</v>
      </c>
      <c r="C1693" s="123">
        <v>1.6</v>
      </c>
      <c r="D1693" s="73">
        <f t="shared" si="29"/>
        <v>1.6E-2</v>
      </c>
    </row>
    <row r="1694" spans="2:4">
      <c r="B1694" s="121">
        <v>42537</v>
      </c>
      <c r="C1694" s="123">
        <v>1.57</v>
      </c>
      <c r="D1694" s="73">
        <f t="shared" si="29"/>
        <v>1.5700000000000002E-2</v>
      </c>
    </row>
    <row r="1695" spans="2:4">
      <c r="B1695" s="121">
        <v>42538</v>
      </c>
      <c r="C1695" s="123">
        <v>1.62</v>
      </c>
      <c r="D1695" s="73">
        <f t="shared" si="29"/>
        <v>1.6200000000000003E-2</v>
      </c>
    </row>
    <row r="1696" spans="2:4">
      <c r="B1696" s="121">
        <v>42541</v>
      </c>
      <c r="C1696" s="123">
        <v>1.67</v>
      </c>
      <c r="D1696" s="73">
        <f t="shared" si="29"/>
        <v>1.67E-2</v>
      </c>
    </row>
    <row r="1697" spans="2:4">
      <c r="B1697" s="121">
        <v>42542</v>
      </c>
      <c r="C1697" s="123">
        <v>1.71</v>
      </c>
      <c r="D1697" s="73">
        <f t="shared" si="29"/>
        <v>1.7100000000000001E-2</v>
      </c>
    </row>
    <row r="1698" spans="2:4">
      <c r="B1698" s="121">
        <v>42543</v>
      </c>
      <c r="C1698" s="123">
        <v>1.69</v>
      </c>
      <c r="D1698" s="73">
        <f t="shared" si="29"/>
        <v>1.6899999999999998E-2</v>
      </c>
    </row>
    <row r="1699" spans="2:4">
      <c r="B1699" s="121">
        <v>42544</v>
      </c>
      <c r="C1699" s="123">
        <v>1.74</v>
      </c>
      <c r="D1699" s="73">
        <f t="shared" si="29"/>
        <v>1.7399999999999999E-2</v>
      </c>
    </row>
    <row r="1700" spans="2:4">
      <c r="B1700" s="121">
        <v>42545</v>
      </c>
      <c r="C1700" s="123">
        <v>1.57</v>
      </c>
      <c r="D1700" s="73">
        <f t="shared" si="29"/>
        <v>1.5700000000000002E-2</v>
      </c>
    </row>
    <row r="1701" spans="2:4">
      <c r="B1701" s="121">
        <v>42548</v>
      </c>
      <c r="C1701" s="123">
        <v>1.46</v>
      </c>
      <c r="D1701" s="73">
        <f t="shared" si="29"/>
        <v>1.46E-2</v>
      </c>
    </row>
    <row r="1702" spans="2:4">
      <c r="B1702" s="121">
        <v>42549</v>
      </c>
      <c r="C1702" s="123">
        <v>1.46</v>
      </c>
      <c r="D1702" s="73">
        <f t="shared" si="29"/>
        <v>1.46E-2</v>
      </c>
    </row>
    <row r="1703" spans="2:4">
      <c r="B1703" s="121">
        <v>42550</v>
      </c>
      <c r="C1703" s="123">
        <v>1.5</v>
      </c>
      <c r="D1703" s="73">
        <f t="shared" si="29"/>
        <v>1.4999999999999999E-2</v>
      </c>
    </row>
    <row r="1704" spans="2:4">
      <c r="B1704" s="121">
        <v>42551</v>
      </c>
      <c r="C1704" s="123">
        <v>1.49</v>
      </c>
      <c r="D1704" s="73">
        <f t="shared" si="29"/>
        <v>1.49E-2</v>
      </c>
    </row>
    <row r="1705" spans="2:4">
      <c r="B1705" s="121">
        <v>42552</v>
      </c>
      <c r="C1705" s="123">
        <v>1.46</v>
      </c>
      <c r="D1705" s="73">
        <f t="shared" si="29"/>
        <v>1.46E-2</v>
      </c>
    </row>
    <row r="1706" spans="2:4">
      <c r="B1706" s="121">
        <v>42555</v>
      </c>
      <c r="C1706" s="123" t="s">
        <v>325</v>
      </c>
      <c r="D1706" s="73">
        <f t="shared" si="29"/>
        <v>1.46E-2</v>
      </c>
    </row>
    <row r="1707" spans="2:4">
      <c r="B1707" s="121">
        <v>42556</v>
      </c>
      <c r="C1707" s="123">
        <v>1.37</v>
      </c>
      <c r="D1707" s="73">
        <f t="shared" si="29"/>
        <v>1.37E-2</v>
      </c>
    </row>
    <row r="1708" spans="2:4">
      <c r="B1708" s="121">
        <v>42557</v>
      </c>
      <c r="C1708" s="123">
        <v>1.38</v>
      </c>
      <c r="D1708" s="73">
        <f t="shared" si="29"/>
        <v>1.38E-2</v>
      </c>
    </row>
    <row r="1709" spans="2:4">
      <c r="B1709" s="121">
        <v>42558</v>
      </c>
      <c r="C1709" s="123">
        <v>1.4</v>
      </c>
      <c r="D1709" s="73">
        <f t="shared" si="29"/>
        <v>1.3999999999999999E-2</v>
      </c>
    </row>
    <row r="1710" spans="2:4">
      <c r="B1710" s="121">
        <v>42559</v>
      </c>
      <c r="C1710" s="123">
        <v>1.37</v>
      </c>
      <c r="D1710" s="73">
        <f t="shared" si="29"/>
        <v>1.37E-2</v>
      </c>
    </row>
    <row r="1711" spans="2:4">
      <c r="B1711" s="121">
        <v>42562</v>
      </c>
      <c r="C1711" s="123">
        <v>1.43</v>
      </c>
      <c r="D1711" s="73">
        <f t="shared" si="29"/>
        <v>1.43E-2</v>
      </c>
    </row>
    <row r="1712" spans="2:4">
      <c r="B1712" s="121">
        <v>42563</v>
      </c>
      <c r="C1712" s="123">
        <v>1.53</v>
      </c>
      <c r="D1712" s="73">
        <f t="shared" si="29"/>
        <v>1.5300000000000001E-2</v>
      </c>
    </row>
    <row r="1713" spans="2:4">
      <c r="B1713" s="121">
        <v>42564</v>
      </c>
      <c r="C1713" s="123">
        <v>1.48</v>
      </c>
      <c r="D1713" s="73">
        <f t="shared" si="29"/>
        <v>1.4800000000000001E-2</v>
      </c>
    </row>
    <row r="1714" spans="2:4">
      <c r="B1714" s="121">
        <v>42565</v>
      </c>
      <c r="C1714" s="123">
        <v>1.53</v>
      </c>
      <c r="D1714" s="73">
        <f t="shared" si="29"/>
        <v>1.5300000000000001E-2</v>
      </c>
    </row>
    <row r="1715" spans="2:4">
      <c r="B1715" s="121">
        <v>42566</v>
      </c>
      <c r="C1715" s="123">
        <v>1.6</v>
      </c>
      <c r="D1715" s="73">
        <f t="shared" si="29"/>
        <v>1.6E-2</v>
      </c>
    </row>
    <row r="1716" spans="2:4">
      <c r="B1716" s="121">
        <v>42569</v>
      </c>
      <c r="C1716" s="123">
        <v>1.59</v>
      </c>
      <c r="D1716" s="73">
        <f t="shared" si="29"/>
        <v>1.5900000000000001E-2</v>
      </c>
    </row>
    <row r="1717" spans="2:4">
      <c r="B1717" s="121">
        <v>42570</v>
      </c>
      <c r="C1717" s="123">
        <v>1.56</v>
      </c>
      <c r="D1717" s="73">
        <f t="shared" si="29"/>
        <v>1.5600000000000001E-2</v>
      </c>
    </row>
    <row r="1718" spans="2:4">
      <c r="B1718" s="121">
        <v>42571</v>
      </c>
      <c r="C1718" s="123">
        <v>1.59</v>
      </c>
      <c r="D1718" s="73">
        <f t="shared" si="29"/>
        <v>1.5900000000000001E-2</v>
      </c>
    </row>
    <row r="1719" spans="2:4">
      <c r="B1719" s="121">
        <v>42572</v>
      </c>
      <c r="C1719" s="123">
        <v>1.57</v>
      </c>
      <c r="D1719" s="73">
        <f t="shared" si="29"/>
        <v>1.5700000000000002E-2</v>
      </c>
    </row>
    <row r="1720" spans="2:4">
      <c r="B1720" s="121">
        <v>42573</v>
      </c>
      <c r="C1720" s="123">
        <v>1.57</v>
      </c>
      <c r="D1720" s="73">
        <f t="shared" si="29"/>
        <v>1.5700000000000002E-2</v>
      </c>
    </row>
    <row r="1721" spans="2:4">
      <c r="B1721" s="121">
        <v>42576</v>
      </c>
      <c r="C1721" s="123">
        <v>1.58</v>
      </c>
      <c r="D1721" s="73">
        <f t="shared" si="29"/>
        <v>1.5800000000000002E-2</v>
      </c>
    </row>
    <row r="1722" spans="2:4">
      <c r="B1722" s="121">
        <v>42577</v>
      </c>
      <c r="C1722" s="123">
        <v>1.57</v>
      </c>
      <c r="D1722" s="73">
        <f t="shared" si="29"/>
        <v>1.5700000000000002E-2</v>
      </c>
    </row>
    <row r="1723" spans="2:4">
      <c r="B1723" s="121">
        <v>42578</v>
      </c>
      <c r="C1723" s="123">
        <v>1.52</v>
      </c>
      <c r="D1723" s="73">
        <f t="shared" si="29"/>
        <v>1.52E-2</v>
      </c>
    </row>
    <row r="1724" spans="2:4">
      <c r="B1724" s="121">
        <v>42579</v>
      </c>
      <c r="C1724" s="123">
        <v>1.52</v>
      </c>
      <c r="D1724" s="73">
        <f t="shared" si="29"/>
        <v>1.52E-2</v>
      </c>
    </row>
    <row r="1725" spans="2:4">
      <c r="B1725" s="121">
        <v>42580</v>
      </c>
      <c r="C1725" s="123">
        <v>1.46</v>
      </c>
      <c r="D1725" s="73">
        <f t="shared" si="29"/>
        <v>1.46E-2</v>
      </c>
    </row>
    <row r="1726" spans="2:4">
      <c r="B1726" s="121">
        <v>42583</v>
      </c>
      <c r="C1726" s="123">
        <v>1.51</v>
      </c>
      <c r="D1726" s="73">
        <f t="shared" si="29"/>
        <v>1.5100000000000001E-2</v>
      </c>
    </row>
    <row r="1727" spans="2:4">
      <c r="B1727" s="121">
        <v>42584</v>
      </c>
      <c r="C1727" s="123">
        <v>1.55</v>
      </c>
      <c r="D1727" s="73">
        <f t="shared" si="29"/>
        <v>1.55E-2</v>
      </c>
    </row>
    <row r="1728" spans="2:4">
      <c r="B1728" s="121">
        <v>42585</v>
      </c>
      <c r="C1728" s="123">
        <v>1.55</v>
      </c>
      <c r="D1728" s="73">
        <f t="shared" si="29"/>
        <v>1.55E-2</v>
      </c>
    </row>
    <row r="1729" spans="2:4">
      <c r="B1729" s="121">
        <v>42586</v>
      </c>
      <c r="C1729" s="123">
        <v>1.51</v>
      </c>
      <c r="D1729" s="73">
        <f t="shared" si="29"/>
        <v>1.5100000000000001E-2</v>
      </c>
    </row>
    <row r="1730" spans="2:4">
      <c r="B1730" s="121">
        <v>42587</v>
      </c>
      <c r="C1730" s="123">
        <v>1.59</v>
      </c>
      <c r="D1730" s="73">
        <f t="shared" si="29"/>
        <v>1.5900000000000001E-2</v>
      </c>
    </row>
    <row r="1731" spans="2:4">
      <c r="B1731" s="121">
        <v>42590</v>
      </c>
      <c r="C1731" s="123">
        <v>1.59</v>
      </c>
      <c r="D1731" s="73">
        <f t="shared" si="29"/>
        <v>1.5900000000000001E-2</v>
      </c>
    </row>
    <row r="1732" spans="2:4">
      <c r="B1732" s="121">
        <v>42591</v>
      </c>
      <c r="C1732" s="123">
        <v>1.55</v>
      </c>
      <c r="D1732" s="73">
        <f t="shared" si="29"/>
        <v>1.55E-2</v>
      </c>
    </row>
    <row r="1733" spans="2:4">
      <c r="B1733" s="121">
        <v>42592</v>
      </c>
      <c r="C1733" s="123">
        <v>1.5</v>
      </c>
      <c r="D1733" s="73">
        <f t="shared" si="29"/>
        <v>1.4999999999999999E-2</v>
      </c>
    </row>
    <row r="1734" spans="2:4">
      <c r="B1734" s="121">
        <v>42593</v>
      </c>
      <c r="C1734" s="123">
        <v>1.57</v>
      </c>
      <c r="D1734" s="73">
        <f t="shared" si="29"/>
        <v>1.5700000000000002E-2</v>
      </c>
    </row>
    <row r="1735" spans="2:4">
      <c r="B1735" s="121">
        <v>42594</v>
      </c>
      <c r="C1735" s="123">
        <v>1.51</v>
      </c>
      <c r="D1735" s="73">
        <f t="shared" si="29"/>
        <v>1.5100000000000001E-2</v>
      </c>
    </row>
    <row r="1736" spans="2:4">
      <c r="B1736" s="121">
        <v>42597</v>
      </c>
      <c r="C1736" s="123">
        <v>1.55</v>
      </c>
      <c r="D1736" s="73">
        <f t="shared" si="29"/>
        <v>1.55E-2</v>
      </c>
    </row>
    <row r="1737" spans="2:4">
      <c r="B1737" s="121">
        <v>42598</v>
      </c>
      <c r="C1737" s="123">
        <v>1.57</v>
      </c>
      <c r="D1737" s="73">
        <f t="shared" si="29"/>
        <v>1.5700000000000002E-2</v>
      </c>
    </row>
    <row r="1738" spans="2:4">
      <c r="B1738" s="121">
        <v>42599</v>
      </c>
      <c r="C1738" s="123">
        <v>1.56</v>
      </c>
      <c r="D1738" s="73">
        <f t="shared" si="29"/>
        <v>1.5600000000000001E-2</v>
      </c>
    </row>
    <row r="1739" spans="2:4">
      <c r="B1739" s="121">
        <v>42600</v>
      </c>
      <c r="C1739" s="123">
        <v>1.53</v>
      </c>
      <c r="D1739" s="73">
        <f t="shared" si="29"/>
        <v>1.5300000000000001E-2</v>
      </c>
    </row>
    <row r="1740" spans="2:4">
      <c r="B1740" s="121">
        <v>42601</v>
      </c>
      <c r="C1740" s="123">
        <v>1.58</v>
      </c>
      <c r="D1740" s="73">
        <f t="shared" si="29"/>
        <v>1.5800000000000002E-2</v>
      </c>
    </row>
    <row r="1741" spans="2:4">
      <c r="B1741" s="121">
        <v>42604</v>
      </c>
      <c r="C1741" s="123">
        <v>1.55</v>
      </c>
      <c r="D1741" s="73">
        <f t="shared" si="29"/>
        <v>1.55E-2</v>
      </c>
    </row>
    <row r="1742" spans="2:4">
      <c r="B1742" s="121">
        <v>42605</v>
      </c>
      <c r="C1742" s="123">
        <v>1.55</v>
      </c>
      <c r="D1742" s="73">
        <f t="shared" ref="D1742:D1765" si="30">IF( LEN( C1742 ) = 0, #N/A, IF( C1742 = "ND", D1741, C1742 / 100 ) )</f>
        <v>1.55E-2</v>
      </c>
    </row>
    <row r="1743" spans="2:4">
      <c r="B1743" s="121">
        <v>42606</v>
      </c>
      <c r="C1743" s="123">
        <v>1.56</v>
      </c>
      <c r="D1743" s="73">
        <f t="shared" si="30"/>
        <v>1.5600000000000001E-2</v>
      </c>
    </row>
    <row r="1744" spans="2:4">
      <c r="B1744" s="121">
        <v>42607</v>
      </c>
      <c r="C1744" s="123">
        <v>1.58</v>
      </c>
      <c r="D1744" s="73">
        <f t="shared" si="30"/>
        <v>1.5800000000000002E-2</v>
      </c>
    </row>
    <row r="1745" spans="2:4">
      <c r="B1745" s="121">
        <v>42608</v>
      </c>
      <c r="C1745" s="123">
        <v>1.62</v>
      </c>
      <c r="D1745" s="73">
        <f t="shared" si="30"/>
        <v>1.6200000000000003E-2</v>
      </c>
    </row>
    <row r="1746" spans="2:4">
      <c r="B1746" s="121">
        <v>42611</v>
      </c>
      <c r="C1746" s="123">
        <v>1.57</v>
      </c>
      <c r="D1746" s="73">
        <f t="shared" si="30"/>
        <v>1.5700000000000002E-2</v>
      </c>
    </row>
    <row r="1747" spans="2:4">
      <c r="B1747" s="121">
        <v>42612</v>
      </c>
      <c r="C1747" s="123">
        <v>1.57</v>
      </c>
      <c r="D1747" s="73">
        <f t="shared" si="30"/>
        <v>1.5700000000000002E-2</v>
      </c>
    </row>
    <row r="1748" spans="2:4">
      <c r="B1748" s="121">
        <v>42613</v>
      </c>
      <c r="C1748" s="123">
        <v>1.58</v>
      </c>
      <c r="D1748" s="73">
        <f t="shared" si="30"/>
        <v>1.5800000000000002E-2</v>
      </c>
    </row>
    <row r="1749" spans="2:4">
      <c r="B1749" s="121">
        <v>42614</v>
      </c>
      <c r="C1749" s="123">
        <v>1.57</v>
      </c>
      <c r="D1749" s="73">
        <f t="shared" si="30"/>
        <v>1.5700000000000002E-2</v>
      </c>
    </row>
    <row r="1750" spans="2:4">
      <c r="B1750" s="121">
        <v>42615</v>
      </c>
      <c r="C1750" s="123">
        <v>1.6</v>
      </c>
      <c r="D1750" s="73">
        <f t="shared" si="30"/>
        <v>1.6E-2</v>
      </c>
    </row>
    <row r="1751" spans="2:4">
      <c r="B1751" s="121">
        <v>42618</v>
      </c>
      <c r="C1751" s="123" t="s">
        <v>325</v>
      </c>
      <c r="D1751" s="73">
        <f t="shared" si="30"/>
        <v>1.6E-2</v>
      </c>
    </row>
    <row r="1752" spans="2:4">
      <c r="B1752" s="121">
        <v>42619</v>
      </c>
      <c r="C1752" s="123">
        <v>1.55</v>
      </c>
      <c r="D1752" s="73">
        <f t="shared" si="30"/>
        <v>1.55E-2</v>
      </c>
    </row>
    <row r="1753" spans="2:4">
      <c r="B1753" s="121">
        <v>42620</v>
      </c>
      <c r="C1753" s="123">
        <v>1.54</v>
      </c>
      <c r="D1753" s="73">
        <f t="shared" si="30"/>
        <v>1.54E-2</v>
      </c>
    </row>
    <row r="1754" spans="2:4">
      <c r="B1754" s="121">
        <v>42621</v>
      </c>
      <c r="C1754" s="123">
        <v>1.61</v>
      </c>
      <c r="D1754" s="73">
        <f t="shared" si="30"/>
        <v>1.61E-2</v>
      </c>
    </row>
    <row r="1755" spans="2:4">
      <c r="B1755" s="121">
        <v>42622</v>
      </c>
      <c r="C1755" s="123">
        <v>1.67</v>
      </c>
      <c r="D1755" s="73">
        <f t="shared" si="30"/>
        <v>1.67E-2</v>
      </c>
    </row>
    <row r="1756" spans="2:4">
      <c r="B1756" s="121">
        <v>42625</v>
      </c>
      <c r="C1756" s="123">
        <v>1.68</v>
      </c>
      <c r="D1756" s="73">
        <f t="shared" si="30"/>
        <v>1.6799999999999999E-2</v>
      </c>
    </row>
    <row r="1757" spans="2:4">
      <c r="B1757" s="121">
        <v>42626</v>
      </c>
      <c r="C1757" s="123">
        <v>1.73</v>
      </c>
      <c r="D1757" s="73">
        <f t="shared" si="30"/>
        <v>1.7299999999999999E-2</v>
      </c>
    </row>
    <row r="1758" spans="2:4">
      <c r="B1758" s="121">
        <v>42627</v>
      </c>
      <c r="C1758" s="123">
        <v>1.7</v>
      </c>
      <c r="D1758" s="73">
        <f t="shared" si="30"/>
        <v>1.7000000000000001E-2</v>
      </c>
    </row>
    <row r="1759" spans="2:4">
      <c r="B1759" s="121">
        <v>42628</v>
      </c>
      <c r="C1759" s="123">
        <v>1.71</v>
      </c>
      <c r="D1759" s="73">
        <f t="shared" si="30"/>
        <v>1.7100000000000001E-2</v>
      </c>
    </row>
    <row r="1760" spans="2:4">
      <c r="B1760" s="121">
        <v>42629</v>
      </c>
      <c r="C1760" s="123">
        <v>1.7</v>
      </c>
      <c r="D1760" s="73">
        <f t="shared" si="30"/>
        <v>1.7000000000000001E-2</v>
      </c>
    </row>
    <row r="1761" spans="2:4">
      <c r="B1761" s="121">
        <v>42632</v>
      </c>
      <c r="C1761" s="123">
        <v>1.7</v>
      </c>
      <c r="D1761" s="73">
        <f t="shared" si="30"/>
        <v>1.7000000000000001E-2</v>
      </c>
    </row>
    <row r="1762" spans="2:4">
      <c r="B1762" s="121">
        <v>42633</v>
      </c>
      <c r="C1762" s="123">
        <v>1.69</v>
      </c>
      <c r="D1762" s="73">
        <f t="shared" si="30"/>
        <v>1.6899999999999998E-2</v>
      </c>
    </row>
    <row r="1763" spans="2:4">
      <c r="B1763" s="121">
        <v>42634</v>
      </c>
      <c r="C1763" s="123">
        <v>1.66</v>
      </c>
      <c r="D1763" s="73">
        <f t="shared" si="30"/>
        <v>1.66E-2</v>
      </c>
    </row>
    <row r="1764" spans="2:4">
      <c r="B1764" s="121">
        <v>42635</v>
      </c>
      <c r="C1764" s="123">
        <v>1.63</v>
      </c>
      <c r="D1764" s="73">
        <f t="shared" si="30"/>
        <v>1.6299999999999999E-2</v>
      </c>
    </row>
    <row r="1765" spans="2:4">
      <c r="B1765" s="121">
        <v>42636</v>
      </c>
      <c r="C1765" s="123">
        <v>1.62</v>
      </c>
      <c r="D1765" s="73">
        <f t="shared" si="30"/>
        <v>1.6200000000000003E-2</v>
      </c>
    </row>
    <row r="1766" spans="2:4">
      <c r="B1766" s="121">
        <v>42639</v>
      </c>
      <c r="C1766" s="123">
        <v>1.59</v>
      </c>
      <c r="D1766" s="73">
        <f t="shared" ref="D1766:D1790" si="31">IF( LEN( C1766 ) = 0, #N/A, IF( C1766 = "ND", D1765, C1766 / 100 ) )</f>
        <v>1.5900000000000001E-2</v>
      </c>
    </row>
    <row r="1767" spans="2:4">
      <c r="B1767" s="121">
        <v>42640</v>
      </c>
      <c r="C1767" s="123">
        <v>1.56</v>
      </c>
      <c r="D1767" s="73">
        <f t="shared" si="31"/>
        <v>1.5600000000000001E-2</v>
      </c>
    </row>
    <row r="1768" spans="2:4">
      <c r="B1768" s="121">
        <v>42641</v>
      </c>
      <c r="C1768" s="123">
        <v>1.57</v>
      </c>
      <c r="D1768" s="73">
        <f t="shared" si="31"/>
        <v>1.5700000000000002E-2</v>
      </c>
    </row>
    <row r="1769" spans="2:4">
      <c r="B1769" s="121">
        <v>42642</v>
      </c>
      <c r="C1769" s="123">
        <v>1.56</v>
      </c>
      <c r="D1769" s="73">
        <f t="shared" si="31"/>
        <v>1.5600000000000001E-2</v>
      </c>
    </row>
    <row r="1770" spans="2:4">
      <c r="B1770" s="121">
        <v>42643</v>
      </c>
      <c r="C1770" s="123">
        <v>1.6</v>
      </c>
      <c r="D1770" s="73">
        <f t="shared" si="31"/>
        <v>1.6E-2</v>
      </c>
    </row>
    <row r="1771" spans="2:4">
      <c r="B1771" s="121">
        <v>42646</v>
      </c>
      <c r="C1771" s="123">
        <v>1.63</v>
      </c>
      <c r="D1771" s="73">
        <f t="shared" si="31"/>
        <v>1.6299999999999999E-2</v>
      </c>
    </row>
    <row r="1772" spans="2:4">
      <c r="B1772" s="121">
        <v>42647</v>
      </c>
      <c r="C1772" s="123">
        <v>1.69</v>
      </c>
      <c r="D1772" s="73">
        <f t="shared" si="31"/>
        <v>1.6899999999999998E-2</v>
      </c>
    </row>
    <row r="1773" spans="2:4">
      <c r="B1773" s="121">
        <v>42648</v>
      </c>
      <c r="C1773" s="123">
        <v>1.72</v>
      </c>
      <c r="D1773" s="73">
        <f t="shared" si="31"/>
        <v>1.72E-2</v>
      </c>
    </row>
    <row r="1774" spans="2:4">
      <c r="B1774" s="121">
        <v>42649</v>
      </c>
      <c r="C1774" s="123">
        <v>1.75</v>
      </c>
      <c r="D1774" s="73">
        <f t="shared" si="31"/>
        <v>1.7500000000000002E-2</v>
      </c>
    </row>
    <row r="1775" spans="2:4">
      <c r="B1775" s="121">
        <v>42650</v>
      </c>
      <c r="C1775" s="123">
        <v>1.73</v>
      </c>
      <c r="D1775" s="73">
        <f t="shared" si="31"/>
        <v>1.7299999999999999E-2</v>
      </c>
    </row>
    <row r="1776" spans="2:4">
      <c r="B1776" s="121">
        <v>42653</v>
      </c>
      <c r="C1776" s="123" t="s">
        <v>325</v>
      </c>
      <c r="D1776" s="73">
        <f t="shared" si="31"/>
        <v>1.7299999999999999E-2</v>
      </c>
    </row>
    <row r="1777" spans="2:4">
      <c r="B1777" s="121">
        <v>42654</v>
      </c>
      <c r="C1777" s="123">
        <v>1.77</v>
      </c>
      <c r="D1777" s="73">
        <f t="shared" si="31"/>
        <v>1.77E-2</v>
      </c>
    </row>
    <row r="1778" spans="2:4">
      <c r="B1778" s="121">
        <v>42655</v>
      </c>
      <c r="C1778" s="123">
        <v>1.79</v>
      </c>
      <c r="D1778" s="73">
        <f t="shared" si="31"/>
        <v>1.7899999999999999E-2</v>
      </c>
    </row>
    <row r="1779" spans="2:4">
      <c r="B1779" s="121">
        <v>42656</v>
      </c>
      <c r="C1779" s="123">
        <v>1.75</v>
      </c>
      <c r="D1779" s="73">
        <f t="shared" si="31"/>
        <v>1.7500000000000002E-2</v>
      </c>
    </row>
    <row r="1780" spans="2:4">
      <c r="B1780" s="121">
        <v>42657</v>
      </c>
      <c r="C1780" s="123">
        <v>1.8</v>
      </c>
      <c r="D1780" s="73">
        <f t="shared" si="31"/>
        <v>1.8000000000000002E-2</v>
      </c>
    </row>
    <row r="1781" spans="2:4">
      <c r="B1781" s="121">
        <v>42660</v>
      </c>
      <c r="C1781" s="123">
        <v>1.77</v>
      </c>
      <c r="D1781" s="73">
        <f t="shared" si="31"/>
        <v>1.77E-2</v>
      </c>
    </row>
    <row r="1782" spans="2:4">
      <c r="B1782" s="121">
        <v>42661</v>
      </c>
      <c r="C1782" s="123">
        <v>1.75</v>
      </c>
      <c r="D1782" s="73">
        <f t="shared" si="31"/>
        <v>1.7500000000000002E-2</v>
      </c>
    </row>
    <row r="1783" spans="2:4">
      <c r="B1783" s="121">
        <v>42662</v>
      </c>
      <c r="C1783" s="123">
        <v>1.76</v>
      </c>
      <c r="D1783" s="73">
        <f t="shared" si="31"/>
        <v>1.7600000000000001E-2</v>
      </c>
    </row>
    <row r="1784" spans="2:4">
      <c r="B1784" s="121">
        <v>42663</v>
      </c>
      <c r="C1784" s="123">
        <v>1.76</v>
      </c>
      <c r="D1784" s="73">
        <f t="shared" si="31"/>
        <v>1.7600000000000001E-2</v>
      </c>
    </row>
    <row r="1785" spans="2:4">
      <c r="B1785" s="121">
        <v>42664</v>
      </c>
      <c r="C1785" s="123">
        <v>1.74</v>
      </c>
      <c r="D1785" s="73">
        <f t="shared" si="31"/>
        <v>1.7399999999999999E-2</v>
      </c>
    </row>
    <row r="1786" spans="2:4">
      <c r="B1786" s="121">
        <v>42667</v>
      </c>
      <c r="C1786" s="123">
        <v>1.77</v>
      </c>
      <c r="D1786" s="73">
        <f t="shared" si="31"/>
        <v>1.77E-2</v>
      </c>
    </row>
    <row r="1787" spans="2:4">
      <c r="B1787" s="121">
        <v>42668</v>
      </c>
      <c r="C1787" s="123">
        <v>1.77</v>
      </c>
      <c r="D1787" s="73">
        <f t="shared" si="31"/>
        <v>1.77E-2</v>
      </c>
    </row>
    <row r="1788" spans="2:4">
      <c r="B1788" s="121">
        <v>42669</v>
      </c>
      <c r="C1788" s="123">
        <v>1.79</v>
      </c>
      <c r="D1788" s="73">
        <f t="shared" si="31"/>
        <v>1.7899999999999999E-2</v>
      </c>
    </row>
    <row r="1789" spans="2:4">
      <c r="B1789" s="121">
        <v>42670</v>
      </c>
      <c r="C1789" s="123">
        <v>1.85</v>
      </c>
      <c r="D1789" s="73">
        <f t="shared" si="31"/>
        <v>1.8500000000000003E-2</v>
      </c>
    </row>
    <row r="1790" spans="2:4">
      <c r="B1790" s="121">
        <v>42671</v>
      </c>
      <c r="C1790" s="123">
        <v>1.86</v>
      </c>
      <c r="D1790" s="73">
        <f t="shared" si="31"/>
        <v>1.8600000000000002E-2</v>
      </c>
    </row>
    <row r="1791" spans="2:4">
      <c r="B1791" s="121">
        <v>42674</v>
      </c>
      <c r="C1791" s="123">
        <v>1.84</v>
      </c>
      <c r="D1791" s="73">
        <f t="shared" ref="D1791:D1835" si="32">IF( LEN( C1791 ) = 0, #N/A, IF( C1791 = "ND", D1790, C1791 / 100 ) )</f>
        <v>1.84E-2</v>
      </c>
    </row>
    <row r="1792" spans="2:4">
      <c r="B1792" s="121">
        <v>42675</v>
      </c>
      <c r="C1792" s="123">
        <v>1.83</v>
      </c>
      <c r="D1792" s="73">
        <f t="shared" si="32"/>
        <v>1.83E-2</v>
      </c>
    </row>
    <row r="1793" spans="2:4">
      <c r="B1793" s="121">
        <v>42676</v>
      </c>
      <c r="C1793" s="123">
        <v>1.81</v>
      </c>
      <c r="D1793" s="73">
        <f t="shared" si="32"/>
        <v>1.8100000000000002E-2</v>
      </c>
    </row>
    <row r="1794" spans="2:4">
      <c r="B1794" s="121">
        <v>42677</v>
      </c>
      <c r="C1794" s="123">
        <v>1.82</v>
      </c>
      <c r="D1794" s="73">
        <f t="shared" si="32"/>
        <v>1.8200000000000001E-2</v>
      </c>
    </row>
    <row r="1795" spans="2:4">
      <c r="B1795" s="121">
        <v>42678</v>
      </c>
      <c r="C1795" s="123">
        <v>1.79</v>
      </c>
      <c r="D1795" s="73">
        <f t="shared" si="32"/>
        <v>1.7899999999999999E-2</v>
      </c>
    </row>
    <row r="1796" spans="2:4">
      <c r="B1796" s="121">
        <v>42681</v>
      </c>
      <c r="C1796" s="123">
        <v>1.83</v>
      </c>
      <c r="D1796" s="73">
        <f t="shared" si="32"/>
        <v>1.83E-2</v>
      </c>
    </row>
    <row r="1797" spans="2:4">
      <c r="B1797" s="121">
        <v>42682</v>
      </c>
      <c r="C1797" s="123">
        <v>1.88</v>
      </c>
      <c r="D1797" s="73">
        <f t="shared" si="32"/>
        <v>1.8799999999999997E-2</v>
      </c>
    </row>
    <row r="1798" spans="2:4">
      <c r="B1798" s="121">
        <v>42683</v>
      </c>
      <c r="C1798" s="123">
        <v>2.0699999999999998</v>
      </c>
      <c r="D1798" s="73">
        <f t="shared" si="32"/>
        <v>2.07E-2</v>
      </c>
    </row>
    <row r="1799" spans="2:4">
      <c r="B1799" s="121">
        <v>42684</v>
      </c>
      <c r="C1799" s="123">
        <v>2.15</v>
      </c>
      <c r="D1799" s="73">
        <f t="shared" si="32"/>
        <v>2.1499999999999998E-2</v>
      </c>
    </row>
    <row r="1800" spans="2:4">
      <c r="B1800" s="121">
        <v>42685</v>
      </c>
      <c r="C1800" s="123" t="s">
        <v>325</v>
      </c>
      <c r="D1800" s="73">
        <f t="shared" si="32"/>
        <v>2.1499999999999998E-2</v>
      </c>
    </row>
    <row r="1801" spans="2:4">
      <c r="B1801" s="121">
        <v>42688</v>
      </c>
      <c r="C1801" s="123">
        <v>2.23</v>
      </c>
      <c r="D1801" s="73">
        <f t="shared" si="32"/>
        <v>2.23E-2</v>
      </c>
    </row>
    <row r="1802" spans="2:4">
      <c r="B1802" s="121">
        <v>42689</v>
      </c>
      <c r="C1802" s="123">
        <v>2.23</v>
      </c>
      <c r="D1802" s="73">
        <f t="shared" si="32"/>
        <v>2.23E-2</v>
      </c>
    </row>
    <row r="1803" spans="2:4">
      <c r="B1803" s="121">
        <v>42690</v>
      </c>
      <c r="C1803" s="123">
        <v>2.2200000000000002</v>
      </c>
      <c r="D1803" s="73">
        <f t="shared" si="32"/>
        <v>2.2200000000000001E-2</v>
      </c>
    </row>
    <row r="1804" spans="2:4">
      <c r="B1804" s="121">
        <v>42691</v>
      </c>
      <c r="C1804" s="123">
        <v>2.29</v>
      </c>
      <c r="D1804" s="73">
        <f t="shared" si="32"/>
        <v>2.29E-2</v>
      </c>
    </row>
    <row r="1805" spans="2:4">
      <c r="B1805" s="121">
        <v>42692</v>
      </c>
      <c r="C1805" s="123">
        <v>2.34</v>
      </c>
      <c r="D1805" s="73">
        <f t="shared" si="32"/>
        <v>2.3399999999999997E-2</v>
      </c>
    </row>
    <row r="1806" spans="2:4">
      <c r="B1806" s="121">
        <v>42695</v>
      </c>
      <c r="C1806" s="123">
        <v>2.33</v>
      </c>
      <c r="D1806" s="73">
        <f t="shared" si="32"/>
        <v>2.3300000000000001E-2</v>
      </c>
    </row>
    <row r="1807" spans="2:4">
      <c r="B1807" s="121">
        <v>42696</v>
      </c>
      <c r="C1807" s="123">
        <v>2.31</v>
      </c>
      <c r="D1807" s="73">
        <f t="shared" si="32"/>
        <v>2.3099999999999999E-2</v>
      </c>
    </row>
    <row r="1808" spans="2:4">
      <c r="B1808" s="121">
        <v>42697</v>
      </c>
      <c r="C1808" s="123">
        <v>2.36</v>
      </c>
      <c r="D1808" s="73">
        <f t="shared" si="32"/>
        <v>2.3599999999999999E-2</v>
      </c>
    </row>
    <row r="1809" spans="2:4">
      <c r="B1809" s="121">
        <v>42698</v>
      </c>
      <c r="C1809" s="123" t="s">
        <v>325</v>
      </c>
      <c r="D1809" s="73">
        <f t="shared" si="32"/>
        <v>2.3599999999999999E-2</v>
      </c>
    </row>
    <row r="1810" spans="2:4">
      <c r="B1810" s="121">
        <v>42699</v>
      </c>
      <c r="C1810" s="123">
        <v>2.36</v>
      </c>
      <c r="D1810" s="73">
        <f t="shared" si="32"/>
        <v>2.3599999999999999E-2</v>
      </c>
    </row>
    <row r="1811" spans="2:4">
      <c r="B1811" s="121">
        <v>42702</v>
      </c>
      <c r="C1811" s="123">
        <v>2.3199999999999998</v>
      </c>
      <c r="D1811" s="73">
        <f t="shared" si="32"/>
        <v>2.3199999999999998E-2</v>
      </c>
    </row>
    <row r="1812" spans="2:4">
      <c r="B1812" s="121">
        <v>42703</v>
      </c>
      <c r="C1812" s="123">
        <v>2.2999999999999998</v>
      </c>
      <c r="D1812" s="73">
        <f t="shared" si="32"/>
        <v>2.3E-2</v>
      </c>
    </row>
    <row r="1813" spans="2:4">
      <c r="B1813" s="121">
        <v>42704</v>
      </c>
      <c r="C1813" s="123">
        <v>2.37</v>
      </c>
      <c r="D1813" s="73">
        <f t="shared" si="32"/>
        <v>2.3700000000000002E-2</v>
      </c>
    </row>
    <row r="1814" spans="2:4">
      <c r="B1814" s="121">
        <v>42705</v>
      </c>
      <c r="C1814" s="123">
        <v>2.4500000000000002</v>
      </c>
      <c r="D1814" s="73">
        <f t="shared" si="32"/>
        <v>2.4500000000000001E-2</v>
      </c>
    </row>
    <row r="1815" spans="2:4">
      <c r="B1815" s="121">
        <v>42706</v>
      </c>
      <c r="C1815" s="123">
        <v>2.4</v>
      </c>
      <c r="D1815" s="73">
        <f t="shared" si="32"/>
        <v>2.4E-2</v>
      </c>
    </row>
    <row r="1816" spans="2:4">
      <c r="B1816" s="121">
        <v>42709</v>
      </c>
      <c r="C1816" s="123">
        <v>2.39</v>
      </c>
      <c r="D1816" s="73">
        <f t="shared" si="32"/>
        <v>2.3900000000000001E-2</v>
      </c>
    </row>
    <row r="1817" spans="2:4">
      <c r="B1817" s="121">
        <v>42710</v>
      </c>
      <c r="C1817" s="123">
        <v>2.39</v>
      </c>
      <c r="D1817" s="73">
        <f t="shared" si="32"/>
        <v>2.3900000000000001E-2</v>
      </c>
    </row>
    <row r="1818" spans="2:4">
      <c r="B1818" s="121">
        <v>42711</v>
      </c>
      <c r="C1818" s="123">
        <v>2.34</v>
      </c>
      <c r="D1818" s="73">
        <f t="shared" si="32"/>
        <v>2.3399999999999997E-2</v>
      </c>
    </row>
    <row r="1819" spans="2:4">
      <c r="B1819" s="121">
        <v>42712</v>
      </c>
      <c r="C1819" s="123">
        <v>2.4</v>
      </c>
      <c r="D1819" s="73">
        <f t="shared" si="32"/>
        <v>2.4E-2</v>
      </c>
    </row>
    <row r="1820" spans="2:4">
      <c r="B1820" s="121">
        <v>42713</v>
      </c>
      <c r="C1820" s="123">
        <v>2.4700000000000002</v>
      </c>
      <c r="D1820" s="73">
        <f t="shared" si="32"/>
        <v>2.4700000000000003E-2</v>
      </c>
    </row>
    <row r="1821" spans="2:4">
      <c r="B1821" s="121">
        <v>42716</v>
      </c>
      <c r="C1821" s="123">
        <v>2.4900000000000002</v>
      </c>
      <c r="D1821" s="73">
        <f t="shared" si="32"/>
        <v>2.4900000000000002E-2</v>
      </c>
    </row>
    <row r="1822" spans="2:4">
      <c r="B1822" s="121">
        <v>42717</v>
      </c>
      <c r="C1822" s="123">
        <v>2.48</v>
      </c>
      <c r="D1822" s="73">
        <f t="shared" si="32"/>
        <v>2.4799999999999999E-2</v>
      </c>
    </row>
    <row r="1823" spans="2:4">
      <c r="B1823" s="121">
        <v>42718</v>
      </c>
      <c r="C1823" s="123">
        <v>2.54</v>
      </c>
      <c r="D1823" s="73">
        <f t="shared" si="32"/>
        <v>2.5399999999999999E-2</v>
      </c>
    </row>
    <row r="1824" spans="2:4">
      <c r="B1824" s="121">
        <v>42719</v>
      </c>
      <c r="C1824" s="123">
        <v>2.6</v>
      </c>
      <c r="D1824" s="73">
        <f t="shared" si="32"/>
        <v>2.6000000000000002E-2</v>
      </c>
    </row>
    <row r="1825" spans="2:4">
      <c r="B1825" s="121">
        <v>42720</v>
      </c>
      <c r="C1825" s="123">
        <v>2.6</v>
      </c>
      <c r="D1825" s="73">
        <f t="shared" si="32"/>
        <v>2.6000000000000002E-2</v>
      </c>
    </row>
    <row r="1826" spans="2:4">
      <c r="B1826" s="121">
        <v>42723</v>
      </c>
      <c r="C1826" s="123">
        <v>2.54</v>
      </c>
      <c r="D1826" s="73">
        <f t="shared" si="32"/>
        <v>2.5399999999999999E-2</v>
      </c>
    </row>
    <row r="1827" spans="2:4">
      <c r="B1827" s="121">
        <v>42724</v>
      </c>
      <c r="C1827" s="123">
        <v>2.57</v>
      </c>
      <c r="D1827" s="73">
        <f t="shared" si="32"/>
        <v>2.5699999999999997E-2</v>
      </c>
    </row>
    <row r="1828" spans="2:4">
      <c r="B1828" s="121">
        <v>42725</v>
      </c>
      <c r="C1828" s="123">
        <v>2.5499999999999998</v>
      </c>
      <c r="D1828" s="73">
        <f t="shared" si="32"/>
        <v>2.5499999999999998E-2</v>
      </c>
    </row>
    <row r="1829" spans="2:4">
      <c r="B1829" s="121">
        <v>42726</v>
      </c>
      <c r="C1829" s="123">
        <v>2.5499999999999998</v>
      </c>
      <c r="D1829" s="73">
        <f t="shared" si="32"/>
        <v>2.5499999999999998E-2</v>
      </c>
    </row>
    <row r="1830" spans="2:4">
      <c r="B1830" s="121">
        <v>42727</v>
      </c>
      <c r="C1830" s="123">
        <v>2.5499999999999998</v>
      </c>
      <c r="D1830" s="73">
        <f t="shared" si="32"/>
        <v>2.5499999999999998E-2</v>
      </c>
    </row>
    <row r="1831" spans="2:4">
      <c r="B1831" s="121">
        <v>42730</v>
      </c>
      <c r="C1831" s="123" t="s">
        <v>325</v>
      </c>
      <c r="D1831" s="73">
        <f t="shared" si="32"/>
        <v>2.5499999999999998E-2</v>
      </c>
    </row>
    <row r="1832" spans="2:4">
      <c r="B1832" s="121">
        <v>42731</v>
      </c>
      <c r="C1832" s="123">
        <v>2.57</v>
      </c>
      <c r="D1832" s="73">
        <f t="shared" si="32"/>
        <v>2.5699999999999997E-2</v>
      </c>
    </row>
    <row r="1833" spans="2:4">
      <c r="B1833" s="121">
        <v>42732</v>
      </c>
      <c r="C1833" s="123">
        <v>2.5099999999999998</v>
      </c>
      <c r="D1833" s="73">
        <f t="shared" si="32"/>
        <v>2.5099999999999997E-2</v>
      </c>
    </row>
    <row r="1834" spans="2:4">
      <c r="B1834" s="121">
        <v>42733</v>
      </c>
      <c r="C1834" s="123">
        <v>2.4900000000000002</v>
      </c>
      <c r="D1834" s="73">
        <f t="shared" si="32"/>
        <v>2.4900000000000002E-2</v>
      </c>
    </row>
    <row r="1835" spans="2:4">
      <c r="B1835" s="121">
        <v>42734</v>
      </c>
      <c r="C1835" s="123">
        <v>2.4500000000000002</v>
      </c>
      <c r="D1835" s="73">
        <f t="shared" si="32"/>
        <v>2.4500000000000001E-2</v>
      </c>
    </row>
    <row r="1836" spans="2:4">
      <c r="B1836" s="121">
        <v>42737</v>
      </c>
      <c r="C1836" s="123" t="s">
        <v>325</v>
      </c>
      <c r="D1836" s="73">
        <f t="shared" ref="D1836:D1899" si="33">IF( LEN( C1836 ) = 0, #N/A, IF( C1836 = "ND", D1835, C1836 / 100 ) )</f>
        <v>2.4500000000000001E-2</v>
      </c>
    </row>
    <row r="1837" spans="2:4">
      <c r="B1837" s="121">
        <v>42738</v>
      </c>
      <c r="C1837" s="123">
        <v>2.4500000000000002</v>
      </c>
      <c r="D1837" s="73">
        <f t="shared" si="33"/>
        <v>2.4500000000000001E-2</v>
      </c>
    </row>
    <row r="1838" spans="2:4">
      <c r="B1838" s="121">
        <v>42739</v>
      </c>
      <c r="C1838" s="123">
        <v>2.46</v>
      </c>
      <c r="D1838" s="73">
        <f t="shared" si="33"/>
        <v>2.46E-2</v>
      </c>
    </row>
    <row r="1839" spans="2:4">
      <c r="B1839" s="121">
        <v>42740</v>
      </c>
      <c r="C1839" s="123">
        <v>2.37</v>
      </c>
      <c r="D1839" s="73">
        <f t="shared" si="33"/>
        <v>2.3700000000000002E-2</v>
      </c>
    </row>
    <row r="1840" spans="2:4">
      <c r="B1840" s="121">
        <v>42741</v>
      </c>
      <c r="C1840" s="123">
        <v>2.42</v>
      </c>
      <c r="D1840" s="73">
        <f t="shared" si="33"/>
        <v>2.4199999999999999E-2</v>
      </c>
    </row>
    <row r="1841" spans="2:4">
      <c r="B1841" s="121">
        <v>42744</v>
      </c>
      <c r="C1841" s="123">
        <v>2.38</v>
      </c>
      <c r="D1841" s="73">
        <f t="shared" si="33"/>
        <v>2.3799999999999998E-2</v>
      </c>
    </row>
    <row r="1842" spans="2:4">
      <c r="B1842" s="121">
        <v>42745</v>
      </c>
      <c r="C1842" s="123">
        <v>2.38</v>
      </c>
      <c r="D1842" s="73">
        <f t="shared" si="33"/>
        <v>2.3799999999999998E-2</v>
      </c>
    </row>
    <row r="1843" spans="2:4">
      <c r="B1843" s="121">
        <v>42746</v>
      </c>
      <c r="C1843" s="123">
        <v>2.38</v>
      </c>
      <c r="D1843" s="73">
        <f t="shared" si="33"/>
        <v>2.3799999999999998E-2</v>
      </c>
    </row>
    <row r="1844" spans="2:4">
      <c r="B1844" s="121">
        <v>42747</v>
      </c>
      <c r="C1844" s="123">
        <v>2.36</v>
      </c>
      <c r="D1844" s="73">
        <f t="shared" si="33"/>
        <v>2.3599999999999999E-2</v>
      </c>
    </row>
    <row r="1845" spans="2:4">
      <c r="B1845" s="121">
        <v>42748</v>
      </c>
      <c r="C1845" s="123">
        <v>2.4</v>
      </c>
      <c r="D1845" s="73">
        <f t="shared" si="33"/>
        <v>2.4E-2</v>
      </c>
    </row>
    <row r="1846" spans="2:4">
      <c r="B1846" s="121">
        <v>42751</v>
      </c>
      <c r="C1846" s="123" t="s">
        <v>325</v>
      </c>
      <c r="D1846" s="73">
        <f t="shared" si="33"/>
        <v>2.4E-2</v>
      </c>
    </row>
    <row r="1847" spans="2:4">
      <c r="B1847" s="121">
        <v>42752</v>
      </c>
      <c r="C1847" s="123">
        <v>2.33</v>
      </c>
      <c r="D1847" s="73">
        <f t="shared" si="33"/>
        <v>2.3300000000000001E-2</v>
      </c>
    </row>
    <row r="1848" spans="2:4">
      <c r="B1848" s="121">
        <v>42753</v>
      </c>
      <c r="C1848" s="123">
        <v>2.42</v>
      </c>
      <c r="D1848" s="73">
        <f t="shared" si="33"/>
        <v>2.4199999999999999E-2</v>
      </c>
    </row>
    <row r="1849" spans="2:4">
      <c r="B1849" s="121">
        <v>42754</v>
      </c>
      <c r="C1849" s="123">
        <v>2.4700000000000002</v>
      </c>
      <c r="D1849" s="73">
        <f t="shared" si="33"/>
        <v>2.4700000000000003E-2</v>
      </c>
    </row>
    <row r="1850" spans="2:4">
      <c r="B1850" s="121">
        <v>42755</v>
      </c>
      <c r="C1850" s="123">
        <v>2.48</v>
      </c>
      <c r="D1850" s="73">
        <f t="shared" si="33"/>
        <v>2.4799999999999999E-2</v>
      </c>
    </row>
    <row r="1851" spans="2:4">
      <c r="B1851" s="121">
        <v>42758</v>
      </c>
      <c r="C1851" s="123">
        <v>2.41</v>
      </c>
      <c r="D1851" s="73">
        <f t="shared" si="33"/>
        <v>2.41E-2</v>
      </c>
    </row>
    <row r="1852" spans="2:4">
      <c r="B1852" s="121">
        <v>42759</v>
      </c>
      <c r="C1852" s="123">
        <v>2.4700000000000002</v>
      </c>
      <c r="D1852" s="73">
        <f t="shared" si="33"/>
        <v>2.4700000000000003E-2</v>
      </c>
    </row>
    <row r="1853" spans="2:4">
      <c r="B1853" s="121">
        <v>42760</v>
      </c>
      <c r="C1853" s="123">
        <v>2.5299999999999998</v>
      </c>
      <c r="D1853" s="73">
        <f t="shared" si="33"/>
        <v>2.53E-2</v>
      </c>
    </row>
    <row r="1854" spans="2:4">
      <c r="B1854" s="121">
        <v>42761</v>
      </c>
      <c r="C1854" s="123">
        <v>2.5099999999999998</v>
      </c>
      <c r="D1854" s="73">
        <f t="shared" si="33"/>
        <v>2.5099999999999997E-2</v>
      </c>
    </row>
    <row r="1855" spans="2:4">
      <c r="B1855" s="121">
        <v>42762</v>
      </c>
      <c r="C1855" s="123">
        <v>2.4900000000000002</v>
      </c>
      <c r="D1855" s="73">
        <f t="shared" si="33"/>
        <v>2.4900000000000002E-2</v>
      </c>
    </row>
    <row r="1856" spans="2:4">
      <c r="B1856" s="121">
        <v>42765</v>
      </c>
      <c r="C1856" s="123">
        <v>2.4900000000000002</v>
      </c>
      <c r="D1856" s="73">
        <f t="shared" si="33"/>
        <v>2.4900000000000002E-2</v>
      </c>
    </row>
    <row r="1857" spans="2:4">
      <c r="B1857" s="121">
        <v>42766</v>
      </c>
      <c r="C1857" s="123">
        <v>2.4500000000000002</v>
      </c>
      <c r="D1857" s="73">
        <f t="shared" si="33"/>
        <v>2.4500000000000001E-2</v>
      </c>
    </row>
    <row r="1858" spans="2:4">
      <c r="B1858" s="121">
        <v>42767</v>
      </c>
      <c r="C1858" s="123">
        <v>2.48</v>
      </c>
      <c r="D1858" s="73">
        <f t="shared" si="33"/>
        <v>2.4799999999999999E-2</v>
      </c>
    </row>
    <row r="1859" spans="2:4">
      <c r="B1859" s="121">
        <v>42768</v>
      </c>
      <c r="C1859" s="123">
        <v>2.48</v>
      </c>
      <c r="D1859" s="73">
        <f t="shared" si="33"/>
        <v>2.4799999999999999E-2</v>
      </c>
    </row>
    <row r="1860" spans="2:4">
      <c r="B1860" s="121">
        <v>42769</v>
      </c>
      <c r="C1860" s="123">
        <v>2.4900000000000002</v>
      </c>
      <c r="D1860" s="73">
        <f t="shared" si="33"/>
        <v>2.4900000000000002E-2</v>
      </c>
    </row>
    <row r="1861" spans="2:4">
      <c r="B1861" s="121">
        <v>42772</v>
      </c>
      <c r="C1861" s="123">
        <v>2.42</v>
      </c>
      <c r="D1861" s="73">
        <f t="shared" si="33"/>
        <v>2.4199999999999999E-2</v>
      </c>
    </row>
    <row r="1862" spans="2:4">
      <c r="B1862" s="121">
        <v>42773</v>
      </c>
      <c r="C1862" s="123">
        <v>2.4</v>
      </c>
      <c r="D1862" s="73">
        <f t="shared" si="33"/>
        <v>2.4E-2</v>
      </c>
    </row>
    <row r="1863" spans="2:4">
      <c r="B1863" s="121">
        <v>42774</v>
      </c>
      <c r="C1863" s="123">
        <v>2.34</v>
      </c>
      <c r="D1863" s="73">
        <f t="shared" si="33"/>
        <v>2.3399999999999997E-2</v>
      </c>
    </row>
    <row r="1864" spans="2:4">
      <c r="B1864" s="121">
        <v>42775</v>
      </c>
      <c r="C1864" s="123">
        <v>2.4</v>
      </c>
      <c r="D1864" s="73">
        <f t="shared" si="33"/>
        <v>2.4E-2</v>
      </c>
    </row>
    <row r="1865" spans="2:4">
      <c r="B1865" s="121">
        <v>42776</v>
      </c>
      <c r="C1865" s="123">
        <v>2.41</v>
      </c>
      <c r="D1865" s="73">
        <f t="shared" si="33"/>
        <v>2.41E-2</v>
      </c>
    </row>
    <row r="1866" spans="2:4">
      <c r="B1866" s="121">
        <v>42779</v>
      </c>
      <c r="C1866" s="123">
        <v>2.4300000000000002</v>
      </c>
      <c r="D1866" s="73">
        <f t="shared" si="33"/>
        <v>2.4300000000000002E-2</v>
      </c>
    </row>
    <row r="1867" spans="2:4">
      <c r="B1867" s="121">
        <v>42780</v>
      </c>
      <c r="C1867" s="123">
        <v>2.4700000000000002</v>
      </c>
      <c r="D1867" s="73">
        <f t="shared" si="33"/>
        <v>2.4700000000000003E-2</v>
      </c>
    </row>
    <row r="1868" spans="2:4">
      <c r="B1868" s="121">
        <v>42781</v>
      </c>
      <c r="C1868" s="123">
        <v>2.5099999999999998</v>
      </c>
      <c r="D1868" s="73">
        <f t="shared" si="33"/>
        <v>2.5099999999999997E-2</v>
      </c>
    </row>
    <row r="1869" spans="2:4">
      <c r="B1869" s="121">
        <v>42782</v>
      </c>
      <c r="C1869" s="123">
        <v>2.4500000000000002</v>
      </c>
      <c r="D1869" s="73">
        <f t="shared" si="33"/>
        <v>2.4500000000000001E-2</v>
      </c>
    </row>
    <row r="1870" spans="2:4">
      <c r="B1870" s="121">
        <v>42783</v>
      </c>
      <c r="C1870" s="123">
        <v>2.42</v>
      </c>
      <c r="D1870" s="73">
        <f t="shared" si="33"/>
        <v>2.4199999999999999E-2</v>
      </c>
    </row>
    <row r="1871" spans="2:4">
      <c r="B1871" s="121">
        <v>42786</v>
      </c>
      <c r="C1871" s="123" t="s">
        <v>325</v>
      </c>
      <c r="D1871" s="73">
        <f t="shared" si="33"/>
        <v>2.4199999999999999E-2</v>
      </c>
    </row>
    <row r="1872" spans="2:4">
      <c r="B1872" s="121">
        <v>42787</v>
      </c>
      <c r="C1872" s="123">
        <v>2.4300000000000002</v>
      </c>
      <c r="D1872" s="73">
        <f t="shared" si="33"/>
        <v>2.4300000000000002E-2</v>
      </c>
    </row>
    <row r="1873" spans="2:4">
      <c r="B1873" s="121">
        <v>42788</v>
      </c>
      <c r="C1873" s="123">
        <v>2.42</v>
      </c>
      <c r="D1873" s="73">
        <f t="shared" si="33"/>
        <v>2.4199999999999999E-2</v>
      </c>
    </row>
    <row r="1874" spans="2:4">
      <c r="B1874" s="121">
        <v>42789</v>
      </c>
      <c r="C1874" s="123">
        <v>2.38</v>
      </c>
      <c r="D1874" s="73">
        <f t="shared" si="33"/>
        <v>2.3799999999999998E-2</v>
      </c>
    </row>
    <row r="1875" spans="2:4">
      <c r="B1875" s="121">
        <v>42790</v>
      </c>
      <c r="C1875" s="123">
        <v>2.31</v>
      </c>
      <c r="D1875" s="73">
        <f t="shared" si="33"/>
        <v>2.3099999999999999E-2</v>
      </c>
    </row>
    <row r="1876" spans="2:4">
      <c r="B1876" s="121">
        <v>42793</v>
      </c>
      <c r="C1876" s="123">
        <v>2.36</v>
      </c>
      <c r="D1876" s="73">
        <f t="shared" si="33"/>
        <v>2.3599999999999999E-2</v>
      </c>
    </row>
    <row r="1877" spans="2:4">
      <c r="B1877" s="121">
        <v>42794</v>
      </c>
      <c r="C1877" s="123">
        <v>2.36</v>
      </c>
      <c r="D1877" s="73">
        <f t="shared" si="33"/>
        <v>2.3599999999999999E-2</v>
      </c>
    </row>
    <row r="1878" spans="2:4">
      <c r="B1878" s="121">
        <v>42795</v>
      </c>
      <c r="C1878" s="123">
        <v>2.46</v>
      </c>
      <c r="D1878" s="73">
        <f t="shared" si="33"/>
        <v>2.46E-2</v>
      </c>
    </row>
    <row r="1879" spans="2:4">
      <c r="B1879" s="121">
        <v>42796</v>
      </c>
      <c r="C1879" s="123">
        <v>2.4900000000000002</v>
      </c>
      <c r="D1879" s="73">
        <f t="shared" si="33"/>
        <v>2.4900000000000002E-2</v>
      </c>
    </row>
    <row r="1880" spans="2:4">
      <c r="B1880" s="121">
        <v>42797</v>
      </c>
      <c r="C1880" s="123">
        <v>2.4900000000000002</v>
      </c>
      <c r="D1880" s="73">
        <f t="shared" si="33"/>
        <v>2.4900000000000002E-2</v>
      </c>
    </row>
    <row r="1881" spans="2:4">
      <c r="B1881" s="121">
        <v>42800</v>
      </c>
      <c r="C1881" s="123">
        <v>2.4900000000000002</v>
      </c>
      <c r="D1881" s="73">
        <f t="shared" si="33"/>
        <v>2.4900000000000002E-2</v>
      </c>
    </row>
    <row r="1882" spans="2:4">
      <c r="B1882" s="121">
        <v>42801</v>
      </c>
      <c r="C1882" s="123">
        <v>2.52</v>
      </c>
      <c r="D1882" s="73">
        <f t="shared" si="33"/>
        <v>2.52E-2</v>
      </c>
    </row>
    <row r="1883" spans="2:4">
      <c r="B1883" s="121">
        <v>42802</v>
      </c>
      <c r="C1883" s="123">
        <v>2.57</v>
      </c>
      <c r="D1883" s="73">
        <f t="shared" si="33"/>
        <v>2.5699999999999997E-2</v>
      </c>
    </row>
    <row r="1884" spans="2:4">
      <c r="B1884" s="121">
        <v>42803</v>
      </c>
      <c r="C1884" s="123">
        <v>2.6</v>
      </c>
      <c r="D1884" s="73">
        <f t="shared" si="33"/>
        <v>2.6000000000000002E-2</v>
      </c>
    </row>
    <row r="1885" spans="2:4">
      <c r="B1885" s="121">
        <v>42804</v>
      </c>
      <c r="C1885" s="123">
        <v>2.58</v>
      </c>
      <c r="D1885" s="73">
        <f t="shared" si="33"/>
        <v>2.58E-2</v>
      </c>
    </row>
    <row r="1886" spans="2:4">
      <c r="B1886" s="121">
        <v>42807</v>
      </c>
      <c r="C1886" s="123">
        <v>2.62</v>
      </c>
      <c r="D1886" s="73">
        <f t="shared" si="33"/>
        <v>2.6200000000000001E-2</v>
      </c>
    </row>
    <row r="1887" spans="2:4">
      <c r="B1887" s="121">
        <v>42808</v>
      </c>
      <c r="C1887" s="123">
        <v>2.6</v>
      </c>
      <c r="D1887" s="73">
        <f t="shared" si="33"/>
        <v>2.6000000000000002E-2</v>
      </c>
    </row>
    <row r="1888" spans="2:4">
      <c r="B1888" s="121">
        <v>42809</v>
      </c>
      <c r="C1888" s="123">
        <v>2.5099999999999998</v>
      </c>
      <c r="D1888" s="73">
        <f t="shared" si="33"/>
        <v>2.5099999999999997E-2</v>
      </c>
    </row>
    <row r="1889" spans="2:4">
      <c r="B1889" s="121">
        <v>42810</v>
      </c>
      <c r="C1889" s="123">
        <v>2.5299999999999998</v>
      </c>
      <c r="D1889" s="73">
        <f t="shared" si="33"/>
        <v>2.53E-2</v>
      </c>
    </row>
    <row r="1890" spans="2:4">
      <c r="B1890" s="121">
        <v>42811</v>
      </c>
      <c r="C1890" s="123">
        <v>2.5</v>
      </c>
      <c r="D1890" s="73">
        <f t="shared" si="33"/>
        <v>2.5000000000000001E-2</v>
      </c>
    </row>
    <row r="1891" spans="2:4">
      <c r="B1891" s="121">
        <v>42814</v>
      </c>
      <c r="C1891" s="123">
        <v>2.4700000000000002</v>
      </c>
      <c r="D1891" s="73">
        <f t="shared" si="33"/>
        <v>2.4700000000000003E-2</v>
      </c>
    </row>
    <row r="1892" spans="2:4">
      <c r="B1892" s="121">
        <v>42815</v>
      </c>
      <c r="C1892" s="123">
        <v>2.4300000000000002</v>
      </c>
      <c r="D1892" s="73">
        <f t="shared" si="33"/>
        <v>2.4300000000000002E-2</v>
      </c>
    </row>
    <row r="1893" spans="2:4">
      <c r="B1893" s="121">
        <v>42816</v>
      </c>
      <c r="C1893" s="123">
        <v>2.4</v>
      </c>
      <c r="D1893" s="73">
        <f t="shared" si="33"/>
        <v>2.4E-2</v>
      </c>
    </row>
    <row r="1894" spans="2:4">
      <c r="B1894" s="121">
        <v>42817</v>
      </c>
      <c r="C1894" s="123">
        <v>2.41</v>
      </c>
      <c r="D1894" s="73">
        <f t="shared" si="33"/>
        <v>2.41E-2</v>
      </c>
    </row>
    <row r="1895" spans="2:4">
      <c r="B1895" s="121">
        <v>42818</v>
      </c>
      <c r="C1895" s="123">
        <v>2.4</v>
      </c>
      <c r="D1895" s="73">
        <f t="shared" si="33"/>
        <v>2.4E-2</v>
      </c>
    </row>
    <row r="1896" spans="2:4">
      <c r="B1896" s="121">
        <v>42821</v>
      </c>
      <c r="C1896" s="123">
        <v>2.38</v>
      </c>
      <c r="D1896" s="73">
        <f t="shared" si="33"/>
        <v>2.3799999999999998E-2</v>
      </c>
    </row>
    <row r="1897" spans="2:4">
      <c r="B1897" s="121">
        <v>42822</v>
      </c>
      <c r="C1897" s="123">
        <v>2.42</v>
      </c>
      <c r="D1897" s="73">
        <f t="shared" si="33"/>
        <v>2.4199999999999999E-2</v>
      </c>
    </row>
    <row r="1898" spans="2:4">
      <c r="B1898" s="121">
        <v>42823</v>
      </c>
      <c r="C1898" s="123">
        <v>2.39</v>
      </c>
      <c r="D1898" s="73">
        <f t="shared" si="33"/>
        <v>2.3900000000000001E-2</v>
      </c>
    </row>
    <row r="1899" spans="2:4">
      <c r="B1899" s="121">
        <v>42824</v>
      </c>
      <c r="C1899" s="123">
        <v>2.42</v>
      </c>
      <c r="D1899" s="73">
        <f t="shared" si="33"/>
        <v>2.4199999999999999E-2</v>
      </c>
    </row>
    <row r="1900" spans="2:4">
      <c r="B1900" s="121">
        <v>42825</v>
      </c>
      <c r="C1900" s="123">
        <v>2.4</v>
      </c>
      <c r="D1900" s="73">
        <f t="shared" ref="D1900:D1925" si="34">IF( LEN( C1900 ) = 0, #N/A, IF( C1900 = "ND", D1899, C1900 / 100 ) )</f>
        <v>2.4E-2</v>
      </c>
    </row>
    <row r="1901" spans="2:4">
      <c r="B1901" s="121">
        <v>42828</v>
      </c>
      <c r="C1901" s="123">
        <v>2.35</v>
      </c>
      <c r="D1901" s="73">
        <f t="shared" si="34"/>
        <v>2.35E-2</v>
      </c>
    </row>
    <row r="1902" spans="2:4">
      <c r="B1902" s="121">
        <v>42829</v>
      </c>
      <c r="C1902" s="123">
        <v>2.36</v>
      </c>
      <c r="D1902" s="73">
        <f t="shared" si="34"/>
        <v>2.3599999999999999E-2</v>
      </c>
    </row>
    <row r="1903" spans="2:4">
      <c r="B1903" s="121">
        <v>42830</v>
      </c>
      <c r="C1903" s="123">
        <v>2.34</v>
      </c>
      <c r="D1903" s="73">
        <f t="shared" si="34"/>
        <v>2.3399999999999997E-2</v>
      </c>
    </row>
    <row r="1904" spans="2:4">
      <c r="B1904" s="121">
        <v>42831</v>
      </c>
      <c r="C1904" s="123">
        <v>2.34</v>
      </c>
      <c r="D1904" s="73">
        <f t="shared" si="34"/>
        <v>2.3399999999999997E-2</v>
      </c>
    </row>
    <row r="1905" spans="2:4">
      <c r="B1905" s="121">
        <v>42832</v>
      </c>
      <c r="C1905" s="123">
        <v>2.38</v>
      </c>
      <c r="D1905" s="73">
        <f t="shared" si="34"/>
        <v>2.3799999999999998E-2</v>
      </c>
    </row>
    <row r="1906" spans="2:4">
      <c r="B1906" s="121">
        <v>42835</v>
      </c>
      <c r="C1906" s="123">
        <v>2.37</v>
      </c>
      <c r="D1906" s="73">
        <f t="shared" si="34"/>
        <v>2.3700000000000002E-2</v>
      </c>
    </row>
    <row r="1907" spans="2:4">
      <c r="B1907" s="121">
        <v>42836</v>
      </c>
      <c r="C1907" s="123">
        <v>2.3199999999999998</v>
      </c>
      <c r="D1907" s="73">
        <f t="shared" si="34"/>
        <v>2.3199999999999998E-2</v>
      </c>
    </row>
    <row r="1908" spans="2:4">
      <c r="B1908" s="121">
        <v>42837</v>
      </c>
      <c r="C1908" s="123">
        <v>2.2799999999999998</v>
      </c>
      <c r="D1908" s="73">
        <f t="shared" si="34"/>
        <v>2.2799999999999997E-2</v>
      </c>
    </row>
    <row r="1909" spans="2:4">
      <c r="B1909" s="121">
        <v>42838</v>
      </c>
      <c r="C1909" s="123">
        <v>2.2400000000000002</v>
      </c>
      <c r="D1909" s="73">
        <f t="shared" si="34"/>
        <v>2.2400000000000003E-2</v>
      </c>
    </row>
    <row r="1910" spans="2:4">
      <c r="B1910" s="121">
        <v>42839</v>
      </c>
      <c r="C1910" s="123" t="s">
        <v>325</v>
      </c>
      <c r="D1910" s="73">
        <f t="shared" si="34"/>
        <v>2.2400000000000003E-2</v>
      </c>
    </row>
    <row r="1911" spans="2:4">
      <c r="B1911" s="121">
        <v>42842</v>
      </c>
      <c r="C1911" s="123">
        <v>2.2599999999999998</v>
      </c>
      <c r="D1911" s="73">
        <f t="shared" si="34"/>
        <v>2.2599999999999999E-2</v>
      </c>
    </row>
    <row r="1912" spans="2:4">
      <c r="B1912" s="121">
        <v>42843</v>
      </c>
      <c r="C1912" s="123">
        <v>2.1800000000000002</v>
      </c>
      <c r="D1912" s="73">
        <f t="shared" si="34"/>
        <v>2.18E-2</v>
      </c>
    </row>
    <row r="1913" spans="2:4">
      <c r="B1913" s="121">
        <v>42844</v>
      </c>
      <c r="C1913" s="123">
        <v>2.21</v>
      </c>
      <c r="D1913" s="73">
        <f t="shared" si="34"/>
        <v>2.2099999999999998E-2</v>
      </c>
    </row>
    <row r="1914" spans="2:4">
      <c r="B1914" s="121">
        <v>42845</v>
      </c>
      <c r="C1914" s="123">
        <v>2.2400000000000002</v>
      </c>
      <c r="D1914" s="73">
        <f t="shared" si="34"/>
        <v>2.2400000000000003E-2</v>
      </c>
    </row>
    <row r="1915" spans="2:4">
      <c r="B1915" s="121">
        <v>42846</v>
      </c>
      <c r="C1915" s="123">
        <v>2.2400000000000002</v>
      </c>
      <c r="D1915" s="73">
        <f t="shared" si="34"/>
        <v>2.2400000000000003E-2</v>
      </c>
    </row>
    <row r="1916" spans="2:4">
      <c r="B1916" s="121">
        <v>42849</v>
      </c>
      <c r="C1916" s="123">
        <v>2.2799999999999998</v>
      </c>
      <c r="D1916" s="73">
        <f t="shared" si="34"/>
        <v>2.2799999999999997E-2</v>
      </c>
    </row>
    <row r="1917" spans="2:4">
      <c r="B1917" s="121">
        <v>42850</v>
      </c>
      <c r="C1917" s="123">
        <v>2.35</v>
      </c>
      <c r="D1917" s="73">
        <f t="shared" si="34"/>
        <v>2.35E-2</v>
      </c>
    </row>
    <row r="1918" spans="2:4">
      <c r="B1918" s="121">
        <v>42851</v>
      </c>
      <c r="C1918" s="123">
        <v>2.3199999999999998</v>
      </c>
      <c r="D1918" s="73">
        <f t="shared" si="34"/>
        <v>2.3199999999999998E-2</v>
      </c>
    </row>
    <row r="1919" spans="2:4">
      <c r="B1919" s="121">
        <v>42852</v>
      </c>
      <c r="C1919" s="123">
        <v>2.2999999999999998</v>
      </c>
      <c r="D1919" s="73">
        <f t="shared" si="34"/>
        <v>2.3E-2</v>
      </c>
    </row>
    <row r="1920" spans="2:4">
      <c r="B1920" s="121">
        <v>42853</v>
      </c>
      <c r="C1920" s="123">
        <v>2.29</v>
      </c>
      <c r="D1920" s="73">
        <f t="shared" si="34"/>
        <v>2.29E-2</v>
      </c>
    </row>
    <row r="1921" spans="2:4">
      <c r="B1921" s="121">
        <v>42856</v>
      </c>
      <c r="C1921" s="123">
        <v>2.33</v>
      </c>
      <c r="D1921" s="73">
        <f t="shared" si="34"/>
        <v>2.3300000000000001E-2</v>
      </c>
    </row>
    <row r="1922" spans="2:4">
      <c r="B1922" s="121">
        <v>42857</v>
      </c>
      <c r="C1922" s="123">
        <v>2.29</v>
      </c>
      <c r="D1922" s="73">
        <f t="shared" si="34"/>
        <v>2.29E-2</v>
      </c>
    </row>
    <row r="1923" spans="2:4">
      <c r="B1923" s="121">
        <v>42858</v>
      </c>
      <c r="C1923" s="123">
        <v>2.33</v>
      </c>
      <c r="D1923" s="73">
        <f t="shared" si="34"/>
        <v>2.3300000000000001E-2</v>
      </c>
    </row>
    <row r="1924" spans="2:4">
      <c r="B1924" s="121">
        <v>42859</v>
      </c>
      <c r="C1924" s="123">
        <v>2.36</v>
      </c>
      <c r="D1924" s="73">
        <f t="shared" si="34"/>
        <v>2.3599999999999999E-2</v>
      </c>
    </row>
    <row r="1925" spans="2:4">
      <c r="B1925" s="121">
        <v>42860</v>
      </c>
      <c r="C1925" s="123">
        <v>2.36</v>
      </c>
      <c r="D1925" s="73">
        <f t="shared" si="34"/>
        <v>2.3599999999999999E-2</v>
      </c>
    </row>
    <row r="1926" spans="2:4">
      <c r="B1926" s="121">
        <v>42863</v>
      </c>
      <c r="C1926" s="123">
        <v>2.39</v>
      </c>
      <c r="D1926" s="73">
        <f t="shared" ref="D1926:D1950" si="35">IF( LEN( C1926 ) = 0, #N/A, IF( C1926 = "ND", D1925, C1926 / 100 ) )</f>
        <v>2.3900000000000001E-2</v>
      </c>
    </row>
    <row r="1927" spans="2:4">
      <c r="B1927" s="121">
        <v>42864</v>
      </c>
      <c r="C1927" s="123">
        <v>2.42</v>
      </c>
      <c r="D1927" s="73">
        <f t="shared" si="35"/>
        <v>2.4199999999999999E-2</v>
      </c>
    </row>
    <row r="1928" spans="2:4">
      <c r="B1928" s="121">
        <v>42865</v>
      </c>
      <c r="C1928" s="123">
        <v>2.41</v>
      </c>
      <c r="D1928" s="73">
        <f t="shared" si="35"/>
        <v>2.41E-2</v>
      </c>
    </row>
    <row r="1929" spans="2:4">
      <c r="B1929" s="121">
        <v>42866</v>
      </c>
      <c r="C1929" s="123">
        <v>2.39</v>
      </c>
      <c r="D1929" s="73">
        <f t="shared" si="35"/>
        <v>2.3900000000000001E-2</v>
      </c>
    </row>
    <row r="1930" spans="2:4">
      <c r="B1930" s="121">
        <v>42867</v>
      </c>
      <c r="C1930" s="123">
        <v>2.33</v>
      </c>
      <c r="D1930" s="73">
        <f t="shared" si="35"/>
        <v>2.3300000000000001E-2</v>
      </c>
    </row>
    <row r="1931" spans="2:4">
      <c r="B1931" s="121">
        <v>42870</v>
      </c>
      <c r="C1931" s="123">
        <v>2.34</v>
      </c>
      <c r="D1931" s="73">
        <f t="shared" si="35"/>
        <v>2.3399999999999997E-2</v>
      </c>
    </row>
    <row r="1932" spans="2:4">
      <c r="B1932" s="121">
        <v>42871</v>
      </c>
      <c r="C1932" s="123">
        <v>2.33</v>
      </c>
      <c r="D1932" s="73">
        <f t="shared" si="35"/>
        <v>2.3300000000000001E-2</v>
      </c>
    </row>
    <row r="1933" spans="2:4">
      <c r="B1933" s="121">
        <v>42872</v>
      </c>
      <c r="C1933" s="123">
        <v>2.2200000000000002</v>
      </c>
      <c r="D1933" s="73">
        <f t="shared" si="35"/>
        <v>2.2200000000000001E-2</v>
      </c>
    </row>
    <row r="1934" spans="2:4">
      <c r="B1934" s="121">
        <v>42873</v>
      </c>
      <c r="C1934" s="123">
        <v>2.23</v>
      </c>
      <c r="D1934" s="73">
        <f t="shared" si="35"/>
        <v>2.23E-2</v>
      </c>
    </row>
    <row r="1935" spans="2:4">
      <c r="B1935" s="121">
        <v>42874</v>
      </c>
      <c r="C1935" s="123">
        <v>2.23</v>
      </c>
      <c r="D1935" s="73">
        <f t="shared" si="35"/>
        <v>2.23E-2</v>
      </c>
    </row>
    <row r="1936" spans="2:4">
      <c r="B1936" s="121">
        <v>42877</v>
      </c>
      <c r="C1936" s="123">
        <v>2.25</v>
      </c>
      <c r="D1936" s="73">
        <f t="shared" si="35"/>
        <v>2.2499999999999999E-2</v>
      </c>
    </row>
    <row r="1937" spans="2:4">
      <c r="B1937" s="121">
        <v>42878</v>
      </c>
      <c r="C1937" s="123">
        <v>2.29</v>
      </c>
      <c r="D1937" s="73">
        <f t="shared" si="35"/>
        <v>2.29E-2</v>
      </c>
    </row>
    <row r="1938" spans="2:4">
      <c r="B1938" s="121">
        <v>42879</v>
      </c>
      <c r="C1938" s="123">
        <v>2.2599999999999998</v>
      </c>
      <c r="D1938" s="73">
        <f t="shared" si="35"/>
        <v>2.2599999999999999E-2</v>
      </c>
    </row>
    <row r="1939" spans="2:4">
      <c r="B1939" s="121">
        <v>42880</v>
      </c>
      <c r="C1939" s="123">
        <v>2.25</v>
      </c>
      <c r="D1939" s="73">
        <f t="shared" si="35"/>
        <v>2.2499999999999999E-2</v>
      </c>
    </row>
    <row r="1940" spans="2:4">
      <c r="B1940" s="121">
        <v>42881</v>
      </c>
      <c r="C1940" s="123">
        <v>2.25</v>
      </c>
      <c r="D1940" s="73">
        <f t="shared" si="35"/>
        <v>2.2499999999999999E-2</v>
      </c>
    </row>
    <row r="1941" spans="2:4">
      <c r="B1941" s="121">
        <v>42884</v>
      </c>
      <c r="C1941" s="123" t="s">
        <v>325</v>
      </c>
      <c r="D1941" s="73">
        <f t="shared" si="35"/>
        <v>2.2499999999999999E-2</v>
      </c>
    </row>
    <row r="1942" spans="2:4">
      <c r="B1942" s="121">
        <v>42885</v>
      </c>
      <c r="C1942" s="123">
        <v>2.21</v>
      </c>
      <c r="D1942" s="73">
        <f t="shared" si="35"/>
        <v>2.2099999999999998E-2</v>
      </c>
    </row>
    <row r="1943" spans="2:4">
      <c r="B1943" s="121">
        <v>42886</v>
      </c>
      <c r="C1943" s="123">
        <v>2.21</v>
      </c>
      <c r="D1943" s="73">
        <f t="shared" si="35"/>
        <v>2.2099999999999998E-2</v>
      </c>
    </row>
    <row r="1944" spans="2:4">
      <c r="B1944" s="121">
        <v>42887</v>
      </c>
      <c r="C1944" s="123">
        <v>2.21</v>
      </c>
      <c r="D1944" s="73">
        <f t="shared" si="35"/>
        <v>2.2099999999999998E-2</v>
      </c>
    </row>
    <row r="1945" spans="2:4">
      <c r="B1945" s="121">
        <v>42888</v>
      </c>
      <c r="C1945" s="123">
        <v>2.15</v>
      </c>
      <c r="D1945" s="73">
        <f t="shared" si="35"/>
        <v>2.1499999999999998E-2</v>
      </c>
    </row>
    <row r="1946" spans="2:4">
      <c r="B1946" s="121">
        <v>42891</v>
      </c>
      <c r="C1946" s="123">
        <v>2.1800000000000002</v>
      </c>
      <c r="D1946" s="73">
        <f t="shared" si="35"/>
        <v>2.18E-2</v>
      </c>
    </row>
    <row r="1947" spans="2:4">
      <c r="B1947" s="121">
        <v>42892</v>
      </c>
      <c r="C1947" s="123">
        <v>2.14</v>
      </c>
      <c r="D1947" s="73">
        <f t="shared" si="35"/>
        <v>2.1400000000000002E-2</v>
      </c>
    </row>
    <row r="1948" spans="2:4">
      <c r="B1948" s="121">
        <v>42893</v>
      </c>
      <c r="C1948" s="123">
        <v>2.1800000000000002</v>
      </c>
      <c r="D1948" s="73">
        <f t="shared" si="35"/>
        <v>2.18E-2</v>
      </c>
    </row>
    <row r="1949" spans="2:4">
      <c r="B1949" s="121">
        <v>42894</v>
      </c>
      <c r="C1949" s="123">
        <v>2.19</v>
      </c>
      <c r="D1949" s="73">
        <f t="shared" si="35"/>
        <v>2.1899999999999999E-2</v>
      </c>
    </row>
    <row r="1950" spans="2:4">
      <c r="B1950" s="121">
        <v>42895</v>
      </c>
      <c r="C1950" s="123">
        <v>2.21</v>
      </c>
      <c r="D1950" s="73">
        <f t="shared" si="35"/>
        <v>2.2099999999999998E-2</v>
      </c>
    </row>
    <row r="1951" spans="2:4">
      <c r="B1951" s="121">
        <v>42898</v>
      </c>
      <c r="C1951" s="123">
        <v>2.21</v>
      </c>
      <c r="D1951" s="73">
        <f t="shared" ref="D1951:D2014" si="36">IF( LEN( C1951 ) = 0, #N/A, IF( C1951 = "ND", D1950, C1951 / 100 ) )</f>
        <v>2.2099999999999998E-2</v>
      </c>
    </row>
    <row r="1952" spans="2:4">
      <c r="B1952" s="121">
        <v>42899</v>
      </c>
      <c r="C1952" s="123">
        <v>2.21</v>
      </c>
      <c r="D1952" s="73">
        <f t="shared" si="36"/>
        <v>2.2099999999999998E-2</v>
      </c>
    </row>
    <row r="1953" spans="2:4">
      <c r="B1953" s="121">
        <v>42900</v>
      </c>
      <c r="C1953" s="123">
        <v>2.15</v>
      </c>
      <c r="D1953" s="73">
        <f t="shared" si="36"/>
        <v>2.1499999999999998E-2</v>
      </c>
    </row>
    <row r="1954" spans="2:4">
      <c r="B1954" s="121">
        <v>42901</v>
      </c>
      <c r="C1954" s="123">
        <v>2.16</v>
      </c>
      <c r="D1954" s="73">
        <f t="shared" si="36"/>
        <v>2.1600000000000001E-2</v>
      </c>
    </row>
    <row r="1955" spans="2:4">
      <c r="B1955" s="121">
        <v>42902</v>
      </c>
      <c r="C1955" s="123">
        <v>2.16</v>
      </c>
      <c r="D1955" s="73">
        <f t="shared" si="36"/>
        <v>2.1600000000000001E-2</v>
      </c>
    </row>
    <row r="1956" spans="2:4">
      <c r="B1956" s="121">
        <v>42905</v>
      </c>
      <c r="C1956" s="123">
        <v>2.19</v>
      </c>
      <c r="D1956" s="73">
        <f t="shared" si="36"/>
        <v>2.1899999999999999E-2</v>
      </c>
    </row>
    <row r="1957" spans="2:4">
      <c r="B1957" s="121">
        <v>42906</v>
      </c>
      <c r="C1957" s="123">
        <v>2.16</v>
      </c>
      <c r="D1957" s="73">
        <f t="shared" si="36"/>
        <v>2.1600000000000001E-2</v>
      </c>
    </row>
    <row r="1958" spans="2:4">
      <c r="B1958" s="121">
        <v>42907</v>
      </c>
      <c r="C1958" s="123">
        <v>2.16</v>
      </c>
      <c r="D1958" s="73">
        <f t="shared" si="36"/>
        <v>2.1600000000000001E-2</v>
      </c>
    </row>
    <row r="1959" spans="2:4">
      <c r="B1959" s="121">
        <v>42908</v>
      </c>
      <c r="C1959" s="123">
        <v>2.15</v>
      </c>
      <c r="D1959" s="73">
        <f t="shared" si="36"/>
        <v>2.1499999999999998E-2</v>
      </c>
    </row>
    <row r="1960" spans="2:4">
      <c r="B1960" s="121">
        <v>42909</v>
      </c>
      <c r="C1960" s="123">
        <v>2.15</v>
      </c>
      <c r="D1960" s="73">
        <f t="shared" si="36"/>
        <v>2.1499999999999998E-2</v>
      </c>
    </row>
    <row r="1961" spans="2:4">
      <c r="B1961" s="121">
        <v>42912</v>
      </c>
      <c r="C1961" s="123">
        <v>2.14</v>
      </c>
      <c r="D1961" s="73">
        <f t="shared" si="36"/>
        <v>2.1400000000000002E-2</v>
      </c>
    </row>
    <row r="1962" spans="2:4">
      <c r="B1962" s="121">
        <v>42913</v>
      </c>
      <c r="C1962" s="123">
        <v>2.21</v>
      </c>
      <c r="D1962" s="73">
        <f t="shared" si="36"/>
        <v>2.2099999999999998E-2</v>
      </c>
    </row>
    <row r="1963" spans="2:4">
      <c r="B1963" s="121">
        <v>42914</v>
      </c>
      <c r="C1963" s="123">
        <v>2.2200000000000002</v>
      </c>
      <c r="D1963" s="73">
        <f t="shared" si="36"/>
        <v>2.2200000000000001E-2</v>
      </c>
    </row>
    <row r="1964" spans="2:4">
      <c r="B1964" s="121">
        <v>42915</v>
      </c>
      <c r="C1964" s="123">
        <v>2.27</v>
      </c>
      <c r="D1964" s="73">
        <f t="shared" si="36"/>
        <v>2.2700000000000001E-2</v>
      </c>
    </row>
    <row r="1965" spans="2:4">
      <c r="B1965" s="121">
        <v>42916</v>
      </c>
      <c r="C1965" s="123">
        <v>2.31</v>
      </c>
      <c r="D1965" s="73">
        <f t="shared" si="36"/>
        <v>2.3099999999999999E-2</v>
      </c>
    </row>
    <row r="1966" spans="2:4">
      <c r="B1966" s="121">
        <v>42919</v>
      </c>
      <c r="C1966" s="123">
        <v>2.35</v>
      </c>
      <c r="D1966" s="73">
        <f t="shared" si="36"/>
        <v>2.35E-2</v>
      </c>
    </row>
    <row r="1967" spans="2:4">
      <c r="B1967" s="121">
        <v>42920</v>
      </c>
      <c r="C1967" s="123" t="s">
        <v>325</v>
      </c>
      <c r="D1967" s="73">
        <f t="shared" si="36"/>
        <v>2.35E-2</v>
      </c>
    </row>
    <row r="1968" spans="2:4">
      <c r="B1968" s="121">
        <v>42921</v>
      </c>
      <c r="C1968" s="123">
        <v>2.33</v>
      </c>
      <c r="D1968" s="73">
        <f t="shared" si="36"/>
        <v>2.3300000000000001E-2</v>
      </c>
    </row>
    <row r="1969" spans="2:4">
      <c r="B1969" s="121">
        <v>42922</v>
      </c>
      <c r="C1969" s="123">
        <v>2.37</v>
      </c>
      <c r="D1969" s="73">
        <f t="shared" si="36"/>
        <v>2.3700000000000002E-2</v>
      </c>
    </row>
    <row r="1970" spans="2:4">
      <c r="B1970" s="121">
        <v>42923</v>
      </c>
      <c r="C1970" s="123">
        <v>2.39</v>
      </c>
      <c r="D1970" s="73">
        <f t="shared" si="36"/>
        <v>2.3900000000000001E-2</v>
      </c>
    </row>
    <row r="1971" spans="2:4">
      <c r="B1971" s="121">
        <v>42926</v>
      </c>
      <c r="C1971" s="123">
        <v>2.38</v>
      </c>
      <c r="D1971" s="73">
        <f t="shared" si="36"/>
        <v>2.3799999999999998E-2</v>
      </c>
    </row>
    <row r="1972" spans="2:4">
      <c r="B1972" s="121">
        <v>42927</v>
      </c>
      <c r="C1972" s="123">
        <v>2.37</v>
      </c>
      <c r="D1972" s="73">
        <f t="shared" si="36"/>
        <v>2.3700000000000002E-2</v>
      </c>
    </row>
    <row r="1973" spans="2:4">
      <c r="B1973" s="121">
        <v>42928</v>
      </c>
      <c r="C1973" s="123">
        <v>2.33</v>
      </c>
      <c r="D1973" s="73">
        <f t="shared" si="36"/>
        <v>2.3300000000000001E-2</v>
      </c>
    </row>
    <row r="1974" spans="2:4">
      <c r="B1974" s="121">
        <v>42929</v>
      </c>
      <c r="C1974" s="123">
        <v>2.35</v>
      </c>
      <c r="D1974" s="73">
        <f t="shared" si="36"/>
        <v>2.35E-2</v>
      </c>
    </row>
    <row r="1975" spans="2:4">
      <c r="B1975" s="121">
        <v>42930</v>
      </c>
      <c r="C1975" s="123">
        <v>2.33</v>
      </c>
      <c r="D1975" s="73">
        <f t="shared" si="36"/>
        <v>2.3300000000000001E-2</v>
      </c>
    </row>
    <row r="1976" spans="2:4">
      <c r="B1976" s="121">
        <v>42933</v>
      </c>
      <c r="C1976" s="123">
        <v>2.31</v>
      </c>
      <c r="D1976" s="73">
        <f t="shared" si="36"/>
        <v>2.3099999999999999E-2</v>
      </c>
    </row>
    <row r="1977" spans="2:4">
      <c r="B1977" s="121">
        <v>42934</v>
      </c>
      <c r="C1977" s="123">
        <v>2.27</v>
      </c>
      <c r="D1977" s="73">
        <f t="shared" si="36"/>
        <v>2.2700000000000001E-2</v>
      </c>
    </row>
    <row r="1978" spans="2:4">
      <c r="B1978" s="121">
        <v>42935</v>
      </c>
      <c r="C1978" s="123">
        <v>2.27</v>
      </c>
      <c r="D1978" s="73">
        <f t="shared" si="36"/>
        <v>2.2700000000000001E-2</v>
      </c>
    </row>
    <row r="1979" spans="2:4">
      <c r="B1979" s="121">
        <v>42936</v>
      </c>
      <c r="C1979" s="123">
        <v>2.27</v>
      </c>
      <c r="D1979" s="73">
        <f t="shared" si="36"/>
        <v>2.2700000000000001E-2</v>
      </c>
    </row>
    <row r="1980" spans="2:4">
      <c r="B1980" s="121">
        <v>42937</v>
      </c>
      <c r="C1980" s="123">
        <v>2.2400000000000002</v>
      </c>
      <c r="D1980" s="73">
        <f t="shared" si="36"/>
        <v>2.2400000000000003E-2</v>
      </c>
    </row>
    <row r="1981" spans="2:4">
      <c r="B1981" s="121">
        <v>42940</v>
      </c>
      <c r="C1981" s="123">
        <v>2.2599999999999998</v>
      </c>
      <c r="D1981" s="73">
        <f t="shared" si="36"/>
        <v>2.2599999999999999E-2</v>
      </c>
    </row>
    <row r="1982" spans="2:4">
      <c r="B1982" s="121">
        <v>42941</v>
      </c>
      <c r="C1982" s="123">
        <v>2.33</v>
      </c>
      <c r="D1982" s="73">
        <f t="shared" si="36"/>
        <v>2.3300000000000001E-2</v>
      </c>
    </row>
    <row r="1983" spans="2:4">
      <c r="B1983" s="121">
        <v>42942</v>
      </c>
      <c r="C1983" s="123">
        <v>2.29</v>
      </c>
      <c r="D1983" s="73">
        <f t="shared" si="36"/>
        <v>2.29E-2</v>
      </c>
    </row>
    <row r="1984" spans="2:4">
      <c r="B1984" s="121">
        <v>42943</v>
      </c>
      <c r="C1984" s="123">
        <v>2.3199999999999998</v>
      </c>
      <c r="D1984" s="73">
        <f t="shared" si="36"/>
        <v>2.3199999999999998E-2</v>
      </c>
    </row>
    <row r="1985" spans="2:4">
      <c r="B1985" s="121">
        <v>42944</v>
      </c>
      <c r="C1985" s="123">
        <v>2.2999999999999998</v>
      </c>
      <c r="D1985" s="73">
        <f t="shared" si="36"/>
        <v>2.3E-2</v>
      </c>
    </row>
    <row r="1986" spans="2:4">
      <c r="B1986" s="121">
        <v>42947</v>
      </c>
      <c r="C1986" s="123">
        <v>2.2999999999999998</v>
      </c>
      <c r="D1986" s="73">
        <f t="shared" si="36"/>
        <v>2.3E-2</v>
      </c>
    </row>
    <row r="1987" spans="2:4">
      <c r="B1987" s="121">
        <v>42948</v>
      </c>
      <c r="C1987" s="123">
        <v>2.2599999999999998</v>
      </c>
      <c r="D1987" s="73">
        <f t="shared" si="36"/>
        <v>2.2599999999999999E-2</v>
      </c>
    </row>
    <row r="1988" spans="2:4">
      <c r="B1988" s="121">
        <v>42949</v>
      </c>
      <c r="C1988" s="123">
        <v>2.27</v>
      </c>
      <c r="D1988" s="73">
        <f t="shared" si="36"/>
        <v>2.2700000000000001E-2</v>
      </c>
    </row>
    <row r="1989" spans="2:4">
      <c r="B1989" s="121">
        <v>42950</v>
      </c>
      <c r="C1989" s="123">
        <v>2.2400000000000002</v>
      </c>
      <c r="D1989" s="73">
        <f t="shared" si="36"/>
        <v>2.2400000000000003E-2</v>
      </c>
    </row>
    <row r="1990" spans="2:4">
      <c r="B1990" s="121">
        <v>42951</v>
      </c>
      <c r="C1990" s="123">
        <v>2.27</v>
      </c>
      <c r="D1990" s="73">
        <f t="shared" si="36"/>
        <v>2.2700000000000001E-2</v>
      </c>
    </row>
    <row r="1991" spans="2:4">
      <c r="B1991" s="121">
        <v>42954</v>
      </c>
      <c r="C1991" s="123">
        <v>2.2599999999999998</v>
      </c>
      <c r="D1991" s="73">
        <f t="shared" si="36"/>
        <v>2.2599999999999999E-2</v>
      </c>
    </row>
    <row r="1992" spans="2:4">
      <c r="B1992" s="121">
        <v>42955</v>
      </c>
      <c r="C1992" s="123">
        <v>2.29</v>
      </c>
      <c r="D1992" s="73">
        <f t="shared" si="36"/>
        <v>2.29E-2</v>
      </c>
    </row>
    <row r="1993" spans="2:4">
      <c r="B1993" s="121">
        <v>42956</v>
      </c>
      <c r="C1993" s="123">
        <v>2.2400000000000002</v>
      </c>
      <c r="D1993" s="73">
        <f t="shared" si="36"/>
        <v>2.2400000000000003E-2</v>
      </c>
    </row>
    <row r="1994" spans="2:4">
      <c r="B1994" s="121">
        <v>42957</v>
      </c>
      <c r="C1994" s="123">
        <v>2.2000000000000002</v>
      </c>
      <c r="D1994" s="73">
        <f t="shared" si="36"/>
        <v>2.2000000000000002E-2</v>
      </c>
    </row>
    <row r="1995" spans="2:4">
      <c r="B1995" s="121">
        <v>42958</v>
      </c>
      <c r="C1995" s="123">
        <v>2.19</v>
      </c>
      <c r="D1995" s="73">
        <f t="shared" si="36"/>
        <v>2.1899999999999999E-2</v>
      </c>
    </row>
    <row r="1996" spans="2:4">
      <c r="B1996" s="121">
        <v>42961</v>
      </c>
      <c r="C1996" s="123">
        <v>2.2200000000000002</v>
      </c>
      <c r="D1996" s="73">
        <f t="shared" si="36"/>
        <v>2.2200000000000001E-2</v>
      </c>
    </row>
    <row r="1997" spans="2:4">
      <c r="B1997" s="121">
        <v>42962</v>
      </c>
      <c r="C1997" s="123">
        <v>2.27</v>
      </c>
      <c r="D1997" s="73">
        <f t="shared" si="36"/>
        <v>2.2700000000000001E-2</v>
      </c>
    </row>
    <row r="1998" spans="2:4">
      <c r="B1998" s="121">
        <v>42963</v>
      </c>
      <c r="C1998" s="123">
        <v>2.23</v>
      </c>
      <c r="D1998" s="73">
        <f t="shared" si="36"/>
        <v>2.23E-2</v>
      </c>
    </row>
    <row r="1999" spans="2:4">
      <c r="B1999" s="121">
        <v>42964</v>
      </c>
      <c r="C1999" s="123">
        <v>2.19</v>
      </c>
      <c r="D1999" s="73">
        <f t="shared" si="36"/>
        <v>2.1899999999999999E-2</v>
      </c>
    </row>
    <row r="2000" spans="2:4">
      <c r="B2000" s="121">
        <v>42965</v>
      </c>
      <c r="C2000" s="123">
        <v>2.19</v>
      </c>
      <c r="D2000" s="73">
        <f t="shared" si="36"/>
        <v>2.1899999999999999E-2</v>
      </c>
    </row>
    <row r="2001" spans="2:4">
      <c r="B2001" s="121">
        <v>42968</v>
      </c>
      <c r="C2001" s="123">
        <v>2.1800000000000002</v>
      </c>
      <c r="D2001" s="73">
        <f t="shared" si="36"/>
        <v>2.18E-2</v>
      </c>
    </row>
    <row r="2002" spans="2:4">
      <c r="B2002" s="121">
        <v>42969</v>
      </c>
      <c r="C2002" s="123">
        <v>2.2200000000000002</v>
      </c>
      <c r="D2002" s="73">
        <f t="shared" si="36"/>
        <v>2.2200000000000001E-2</v>
      </c>
    </row>
    <row r="2003" spans="2:4">
      <c r="B2003" s="121">
        <v>42970</v>
      </c>
      <c r="C2003" s="123">
        <v>2.17</v>
      </c>
      <c r="D2003" s="73">
        <f t="shared" si="36"/>
        <v>2.1700000000000001E-2</v>
      </c>
    </row>
    <row r="2004" spans="2:4">
      <c r="B2004" s="121">
        <v>42971</v>
      </c>
      <c r="C2004" s="123">
        <v>2.19</v>
      </c>
      <c r="D2004" s="73">
        <f t="shared" si="36"/>
        <v>2.1899999999999999E-2</v>
      </c>
    </row>
    <row r="2005" spans="2:4">
      <c r="B2005" s="121">
        <v>42972</v>
      </c>
      <c r="C2005" s="123">
        <v>2.17</v>
      </c>
      <c r="D2005" s="73">
        <f t="shared" si="36"/>
        <v>2.1700000000000001E-2</v>
      </c>
    </row>
    <row r="2006" spans="2:4">
      <c r="B2006" s="121">
        <v>42975</v>
      </c>
      <c r="C2006" s="123">
        <v>2.16</v>
      </c>
      <c r="D2006" s="73">
        <f t="shared" si="36"/>
        <v>2.1600000000000001E-2</v>
      </c>
    </row>
    <row r="2007" spans="2:4">
      <c r="B2007" s="121">
        <v>42976</v>
      </c>
      <c r="C2007" s="123">
        <v>2.13</v>
      </c>
      <c r="D2007" s="73">
        <f t="shared" si="36"/>
        <v>2.1299999999999999E-2</v>
      </c>
    </row>
    <row r="2008" spans="2:4">
      <c r="B2008" s="121">
        <v>42977</v>
      </c>
      <c r="C2008" s="123">
        <v>2.15</v>
      </c>
      <c r="D2008" s="73">
        <f>IF( LEN( C2008 ) = 0, #N/A, IF( C2008 = "ND", D2007, C2008 / 100 ) )</f>
        <v>2.1499999999999998E-2</v>
      </c>
    </row>
    <row r="2009" spans="2:4">
      <c r="B2009" s="121">
        <v>42978</v>
      </c>
      <c r="C2009" s="123">
        <v>2.12</v>
      </c>
      <c r="D2009" s="73">
        <f t="shared" si="36"/>
        <v>2.12E-2</v>
      </c>
    </row>
    <row r="2010" spans="2:4">
      <c r="B2010" s="121">
        <v>42979</v>
      </c>
      <c r="C2010" s="123">
        <v>2.16</v>
      </c>
      <c r="D2010" s="73">
        <f t="shared" si="36"/>
        <v>2.1600000000000001E-2</v>
      </c>
    </row>
    <row r="2011" spans="2:4">
      <c r="B2011" s="121">
        <v>42982</v>
      </c>
      <c r="C2011" s="123" t="s">
        <v>325</v>
      </c>
      <c r="D2011" s="73">
        <f t="shared" si="36"/>
        <v>2.1600000000000001E-2</v>
      </c>
    </row>
    <row r="2012" spans="2:4">
      <c r="B2012" s="121">
        <v>42983</v>
      </c>
      <c r="C2012" s="123">
        <v>2.0699999999999998</v>
      </c>
      <c r="D2012" s="73">
        <f t="shared" si="36"/>
        <v>2.07E-2</v>
      </c>
    </row>
    <row r="2013" spans="2:4">
      <c r="B2013" s="121">
        <v>42984</v>
      </c>
      <c r="C2013" s="123">
        <v>2.1</v>
      </c>
      <c r="D2013" s="73">
        <f t="shared" si="36"/>
        <v>2.1000000000000001E-2</v>
      </c>
    </row>
    <row r="2014" spans="2:4">
      <c r="B2014" s="121">
        <v>42985</v>
      </c>
      <c r="C2014" s="123">
        <v>2.0499999999999998</v>
      </c>
      <c r="D2014" s="73">
        <f t="shared" si="36"/>
        <v>2.0499999999999997E-2</v>
      </c>
    </row>
    <row r="2015" spans="2:4">
      <c r="B2015" s="121">
        <v>42986</v>
      </c>
      <c r="C2015" s="123">
        <v>2.06</v>
      </c>
      <c r="D2015" s="73">
        <f t="shared" ref="D2015:D2078" si="37">IF( LEN( C2015 ) = 0, #N/A, IF( C2015 = "ND", D2014, C2015 / 100 ) )</f>
        <v>2.06E-2</v>
      </c>
    </row>
    <row r="2016" spans="2:4">
      <c r="B2016" s="121">
        <v>42989</v>
      </c>
      <c r="C2016" s="123">
        <v>2.14</v>
      </c>
      <c r="D2016" s="73">
        <f t="shared" si="37"/>
        <v>2.1400000000000002E-2</v>
      </c>
    </row>
    <row r="2017" spans="2:4">
      <c r="B2017" s="121">
        <v>42990</v>
      </c>
      <c r="C2017" s="123">
        <v>2.17</v>
      </c>
      <c r="D2017" s="73">
        <f t="shared" si="37"/>
        <v>2.1700000000000001E-2</v>
      </c>
    </row>
    <row r="2018" spans="2:4">
      <c r="B2018" s="121">
        <v>42991</v>
      </c>
      <c r="C2018" s="123">
        <v>2.2000000000000002</v>
      </c>
      <c r="D2018" s="73">
        <f t="shared" si="37"/>
        <v>2.2000000000000002E-2</v>
      </c>
    </row>
    <row r="2019" spans="2:4">
      <c r="B2019" s="121">
        <v>42992</v>
      </c>
      <c r="C2019" s="123">
        <v>2.2000000000000002</v>
      </c>
      <c r="D2019" s="73">
        <f t="shared" si="37"/>
        <v>2.2000000000000002E-2</v>
      </c>
    </row>
    <row r="2020" spans="2:4">
      <c r="B2020" s="121">
        <v>42993</v>
      </c>
      <c r="C2020" s="123">
        <v>2.2000000000000002</v>
      </c>
      <c r="D2020" s="73">
        <f t="shared" si="37"/>
        <v>2.2000000000000002E-2</v>
      </c>
    </row>
    <row r="2021" spans="2:4">
      <c r="B2021" s="121">
        <v>42996</v>
      </c>
      <c r="C2021" s="123">
        <v>2.23</v>
      </c>
      <c r="D2021" s="73">
        <f t="shared" si="37"/>
        <v>2.23E-2</v>
      </c>
    </row>
    <row r="2022" spans="2:4">
      <c r="B2022" s="121">
        <v>42997</v>
      </c>
      <c r="C2022" s="123">
        <v>2.2400000000000002</v>
      </c>
      <c r="D2022" s="73">
        <f t="shared" si="37"/>
        <v>2.2400000000000003E-2</v>
      </c>
    </row>
    <row r="2023" spans="2:4">
      <c r="B2023" s="121">
        <v>42998</v>
      </c>
      <c r="C2023" s="123">
        <v>2.2799999999999998</v>
      </c>
      <c r="D2023" s="73">
        <f t="shared" si="37"/>
        <v>2.2799999999999997E-2</v>
      </c>
    </row>
    <row r="2024" spans="2:4">
      <c r="B2024" s="121">
        <v>42999</v>
      </c>
      <c r="C2024" s="123">
        <v>2.27</v>
      </c>
      <c r="D2024" s="73">
        <f t="shared" si="37"/>
        <v>2.2700000000000001E-2</v>
      </c>
    </row>
    <row r="2025" spans="2:4">
      <c r="B2025" s="121">
        <v>43000</v>
      </c>
      <c r="C2025" s="123">
        <v>2.2599999999999998</v>
      </c>
      <c r="D2025" s="73">
        <f t="shared" si="37"/>
        <v>2.2599999999999999E-2</v>
      </c>
    </row>
    <row r="2026" spans="2:4">
      <c r="B2026" s="121">
        <v>43003</v>
      </c>
      <c r="C2026" s="123">
        <v>2.2200000000000002</v>
      </c>
      <c r="D2026" s="73">
        <f t="shared" si="37"/>
        <v>2.2200000000000001E-2</v>
      </c>
    </row>
    <row r="2027" spans="2:4">
      <c r="B2027" s="121">
        <v>43004</v>
      </c>
      <c r="C2027" s="123">
        <v>2.2400000000000002</v>
      </c>
      <c r="D2027" s="73">
        <f t="shared" si="37"/>
        <v>2.2400000000000003E-2</v>
      </c>
    </row>
    <row r="2028" spans="2:4">
      <c r="B2028" s="121">
        <v>43005</v>
      </c>
      <c r="C2028" s="123">
        <v>2.31</v>
      </c>
      <c r="D2028" s="73">
        <f t="shared" si="37"/>
        <v>2.3099999999999999E-2</v>
      </c>
    </row>
    <row r="2029" spans="2:4">
      <c r="B2029" s="121">
        <v>43006</v>
      </c>
      <c r="C2029" s="123">
        <v>2.31</v>
      </c>
      <c r="D2029" s="73">
        <f t="shared" si="37"/>
        <v>2.3099999999999999E-2</v>
      </c>
    </row>
    <row r="2030" spans="2:4">
      <c r="B2030" s="121">
        <v>43007</v>
      </c>
      <c r="C2030" s="123">
        <v>2.33</v>
      </c>
      <c r="D2030" s="73">
        <f t="shared" si="37"/>
        <v>2.3300000000000001E-2</v>
      </c>
    </row>
    <row r="2031" spans="2:4">
      <c r="B2031" s="121">
        <v>43010</v>
      </c>
      <c r="C2031" s="123">
        <v>2.34</v>
      </c>
      <c r="D2031" s="73">
        <f t="shared" si="37"/>
        <v>2.3399999999999997E-2</v>
      </c>
    </row>
    <row r="2032" spans="2:4">
      <c r="B2032" s="121">
        <v>43011</v>
      </c>
      <c r="C2032" s="123">
        <v>2.33</v>
      </c>
      <c r="D2032" s="73">
        <f t="shared" si="37"/>
        <v>2.3300000000000001E-2</v>
      </c>
    </row>
    <row r="2033" spans="2:4">
      <c r="B2033" s="121">
        <v>43012</v>
      </c>
      <c r="C2033" s="123">
        <v>2.33</v>
      </c>
      <c r="D2033" s="73">
        <f t="shared" si="37"/>
        <v>2.3300000000000001E-2</v>
      </c>
    </row>
    <row r="2034" spans="2:4">
      <c r="B2034" s="121">
        <v>43013</v>
      </c>
      <c r="C2034" s="123">
        <v>2.35</v>
      </c>
      <c r="D2034" s="73">
        <f t="shared" si="37"/>
        <v>2.35E-2</v>
      </c>
    </row>
    <row r="2035" spans="2:4">
      <c r="B2035" s="121">
        <v>43014</v>
      </c>
      <c r="C2035" s="123">
        <v>2.37</v>
      </c>
      <c r="D2035" s="73">
        <f t="shared" si="37"/>
        <v>2.3700000000000002E-2</v>
      </c>
    </row>
    <row r="2036" spans="2:4">
      <c r="B2036" s="121">
        <v>43017</v>
      </c>
      <c r="C2036" s="123" t="s">
        <v>325</v>
      </c>
      <c r="D2036" s="73">
        <f t="shared" si="37"/>
        <v>2.3700000000000002E-2</v>
      </c>
    </row>
    <row r="2037" spans="2:4">
      <c r="B2037" s="121">
        <v>43018</v>
      </c>
      <c r="C2037" s="123">
        <v>2.35</v>
      </c>
      <c r="D2037" s="73">
        <f t="shared" si="37"/>
        <v>2.35E-2</v>
      </c>
    </row>
    <row r="2038" spans="2:4">
      <c r="B2038" s="121">
        <v>43019</v>
      </c>
      <c r="C2038" s="123">
        <v>2.35</v>
      </c>
      <c r="D2038" s="73">
        <f t="shared" si="37"/>
        <v>2.35E-2</v>
      </c>
    </row>
    <row r="2039" spans="2:4">
      <c r="B2039" s="121">
        <v>43020</v>
      </c>
      <c r="C2039" s="123">
        <v>2.33</v>
      </c>
      <c r="D2039" s="73">
        <f t="shared" si="37"/>
        <v>2.3300000000000001E-2</v>
      </c>
    </row>
    <row r="2040" spans="2:4">
      <c r="B2040" s="121">
        <v>43021</v>
      </c>
      <c r="C2040" s="123">
        <v>2.2799999999999998</v>
      </c>
      <c r="D2040" s="73">
        <f t="shared" si="37"/>
        <v>2.2799999999999997E-2</v>
      </c>
    </row>
    <row r="2041" spans="2:4">
      <c r="B2041" s="121">
        <v>43024</v>
      </c>
      <c r="C2041" s="123">
        <v>2.2999999999999998</v>
      </c>
      <c r="D2041" s="73">
        <f t="shared" si="37"/>
        <v>2.3E-2</v>
      </c>
    </row>
    <row r="2042" spans="2:4">
      <c r="B2042" s="121">
        <v>43025</v>
      </c>
      <c r="C2042" s="123">
        <v>2.2999999999999998</v>
      </c>
      <c r="D2042" s="73">
        <f t="shared" si="37"/>
        <v>2.3E-2</v>
      </c>
    </row>
    <row r="2043" spans="2:4">
      <c r="B2043" s="121">
        <v>43026</v>
      </c>
      <c r="C2043" s="123">
        <v>2.34</v>
      </c>
      <c r="D2043" s="73">
        <f t="shared" si="37"/>
        <v>2.3399999999999997E-2</v>
      </c>
    </row>
    <row r="2044" spans="2:4">
      <c r="B2044" s="121">
        <v>43027</v>
      </c>
      <c r="C2044" s="123">
        <v>2.33</v>
      </c>
      <c r="D2044" s="73">
        <f t="shared" si="37"/>
        <v>2.3300000000000001E-2</v>
      </c>
    </row>
    <row r="2045" spans="2:4">
      <c r="B2045" s="121">
        <v>43028</v>
      </c>
      <c r="C2045" s="123">
        <v>2.39</v>
      </c>
      <c r="D2045" s="73">
        <f t="shared" si="37"/>
        <v>2.3900000000000001E-2</v>
      </c>
    </row>
    <row r="2046" spans="2:4">
      <c r="B2046" s="121">
        <v>43031</v>
      </c>
      <c r="C2046" s="123">
        <v>2.38</v>
      </c>
      <c r="D2046" s="73">
        <f t="shared" si="37"/>
        <v>2.3799999999999998E-2</v>
      </c>
    </row>
    <row r="2047" spans="2:4">
      <c r="B2047" s="121">
        <v>43032</v>
      </c>
      <c r="C2047" s="123">
        <v>2.42</v>
      </c>
      <c r="D2047" s="73">
        <f t="shared" si="37"/>
        <v>2.4199999999999999E-2</v>
      </c>
    </row>
    <row r="2048" spans="2:4">
      <c r="B2048" s="121">
        <v>43033</v>
      </c>
      <c r="C2048" s="123">
        <v>2.44</v>
      </c>
      <c r="D2048" s="73">
        <f t="shared" si="37"/>
        <v>2.4399999999999998E-2</v>
      </c>
    </row>
    <row r="2049" spans="2:4">
      <c r="B2049" s="121">
        <v>43034</v>
      </c>
      <c r="C2049" s="123">
        <v>2.46</v>
      </c>
      <c r="D2049" s="73">
        <f t="shared" si="37"/>
        <v>2.46E-2</v>
      </c>
    </row>
    <row r="2050" spans="2:4">
      <c r="B2050" s="121">
        <v>43035</v>
      </c>
      <c r="C2050" s="123">
        <v>2.42</v>
      </c>
      <c r="D2050" s="73">
        <f t="shared" si="37"/>
        <v>2.4199999999999999E-2</v>
      </c>
    </row>
    <row r="2051" spans="2:4">
      <c r="B2051" s="121">
        <v>43038</v>
      </c>
      <c r="C2051" s="123">
        <v>2.37</v>
      </c>
      <c r="D2051" s="73">
        <f t="shared" si="37"/>
        <v>2.3700000000000002E-2</v>
      </c>
    </row>
    <row r="2052" spans="2:4">
      <c r="B2052" s="121">
        <v>43039</v>
      </c>
      <c r="C2052" s="123">
        <v>2.38</v>
      </c>
      <c r="D2052" s="73">
        <f t="shared" si="37"/>
        <v>2.3799999999999998E-2</v>
      </c>
    </row>
    <row r="2053" spans="2:4">
      <c r="B2053" s="121">
        <v>43040</v>
      </c>
      <c r="C2053" s="123">
        <v>2.37</v>
      </c>
      <c r="D2053" s="73">
        <f t="shared" si="37"/>
        <v>2.3700000000000002E-2</v>
      </c>
    </row>
    <row r="2054" spans="2:4">
      <c r="B2054" s="121">
        <v>43041</v>
      </c>
      <c r="C2054" s="123">
        <v>2.35</v>
      </c>
      <c r="D2054" s="73">
        <f t="shared" si="37"/>
        <v>2.35E-2</v>
      </c>
    </row>
    <row r="2055" spans="2:4">
      <c r="B2055" s="121">
        <v>43042</v>
      </c>
      <c r="C2055" s="123">
        <v>2.34</v>
      </c>
      <c r="D2055" s="73">
        <f t="shared" si="37"/>
        <v>2.3399999999999997E-2</v>
      </c>
    </row>
    <row r="2056" spans="2:4">
      <c r="B2056" s="121">
        <v>43045</v>
      </c>
      <c r="C2056" s="123">
        <v>2.3199999999999998</v>
      </c>
      <c r="D2056" s="73">
        <f t="shared" si="37"/>
        <v>2.3199999999999998E-2</v>
      </c>
    </row>
    <row r="2057" spans="2:4">
      <c r="B2057" s="121">
        <v>43046</v>
      </c>
      <c r="C2057" s="123">
        <v>2.3199999999999998</v>
      </c>
      <c r="D2057" s="73">
        <f t="shared" si="37"/>
        <v>2.3199999999999998E-2</v>
      </c>
    </row>
    <row r="2058" spans="2:4">
      <c r="B2058" s="121">
        <v>43047</v>
      </c>
      <c r="C2058" s="123">
        <v>2.3199999999999998</v>
      </c>
      <c r="D2058" s="73">
        <f t="shared" si="37"/>
        <v>2.3199999999999998E-2</v>
      </c>
    </row>
    <row r="2059" spans="2:4">
      <c r="B2059" s="121">
        <v>43048</v>
      </c>
      <c r="C2059" s="123">
        <v>2.33</v>
      </c>
      <c r="D2059" s="73">
        <f t="shared" si="37"/>
        <v>2.3300000000000001E-2</v>
      </c>
    </row>
    <row r="2060" spans="2:4">
      <c r="B2060" s="121">
        <v>43049</v>
      </c>
      <c r="C2060" s="123">
        <v>2.4</v>
      </c>
      <c r="D2060" s="73">
        <f t="shared" si="37"/>
        <v>2.4E-2</v>
      </c>
    </row>
    <row r="2061" spans="2:4">
      <c r="B2061" s="121">
        <v>43052</v>
      </c>
      <c r="C2061" s="123">
        <v>2.4</v>
      </c>
      <c r="D2061" s="73">
        <f t="shared" si="37"/>
        <v>2.4E-2</v>
      </c>
    </row>
    <row r="2062" spans="2:4">
      <c r="B2062" s="121">
        <v>43053</v>
      </c>
      <c r="C2062" s="123">
        <v>2.38</v>
      </c>
      <c r="D2062" s="73">
        <f t="shared" si="37"/>
        <v>2.3799999999999998E-2</v>
      </c>
    </row>
    <row r="2063" spans="2:4">
      <c r="B2063" s="121">
        <v>43054</v>
      </c>
      <c r="C2063" s="123">
        <v>2.33</v>
      </c>
      <c r="D2063" s="73">
        <f t="shared" si="37"/>
        <v>2.3300000000000001E-2</v>
      </c>
    </row>
    <row r="2064" spans="2:4">
      <c r="B2064" s="121">
        <v>43055</v>
      </c>
      <c r="C2064" s="123">
        <v>2.37</v>
      </c>
      <c r="D2064" s="73">
        <f t="shared" si="37"/>
        <v>2.3700000000000002E-2</v>
      </c>
    </row>
    <row r="2065" spans="2:4">
      <c r="B2065" s="121">
        <v>43056</v>
      </c>
      <c r="C2065" s="123">
        <v>2.35</v>
      </c>
      <c r="D2065" s="73">
        <f t="shared" si="37"/>
        <v>2.35E-2</v>
      </c>
    </row>
    <row r="2066" spans="2:4">
      <c r="B2066" s="121">
        <v>43059</v>
      </c>
      <c r="C2066" s="123">
        <v>2.37</v>
      </c>
      <c r="D2066" s="73">
        <f>IF( LEN( C2066 ) = 0, #N/A, IF( C2066 = "ND", D2065, C2066 / 100 ) )</f>
        <v>2.3700000000000002E-2</v>
      </c>
    </row>
    <row r="2067" spans="2:4">
      <c r="B2067" s="121">
        <v>43060</v>
      </c>
      <c r="C2067" s="123">
        <v>2.36</v>
      </c>
      <c r="D2067" s="73">
        <f t="shared" si="37"/>
        <v>2.3599999999999999E-2</v>
      </c>
    </row>
    <row r="2068" spans="2:4">
      <c r="B2068" s="121">
        <v>43061</v>
      </c>
      <c r="C2068" s="123">
        <v>2.3199999999999998</v>
      </c>
      <c r="D2068" s="73">
        <f t="shared" si="37"/>
        <v>2.3199999999999998E-2</v>
      </c>
    </row>
    <row r="2069" spans="2:4">
      <c r="B2069" s="121">
        <v>43062</v>
      </c>
      <c r="C2069" s="123" t="s">
        <v>325</v>
      </c>
      <c r="D2069" s="73">
        <f t="shared" si="37"/>
        <v>2.3199999999999998E-2</v>
      </c>
    </row>
    <row r="2070" spans="2:4">
      <c r="B2070" s="121">
        <v>43063</v>
      </c>
      <c r="C2070" s="123">
        <v>2.34</v>
      </c>
      <c r="D2070" s="73">
        <f t="shared" si="37"/>
        <v>2.3399999999999997E-2</v>
      </c>
    </row>
    <row r="2071" spans="2:4">
      <c r="B2071" s="121">
        <v>43066</v>
      </c>
      <c r="C2071" s="123">
        <v>2.3199999999999998</v>
      </c>
      <c r="D2071" s="73">
        <f t="shared" si="37"/>
        <v>2.3199999999999998E-2</v>
      </c>
    </row>
    <row r="2072" spans="2:4">
      <c r="B2072" s="121">
        <v>43067</v>
      </c>
      <c r="C2072" s="123">
        <v>2.34</v>
      </c>
      <c r="D2072" s="73">
        <f t="shared" si="37"/>
        <v>2.3399999999999997E-2</v>
      </c>
    </row>
    <row r="2073" spans="2:4">
      <c r="B2073" s="121">
        <v>43068</v>
      </c>
      <c r="C2073" s="123">
        <v>2.37</v>
      </c>
      <c r="D2073" s="73">
        <f t="shared" si="37"/>
        <v>2.3700000000000002E-2</v>
      </c>
    </row>
    <row r="2074" spans="2:4">
      <c r="B2074" s="121">
        <v>43069</v>
      </c>
      <c r="C2074" s="123">
        <v>2.42</v>
      </c>
      <c r="D2074" s="73">
        <f t="shared" si="37"/>
        <v>2.4199999999999999E-2</v>
      </c>
    </row>
    <row r="2075" spans="2:4">
      <c r="B2075" s="121">
        <v>43070</v>
      </c>
      <c r="C2075" s="123">
        <v>2.37</v>
      </c>
      <c r="D2075" s="73">
        <f t="shared" si="37"/>
        <v>2.3700000000000002E-2</v>
      </c>
    </row>
    <row r="2076" spans="2:4">
      <c r="B2076" s="121">
        <v>43073</v>
      </c>
      <c r="C2076" s="123">
        <v>2.37</v>
      </c>
      <c r="D2076" s="73">
        <f t="shared" si="37"/>
        <v>2.3700000000000002E-2</v>
      </c>
    </row>
    <row r="2077" spans="2:4">
      <c r="B2077" s="121">
        <v>43074</v>
      </c>
      <c r="C2077" s="123">
        <v>2.36</v>
      </c>
      <c r="D2077" s="73">
        <f t="shared" si="37"/>
        <v>2.3599999999999999E-2</v>
      </c>
    </row>
    <row r="2078" spans="2:4">
      <c r="B2078" s="121">
        <v>43075</v>
      </c>
      <c r="C2078" s="123">
        <v>2.33</v>
      </c>
      <c r="D2078" s="73">
        <f t="shared" si="37"/>
        <v>2.3300000000000001E-2</v>
      </c>
    </row>
    <row r="2079" spans="2:4">
      <c r="B2079" s="121">
        <v>43076</v>
      </c>
      <c r="C2079" s="123">
        <v>2.37</v>
      </c>
      <c r="D2079" s="73">
        <f t="shared" ref="D2079:D2090" si="38">IF( LEN( C2079 ) = 0, #N/A, IF( C2079 = "ND", D2078, C2079 / 100 ) )</f>
        <v>2.3700000000000002E-2</v>
      </c>
    </row>
    <row r="2080" spans="2:4">
      <c r="B2080" s="121">
        <v>43077</v>
      </c>
      <c r="C2080" s="123">
        <v>2.38</v>
      </c>
      <c r="D2080" s="73">
        <f t="shared" si="38"/>
        <v>2.3799999999999998E-2</v>
      </c>
    </row>
    <row r="2081" spans="2:4">
      <c r="B2081" s="121">
        <v>43080</v>
      </c>
      <c r="C2081" s="123">
        <v>2.39</v>
      </c>
      <c r="D2081" s="73">
        <f t="shared" si="38"/>
        <v>2.3900000000000001E-2</v>
      </c>
    </row>
    <row r="2082" spans="2:4">
      <c r="B2082" s="121">
        <v>43081</v>
      </c>
      <c r="C2082" s="123">
        <v>2.4</v>
      </c>
      <c r="D2082" s="73">
        <f t="shared" si="38"/>
        <v>2.4E-2</v>
      </c>
    </row>
    <row r="2083" spans="2:4">
      <c r="B2083" s="121">
        <v>43082</v>
      </c>
      <c r="C2083" s="123">
        <v>2.36</v>
      </c>
      <c r="D2083" s="73">
        <f t="shared" si="38"/>
        <v>2.3599999999999999E-2</v>
      </c>
    </row>
    <row r="2084" spans="2:4">
      <c r="B2084" s="121">
        <v>43083</v>
      </c>
      <c r="C2084" s="123">
        <v>2.35</v>
      </c>
      <c r="D2084" s="73">
        <f t="shared" si="38"/>
        <v>2.35E-2</v>
      </c>
    </row>
    <row r="2085" spans="2:4">
      <c r="B2085" s="121">
        <v>43084</v>
      </c>
      <c r="C2085" s="123">
        <v>2.35</v>
      </c>
      <c r="D2085" s="73">
        <f t="shared" si="38"/>
        <v>2.35E-2</v>
      </c>
    </row>
    <row r="2086" spans="2:4">
      <c r="B2086" s="121">
        <v>43087</v>
      </c>
      <c r="C2086" s="123">
        <v>2.39</v>
      </c>
      <c r="D2086" s="73">
        <f t="shared" si="38"/>
        <v>2.3900000000000001E-2</v>
      </c>
    </row>
    <row r="2087" spans="2:4">
      <c r="B2087" s="121">
        <v>43088</v>
      </c>
      <c r="C2087" s="123">
        <v>2.46</v>
      </c>
      <c r="D2087" s="73">
        <f t="shared" si="38"/>
        <v>2.46E-2</v>
      </c>
    </row>
    <row r="2088" spans="2:4">
      <c r="B2088" s="121">
        <v>43089</v>
      </c>
      <c r="C2088" s="123">
        <v>2.4900000000000002</v>
      </c>
      <c r="D2088" s="73">
        <f t="shared" si="38"/>
        <v>2.4900000000000002E-2</v>
      </c>
    </row>
    <row r="2089" spans="2:4">
      <c r="B2089" s="121">
        <v>43090</v>
      </c>
      <c r="C2089" s="123">
        <v>2.48</v>
      </c>
      <c r="D2089" s="73">
        <f t="shared" si="38"/>
        <v>2.4799999999999999E-2</v>
      </c>
    </row>
    <row r="2090" spans="2:4">
      <c r="B2090" s="121">
        <v>43091</v>
      </c>
      <c r="C2090" s="123">
        <v>2.48</v>
      </c>
      <c r="D2090" s="73">
        <f t="shared" si="38"/>
        <v>2.4799999999999999E-2</v>
      </c>
    </row>
    <row r="2091" spans="2:4">
      <c r="B2091" s="121">
        <v>43094</v>
      </c>
      <c r="C2091" s="123" t="s">
        <v>325</v>
      </c>
      <c r="D2091" s="73">
        <f>IF( LEN( C2091 ) = 0, #N/A, IF( C2091 = "ND", D2090, C2091 / 100 ) )</f>
        <v>2.4799999999999999E-2</v>
      </c>
    </row>
    <row r="2092" spans="2:4">
      <c r="B2092" s="121">
        <v>43095</v>
      </c>
      <c r="C2092" s="123">
        <v>2.4700000000000002</v>
      </c>
      <c r="D2092" s="73">
        <f t="shared" ref="D2092:D2110" si="39">IF( LEN( C2092 ) = 0, #N/A, IF( C2092 = "ND", D2091, C2092 / 100 ) )</f>
        <v>2.4700000000000003E-2</v>
      </c>
    </row>
    <row r="2093" spans="2:4">
      <c r="B2093" s="121">
        <v>43096</v>
      </c>
      <c r="C2093" s="123">
        <v>2.42</v>
      </c>
      <c r="D2093" s="73">
        <f t="shared" si="39"/>
        <v>2.4199999999999999E-2</v>
      </c>
    </row>
    <row r="2094" spans="2:4">
      <c r="B2094" s="121">
        <v>43097</v>
      </c>
      <c r="C2094" s="123">
        <v>2.4300000000000002</v>
      </c>
      <c r="D2094" s="73">
        <f t="shared" si="39"/>
        <v>2.4300000000000002E-2</v>
      </c>
    </row>
    <row r="2095" spans="2:4">
      <c r="B2095" s="121">
        <v>43098</v>
      </c>
      <c r="C2095" s="123">
        <v>2.4</v>
      </c>
      <c r="D2095" s="73">
        <f t="shared" si="39"/>
        <v>2.4E-2</v>
      </c>
    </row>
    <row r="2096" spans="2:4">
      <c r="B2096" s="121">
        <v>43101</v>
      </c>
      <c r="C2096" s="123" t="s">
        <v>325</v>
      </c>
      <c r="D2096" s="73">
        <f t="shared" si="39"/>
        <v>2.4E-2</v>
      </c>
    </row>
    <row r="2097" spans="2:4">
      <c r="B2097" s="121">
        <v>43102</v>
      </c>
      <c r="C2097" s="123">
        <v>2.46</v>
      </c>
      <c r="D2097" s="73">
        <f t="shared" si="39"/>
        <v>2.46E-2</v>
      </c>
    </row>
    <row r="2098" spans="2:4">
      <c r="B2098" s="121">
        <v>43103</v>
      </c>
      <c r="C2098" s="123">
        <v>2.44</v>
      </c>
      <c r="D2098" s="73">
        <f t="shared" si="39"/>
        <v>2.4399999999999998E-2</v>
      </c>
    </row>
    <row r="2099" spans="2:4">
      <c r="B2099" s="121">
        <v>43104</v>
      </c>
      <c r="C2099" s="123">
        <v>2.46</v>
      </c>
      <c r="D2099" s="73">
        <f t="shared" si="39"/>
        <v>2.46E-2</v>
      </c>
    </row>
    <row r="2100" spans="2:4">
      <c r="B2100" s="121">
        <v>43105</v>
      </c>
      <c r="C2100" s="123">
        <v>2.4700000000000002</v>
      </c>
      <c r="D2100" s="73">
        <f t="shared" si="39"/>
        <v>2.4700000000000003E-2</v>
      </c>
    </row>
    <row r="2101" spans="2:4">
      <c r="B2101" s="121">
        <v>43108</v>
      </c>
      <c r="C2101" s="123">
        <v>2.4900000000000002</v>
      </c>
      <c r="D2101" s="73">
        <f t="shared" si="39"/>
        <v>2.4900000000000002E-2</v>
      </c>
    </row>
    <row r="2102" spans="2:4">
      <c r="B2102" s="121">
        <v>43109</v>
      </c>
      <c r="C2102" s="123">
        <v>2.5499999999999998</v>
      </c>
      <c r="D2102" s="73">
        <f t="shared" si="39"/>
        <v>2.5499999999999998E-2</v>
      </c>
    </row>
    <row r="2103" spans="2:4">
      <c r="B2103" s="121">
        <v>43110</v>
      </c>
      <c r="C2103" s="123">
        <v>2.5499999999999998</v>
      </c>
      <c r="D2103" s="73">
        <f t="shared" si="39"/>
        <v>2.5499999999999998E-2</v>
      </c>
    </row>
    <row r="2104" spans="2:4">
      <c r="B2104" s="121">
        <v>43111</v>
      </c>
      <c r="C2104" s="123">
        <v>2.54</v>
      </c>
      <c r="D2104" s="73">
        <f t="shared" si="39"/>
        <v>2.5399999999999999E-2</v>
      </c>
    </row>
    <row r="2105" spans="2:4">
      <c r="B2105" s="121">
        <v>43112</v>
      </c>
      <c r="C2105" s="123">
        <v>2.5499999999999998</v>
      </c>
      <c r="D2105" s="73">
        <f t="shared" si="39"/>
        <v>2.5499999999999998E-2</v>
      </c>
    </row>
    <row r="2106" spans="2:4">
      <c r="B2106" s="121">
        <v>43115</v>
      </c>
      <c r="C2106" s="123" t="s">
        <v>325</v>
      </c>
      <c r="D2106" s="73">
        <f t="shared" si="39"/>
        <v>2.5499999999999998E-2</v>
      </c>
    </row>
    <row r="2107" spans="2:4">
      <c r="B2107" s="121">
        <v>43116</v>
      </c>
      <c r="C2107" s="123">
        <v>2.54</v>
      </c>
      <c r="D2107" s="73">
        <f t="shared" si="39"/>
        <v>2.5399999999999999E-2</v>
      </c>
    </row>
    <row r="2108" spans="2:4">
      <c r="B2108" s="121">
        <v>43117</v>
      </c>
      <c r="C2108" s="123">
        <v>2.57</v>
      </c>
      <c r="D2108" s="73">
        <f t="shared" si="39"/>
        <v>2.5699999999999997E-2</v>
      </c>
    </row>
    <row r="2109" spans="2:4">
      <c r="B2109" s="121">
        <v>43118</v>
      </c>
      <c r="C2109" s="123">
        <v>2.62</v>
      </c>
      <c r="D2109" s="73">
        <f t="shared" si="39"/>
        <v>2.6200000000000001E-2</v>
      </c>
    </row>
    <row r="2110" spans="2:4">
      <c r="B2110" s="121">
        <v>43119</v>
      </c>
      <c r="C2110" s="123">
        <v>2.64</v>
      </c>
      <c r="D2110" s="73">
        <f t="shared" si="39"/>
        <v>2.64E-2</v>
      </c>
    </row>
    <row r="2111" spans="2:4">
      <c r="B2111" s="121">
        <v>43122</v>
      </c>
      <c r="C2111" s="123">
        <v>2.66</v>
      </c>
      <c r="D2111" s="73">
        <f t="shared" ref="D2111:D2155" si="40">IF( LEN( C2111 ) = 0, #N/A, IF( C2111 = "ND", D2110, C2111 / 100 ) )</f>
        <v>2.6600000000000002E-2</v>
      </c>
    </row>
    <row r="2112" spans="2:4">
      <c r="B2112" s="121">
        <v>43123</v>
      </c>
      <c r="C2112" s="123">
        <v>2.63</v>
      </c>
      <c r="D2112" s="73">
        <f t="shared" si="40"/>
        <v>2.63E-2</v>
      </c>
    </row>
    <row r="2113" spans="2:4">
      <c r="B2113" s="121">
        <v>43124</v>
      </c>
      <c r="C2113" s="123">
        <v>2.65</v>
      </c>
      <c r="D2113" s="73">
        <f t="shared" si="40"/>
        <v>2.6499999999999999E-2</v>
      </c>
    </row>
    <row r="2114" spans="2:4">
      <c r="B2114" s="121">
        <v>43125</v>
      </c>
      <c r="C2114" s="123">
        <v>2.63</v>
      </c>
      <c r="D2114" s="73">
        <f t="shared" si="40"/>
        <v>2.63E-2</v>
      </c>
    </row>
    <row r="2115" spans="2:4">
      <c r="B2115" s="121">
        <v>43126</v>
      </c>
      <c r="C2115" s="123">
        <v>2.66</v>
      </c>
      <c r="D2115" s="73">
        <f t="shared" si="40"/>
        <v>2.6600000000000002E-2</v>
      </c>
    </row>
    <row r="2116" spans="2:4">
      <c r="B2116" s="121">
        <v>43129</v>
      </c>
      <c r="C2116" s="123">
        <v>2.7</v>
      </c>
      <c r="D2116" s="73">
        <f t="shared" si="40"/>
        <v>2.7000000000000003E-2</v>
      </c>
    </row>
    <row r="2117" spans="2:4">
      <c r="B2117" s="121">
        <v>43130</v>
      </c>
      <c r="C2117" s="123">
        <v>2.73</v>
      </c>
      <c r="D2117" s="73">
        <f t="shared" si="40"/>
        <v>2.7300000000000001E-2</v>
      </c>
    </row>
    <row r="2118" spans="2:4">
      <c r="B2118" s="121">
        <v>43131</v>
      </c>
      <c r="C2118" s="123">
        <v>2.72</v>
      </c>
      <c r="D2118" s="73">
        <f t="shared" si="40"/>
        <v>2.7200000000000002E-2</v>
      </c>
    </row>
    <row r="2119" spans="2:4">
      <c r="B2119" s="121">
        <v>43132</v>
      </c>
      <c r="C2119" s="123">
        <v>2.78</v>
      </c>
      <c r="D2119" s="73">
        <f t="shared" si="40"/>
        <v>2.7799999999999998E-2</v>
      </c>
    </row>
    <row r="2120" spans="2:4">
      <c r="B2120" s="121">
        <v>43133</v>
      </c>
      <c r="C2120" s="123">
        <v>2.84</v>
      </c>
      <c r="D2120" s="73">
        <f t="shared" si="40"/>
        <v>2.8399999999999998E-2</v>
      </c>
    </row>
    <row r="2121" spans="2:4">
      <c r="B2121" s="121">
        <v>43136</v>
      </c>
      <c r="C2121" s="123">
        <v>2.77</v>
      </c>
      <c r="D2121" s="73">
        <f t="shared" si="40"/>
        <v>2.7699999999999999E-2</v>
      </c>
    </row>
    <row r="2122" spans="2:4">
      <c r="B2122" s="121">
        <v>43137</v>
      </c>
      <c r="C2122" s="123">
        <v>2.79</v>
      </c>
      <c r="D2122" s="73">
        <f t="shared" si="40"/>
        <v>2.7900000000000001E-2</v>
      </c>
    </row>
    <row r="2123" spans="2:4">
      <c r="B2123" s="121">
        <v>43138</v>
      </c>
      <c r="C2123" s="123">
        <v>2.84</v>
      </c>
      <c r="D2123" s="73">
        <f t="shared" si="40"/>
        <v>2.8399999999999998E-2</v>
      </c>
    </row>
    <row r="2124" spans="2:4">
      <c r="B2124" s="121">
        <v>43139</v>
      </c>
      <c r="C2124" s="123">
        <v>2.85</v>
      </c>
      <c r="D2124" s="73">
        <f t="shared" si="40"/>
        <v>2.8500000000000001E-2</v>
      </c>
    </row>
    <row r="2125" spans="2:4">
      <c r="B2125" s="121">
        <v>43140</v>
      </c>
      <c r="C2125" s="123">
        <v>2.83</v>
      </c>
      <c r="D2125" s="73">
        <f t="shared" si="40"/>
        <v>2.8300000000000002E-2</v>
      </c>
    </row>
    <row r="2126" spans="2:4">
      <c r="B2126" s="121">
        <v>43143</v>
      </c>
      <c r="C2126" s="123">
        <v>2.86</v>
      </c>
      <c r="D2126" s="73">
        <f t="shared" si="40"/>
        <v>2.86E-2</v>
      </c>
    </row>
    <row r="2127" spans="2:4">
      <c r="B2127" s="121">
        <v>43144</v>
      </c>
      <c r="C2127" s="123">
        <v>2.83</v>
      </c>
      <c r="D2127" s="73">
        <f t="shared" si="40"/>
        <v>2.8300000000000002E-2</v>
      </c>
    </row>
    <row r="2128" spans="2:4">
      <c r="B2128" s="121">
        <v>43145</v>
      </c>
      <c r="C2128" s="123">
        <v>2.91</v>
      </c>
      <c r="D2128" s="73">
        <f t="shared" si="40"/>
        <v>2.9100000000000001E-2</v>
      </c>
    </row>
    <row r="2129" spans="2:4">
      <c r="B2129" s="121">
        <v>43146</v>
      </c>
      <c r="C2129" s="123">
        <v>2.9</v>
      </c>
      <c r="D2129" s="73">
        <f t="shared" si="40"/>
        <v>2.8999999999999998E-2</v>
      </c>
    </row>
    <row r="2130" spans="2:4">
      <c r="B2130" s="121">
        <v>43147</v>
      </c>
      <c r="C2130" s="123">
        <v>2.87</v>
      </c>
      <c r="D2130" s="73">
        <f t="shared" si="40"/>
        <v>2.87E-2</v>
      </c>
    </row>
    <row r="2131" spans="2:4">
      <c r="B2131" s="121">
        <v>43150</v>
      </c>
      <c r="C2131" s="123" t="s">
        <v>325</v>
      </c>
      <c r="D2131" s="73">
        <f t="shared" si="40"/>
        <v>2.87E-2</v>
      </c>
    </row>
    <row r="2132" spans="2:4">
      <c r="B2132" s="121">
        <v>43151</v>
      </c>
      <c r="C2132" s="123">
        <v>2.88</v>
      </c>
      <c r="D2132" s="73">
        <f t="shared" si="40"/>
        <v>2.8799999999999999E-2</v>
      </c>
    </row>
    <row r="2133" spans="2:4">
      <c r="B2133" s="121">
        <v>43152</v>
      </c>
      <c r="C2133" s="123">
        <v>2.94</v>
      </c>
      <c r="D2133" s="73">
        <f t="shared" si="40"/>
        <v>2.9399999999999999E-2</v>
      </c>
    </row>
    <row r="2134" spans="2:4">
      <c r="B2134" s="121">
        <v>43153</v>
      </c>
      <c r="C2134" s="123">
        <v>2.92</v>
      </c>
      <c r="D2134" s="73">
        <f t="shared" si="40"/>
        <v>2.92E-2</v>
      </c>
    </row>
    <row r="2135" spans="2:4">
      <c r="B2135" s="121">
        <v>43154</v>
      </c>
      <c r="C2135" s="123">
        <v>2.88</v>
      </c>
      <c r="D2135" s="73">
        <f t="shared" si="40"/>
        <v>2.8799999999999999E-2</v>
      </c>
    </row>
    <row r="2136" spans="2:4">
      <c r="B2136" s="121">
        <v>43157</v>
      </c>
      <c r="C2136" s="123">
        <v>2.86</v>
      </c>
      <c r="D2136" s="73">
        <f t="shared" si="40"/>
        <v>2.86E-2</v>
      </c>
    </row>
    <row r="2137" spans="2:4">
      <c r="B2137" s="121">
        <v>43158</v>
      </c>
      <c r="C2137" s="123">
        <v>2.9</v>
      </c>
      <c r="D2137" s="73">
        <f t="shared" si="40"/>
        <v>2.8999999999999998E-2</v>
      </c>
    </row>
    <row r="2138" spans="2:4">
      <c r="B2138" s="121">
        <v>43159</v>
      </c>
      <c r="C2138" s="123">
        <v>2.87</v>
      </c>
      <c r="D2138" s="73">
        <f t="shared" si="40"/>
        <v>2.87E-2</v>
      </c>
    </row>
    <row r="2139" spans="2:4">
      <c r="B2139" s="121">
        <v>43160</v>
      </c>
      <c r="C2139" s="123">
        <v>2.81</v>
      </c>
      <c r="D2139" s="73">
        <f t="shared" si="40"/>
        <v>2.81E-2</v>
      </c>
    </row>
    <row r="2140" spans="2:4">
      <c r="B2140" s="121">
        <v>43161</v>
      </c>
      <c r="C2140" s="123">
        <v>2.86</v>
      </c>
      <c r="D2140" s="73">
        <f t="shared" si="40"/>
        <v>2.86E-2</v>
      </c>
    </row>
    <row r="2141" spans="2:4">
      <c r="B2141" s="121">
        <v>43164</v>
      </c>
      <c r="C2141" s="123">
        <v>2.88</v>
      </c>
      <c r="D2141" s="73">
        <f t="shared" si="40"/>
        <v>2.8799999999999999E-2</v>
      </c>
    </row>
    <row r="2142" spans="2:4">
      <c r="B2142" s="121">
        <v>43165</v>
      </c>
      <c r="C2142" s="123">
        <v>2.88</v>
      </c>
      <c r="D2142" s="73">
        <f t="shared" si="40"/>
        <v>2.8799999999999999E-2</v>
      </c>
    </row>
    <row r="2143" spans="2:4">
      <c r="B2143" s="121">
        <v>43166</v>
      </c>
      <c r="C2143" s="123">
        <v>2.89</v>
      </c>
      <c r="D2143" s="73">
        <f t="shared" si="40"/>
        <v>2.8900000000000002E-2</v>
      </c>
    </row>
    <row r="2144" spans="2:4">
      <c r="B2144" s="121">
        <v>43167</v>
      </c>
      <c r="C2144" s="123">
        <v>2.86</v>
      </c>
      <c r="D2144" s="73">
        <f t="shared" si="40"/>
        <v>2.86E-2</v>
      </c>
    </row>
    <row r="2145" spans="2:4">
      <c r="B2145" s="121">
        <v>43168</v>
      </c>
      <c r="C2145" s="123">
        <v>2.9</v>
      </c>
      <c r="D2145" s="73">
        <f t="shared" si="40"/>
        <v>2.8999999999999998E-2</v>
      </c>
    </row>
    <row r="2146" spans="2:4">
      <c r="B2146" s="121">
        <v>43171</v>
      </c>
      <c r="C2146" s="123">
        <v>2.87</v>
      </c>
      <c r="D2146" s="73">
        <f t="shared" si="40"/>
        <v>2.87E-2</v>
      </c>
    </row>
    <row r="2147" spans="2:4">
      <c r="B2147" s="121">
        <v>43172</v>
      </c>
      <c r="C2147" s="123">
        <v>2.84</v>
      </c>
      <c r="D2147" s="73">
        <f t="shared" si="40"/>
        <v>2.8399999999999998E-2</v>
      </c>
    </row>
    <row r="2148" spans="2:4">
      <c r="B2148" s="121">
        <v>43173</v>
      </c>
      <c r="C2148" s="123">
        <v>2.81</v>
      </c>
      <c r="D2148" s="73">
        <f t="shared" si="40"/>
        <v>2.81E-2</v>
      </c>
    </row>
    <row r="2149" spans="2:4">
      <c r="B2149" s="121">
        <v>43174</v>
      </c>
      <c r="C2149" s="123">
        <v>2.82</v>
      </c>
      <c r="D2149" s="73">
        <f t="shared" si="40"/>
        <v>2.8199999999999999E-2</v>
      </c>
    </row>
    <row r="2150" spans="2:4">
      <c r="B2150" s="121">
        <v>43175</v>
      </c>
      <c r="C2150" s="123">
        <v>2.85</v>
      </c>
      <c r="D2150" s="73">
        <f t="shared" si="40"/>
        <v>2.8500000000000001E-2</v>
      </c>
    </row>
    <row r="2151" spans="2:4">
      <c r="B2151" s="121">
        <v>43178</v>
      </c>
      <c r="C2151" s="123">
        <v>2.85</v>
      </c>
      <c r="D2151" s="73">
        <f t="shared" si="40"/>
        <v>2.8500000000000001E-2</v>
      </c>
    </row>
    <row r="2152" spans="2:4">
      <c r="B2152" s="121">
        <v>43179</v>
      </c>
      <c r="C2152" s="123">
        <v>2.89</v>
      </c>
      <c r="D2152" s="73">
        <f t="shared" si="40"/>
        <v>2.8900000000000002E-2</v>
      </c>
    </row>
    <row r="2153" spans="2:4">
      <c r="B2153" s="121">
        <v>43180</v>
      </c>
      <c r="C2153" s="123">
        <v>2.89</v>
      </c>
      <c r="D2153" s="73">
        <f t="shared" si="40"/>
        <v>2.8900000000000002E-2</v>
      </c>
    </row>
    <row r="2154" spans="2:4">
      <c r="B2154" s="121">
        <v>43181</v>
      </c>
      <c r="C2154" s="123">
        <v>2.83</v>
      </c>
      <c r="D2154" s="73">
        <f t="shared" si="40"/>
        <v>2.8300000000000002E-2</v>
      </c>
    </row>
    <row r="2155" spans="2:4">
      <c r="B2155" s="121">
        <v>43182</v>
      </c>
      <c r="C2155" s="123">
        <v>2.82</v>
      </c>
      <c r="D2155" s="73">
        <f t="shared" si="40"/>
        <v>2.8199999999999999E-2</v>
      </c>
    </row>
    <row r="2156" spans="2:4">
      <c r="B2156" s="121">
        <v>43185</v>
      </c>
      <c r="C2156" s="123">
        <v>2.85</v>
      </c>
      <c r="D2156" s="73">
        <f t="shared" ref="D2156:D2210" si="41">IF( LEN( C2156 ) = 0, #N/A, IF( C2156 = "ND", D2155, C2156 / 100 ) )</f>
        <v>2.8500000000000001E-2</v>
      </c>
    </row>
    <row r="2157" spans="2:4">
      <c r="B2157" s="121">
        <v>43186</v>
      </c>
      <c r="C2157" s="123">
        <v>2.78</v>
      </c>
      <c r="D2157" s="73">
        <f t="shared" si="41"/>
        <v>2.7799999999999998E-2</v>
      </c>
    </row>
    <row r="2158" spans="2:4">
      <c r="B2158" s="121">
        <v>43187</v>
      </c>
      <c r="C2158" s="123">
        <v>2.77</v>
      </c>
      <c r="D2158" s="73">
        <f t="shared" si="41"/>
        <v>2.7699999999999999E-2</v>
      </c>
    </row>
    <row r="2159" spans="2:4">
      <c r="B2159" s="121">
        <v>43188</v>
      </c>
      <c r="C2159" s="123">
        <v>2.74</v>
      </c>
      <c r="D2159" s="73">
        <f t="shared" si="41"/>
        <v>2.7400000000000001E-2</v>
      </c>
    </row>
    <row r="2160" spans="2:4">
      <c r="B2160" s="121">
        <v>43189</v>
      </c>
      <c r="C2160" s="123" t="s">
        <v>325</v>
      </c>
      <c r="D2160" s="73">
        <f t="shared" si="41"/>
        <v>2.7400000000000001E-2</v>
      </c>
    </row>
    <row r="2161" spans="2:4">
      <c r="B2161" s="121">
        <v>43192</v>
      </c>
      <c r="C2161" s="123">
        <v>2.73</v>
      </c>
      <c r="D2161" s="73">
        <f t="shared" si="41"/>
        <v>2.7300000000000001E-2</v>
      </c>
    </row>
    <row r="2162" spans="2:4">
      <c r="B2162" s="121">
        <v>43193</v>
      </c>
      <c r="C2162" s="123">
        <v>2.79</v>
      </c>
      <c r="D2162" s="73">
        <f t="shared" si="41"/>
        <v>2.7900000000000001E-2</v>
      </c>
    </row>
    <row r="2163" spans="2:4">
      <c r="B2163" s="121">
        <v>43194</v>
      </c>
      <c r="C2163" s="123">
        <v>2.79</v>
      </c>
      <c r="D2163" s="73">
        <f t="shared" si="41"/>
        <v>2.7900000000000001E-2</v>
      </c>
    </row>
    <row r="2164" spans="2:4">
      <c r="B2164" s="121">
        <v>43195</v>
      </c>
      <c r="C2164" s="123">
        <v>2.83</v>
      </c>
      <c r="D2164" s="73">
        <f t="shared" si="41"/>
        <v>2.8300000000000002E-2</v>
      </c>
    </row>
    <row r="2165" spans="2:4">
      <c r="B2165" s="121">
        <v>43196</v>
      </c>
      <c r="C2165" s="123">
        <v>2.77</v>
      </c>
      <c r="D2165" s="73">
        <f t="shared" si="41"/>
        <v>2.7699999999999999E-2</v>
      </c>
    </row>
    <row r="2166" spans="2:4">
      <c r="B2166" s="121">
        <v>43199</v>
      </c>
      <c r="C2166" s="123">
        <v>2.78</v>
      </c>
      <c r="D2166" s="73">
        <f t="shared" si="41"/>
        <v>2.7799999999999998E-2</v>
      </c>
    </row>
    <row r="2167" spans="2:4">
      <c r="B2167" s="121">
        <v>43200</v>
      </c>
      <c r="C2167" s="123">
        <v>2.8</v>
      </c>
      <c r="D2167" s="73">
        <f t="shared" si="41"/>
        <v>2.7999999999999997E-2</v>
      </c>
    </row>
    <row r="2168" spans="2:4">
      <c r="B2168" s="121">
        <v>43201</v>
      </c>
      <c r="C2168" s="123">
        <v>2.79</v>
      </c>
      <c r="D2168" s="73">
        <f t="shared" si="41"/>
        <v>2.7900000000000001E-2</v>
      </c>
    </row>
    <row r="2169" spans="2:4">
      <c r="B2169" s="121">
        <v>43202</v>
      </c>
      <c r="C2169" s="123">
        <v>2.83</v>
      </c>
      <c r="D2169" s="73">
        <f t="shared" si="41"/>
        <v>2.8300000000000002E-2</v>
      </c>
    </row>
    <row r="2170" spans="2:4">
      <c r="B2170" s="121">
        <v>43203</v>
      </c>
      <c r="C2170" s="123">
        <v>2.82</v>
      </c>
      <c r="D2170" s="73">
        <f t="shared" si="41"/>
        <v>2.8199999999999999E-2</v>
      </c>
    </row>
    <row r="2171" spans="2:4">
      <c r="B2171" s="121">
        <v>43206</v>
      </c>
      <c r="C2171" s="123">
        <v>2.83</v>
      </c>
      <c r="D2171" s="73">
        <f t="shared" si="41"/>
        <v>2.8300000000000002E-2</v>
      </c>
    </row>
    <row r="2172" spans="2:4">
      <c r="B2172" s="121">
        <v>43207</v>
      </c>
      <c r="C2172" s="123">
        <v>2.82</v>
      </c>
      <c r="D2172" s="73">
        <f t="shared" si="41"/>
        <v>2.8199999999999999E-2</v>
      </c>
    </row>
    <row r="2173" spans="2:4">
      <c r="B2173" s="121">
        <v>43208</v>
      </c>
      <c r="C2173" s="123">
        <v>2.87</v>
      </c>
      <c r="D2173" s="73">
        <f t="shared" si="41"/>
        <v>2.87E-2</v>
      </c>
    </row>
    <row r="2174" spans="2:4">
      <c r="B2174" s="121">
        <v>43209</v>
      </c>
      <c r="C2174" s="123">
        <v>2.92</v>
      </c>
      <c r="D2174" s="73">
        <f t="shared" si="41"/>
        <v>2.92E-2</v>
      </c>
    </row>
    <row r="2175" spans="2:4">
      <c r="B2175" s="121">
        <v>43210</v>
      </c>
      <c r="C2175" s="123">
        <v>2.96</v>
      </c>
      <c r="D2175" s="73">
        <f t="shared" si="41"/>
        <v>2.9600000000000001E-2</v>
      </c>
    </row>
    <row r="2176" spans="2:4">
      <c r="B2176" s="121">
        <v>43213</v>
      </c>
      <c r="C2176" s="123">
        <v>2.98</v>
      </c>
      <c r="D2176" s="73">
        <f t="shared" si="41"/>
        <v>2.98E-2</v>
      </c>
    </row>
    <row r="2177" spans="2:4">
      <c r="B2177" s="121">
        <v>43214</v>
      </c>
      <c r="C2177" s="123">
        <v>3</v>
      </c>
      <c r="D2177" s="73">
        <f t="shared" si="41"/>
        <v>0.03</v>
      </c>
    </row>
    <row r="2178" spans="2:4">
      <c r="B2178" s="121">
        <v>43215</v>
      </c>
      <c r="C2178" s="123">
        <v>3.03</v>
      </c>
      <c r="D2178" s="73">
        <f t="shared" si="41"/>
        <v>3.0299999999999997E-2</v>
      </c>
    </row>
    <row r="2179" spans="2:4">
      <c r="B2179" s="121">
        <v>43216</v>
      </c>
      <c r="C2179" s="123">
        <v>3</v>
      </c>
      <c r="D2179" s="73">
        <f t="shared" si="41"/>
        <v>0.03</v>
      </c>
    </row>
    <row r="2180" spans="2:4">
      <c r="B2180" s="121">
        <v>43217</v>
      </c>
      <c r="C2180" s="123">
        <v>2.96</v>
      </c>
      <c r="D2180" s="73">
        <f t="shared" si="41"/>
        <v>2.9600000000000001E-2</v>
      </c>
    </row>
    <row r="2181" spans="2:4">
      <c r="B2181" s="121">
        <v>43220</v>
      </c>
      <c r="C2181" s="123">
        <v>2.95</v>
      </c>
      <c r="D2181" s="73">
        <f t="shared" si="41"/>
        <v>2.9500000000000002E-2</v>
      </c>
    </row>
    <row r="2182" spans="2:4">
      <c r="B2182" s="121">
        <v>43221</v>
      </c>
      <c r="C2182" s="123">
        <v>2.97</v>
      </c>
      <c r="D2182" s="73">
        <f t="shared" si="41"/>
        <v>2.9700000000000001E-2</v>
      </c>
    </row>
    <row r="2183" spans="2:4">
      <c r="B2183" s="121">
        <v>43222</v>
      </c>
      <c r="C2183" s="123">
        <v>2.97</v>
      </c>
      <c r="D2183" s="73">
        <f t="shared" si="41"/>
        <v>2.9700000000000001E-2</v>
      </c>
    </row>
    <row r="2184" spans="2:4">
      <c r="B2184" s="121">
        <v>43223</v>
      </c>
      <c r="C2184" s="123">
        <v>2.94</v>
      </c>
      <c r="D2184" s="73">
        <f t="shared" si="41"/>
        <v>2.9399999999999999E-2</v>
      </c>
    </row>
    <row r="2185" spans="2:4">
      <c r="B2185" s="121">
        <v>43224</v>
      </c>
      <c r="C2185" s="123">
        <v>2.95</v>
      </c>
      <c r="D2185" s="73">
        <f t="shared" si="41"/>
        <v>2.9500000000000002E-2</v>
      </c>
    </row>
    <row r="2186" spans="2:4">
      <c r="B2186" s="121">
        <v>43227</v>
      </c>
      <c r="C2186" s="123">
        <v>2.95</v>
      </c>
      <c r="D2186" s="73">
        <f t="shared" si="41"/>
        <v>2.9500000000000002E-2</v>
      </c>
    </row>
    <row r="2187" spans="2:4">
      <c r="B2187" s="121">
        <v>43228</v>
      </c>
      <c r="C2187" s="123">
        <v>2.97</v>
      </c>
      <c r="D2187" s="73">
        <f t="shared" si="41"/>
        <v>2.9700000000000001E-2</v>
      </c>
    </row>
    <row r="2188" spans="2:4">
      <c r="B2188" s="121">
        <v>43229</v>
      </c>
      <c r="C2188" s="123">
        <v>3</v>
      </c>
      <c r="D2188" s="73">
        <f t="shared" si="41"/>
        <v>0.03</v>
      </c>
    </row>
    <row r="2189" spans="2:4">
      <c r="B2189" s="121">
        <v>43230</v>
      </c>
      <c r="C2189" s="123">
        <v>2.97</v>
      </c>
      <c r="D2189" s="73">
        <f t="shared" si="41"/>
        <v>2.9700000000000001E-2</v>
      </c>
    </row>
    <row r="2190" spans="2:4">
      <c r="B2190" s="121">
        <v>43231</v>
      </c>
      <c r="C2190" s="123">
        <v>2.97</v>
      </c>
      <c r="D2190" s="73">
        <f t="shared" si="41"/>
        <v>2.9700000000000001E-2</v>
      </c>
    </row>
    <row r="2191" spans="2:4">
      <c r="B2191" s="121">
        <v>43234</v>
      </c>
      <c r="C2191" s="123">
        <v>3</v>
      </c>
      <c r="D2191" s="73">
        <f t="shared" si="41"/>
        <v>0.03</v>
      </c>
    </row>
    <row r="2192" spans="2:4">
      <c r="B2192" s="121">
        <v>43235</v>
      </c>
      <c r="C2192" s="123">
        <v>3.08</v>
      </c>
      <c r="D2192" s="73">
        <f t="shared" si="41"/>
        <v>3.0800000000000001E-2</v>
      </c>
    </row>
    <row r="2193" spans="2:4">
      <c r="B2193" s="121">
        <v>43236</v>
      </c>
      <c r="C2193" s="123">
        <v>3.09</v>
      </c>
      <c r="D2193" s="73">
        <f t="shared" si="41"/>
        <v>3.0899999999999997E-2</v>
      </c>
    </row>
    <row r="2194" spans="2:4">
      <c r="B2194" s="121">
        <v>43237</v>
      </c>
      <c r="C2194" s="123">
        <v>3.11</v>
      </c>
      <c r="D2194" s="73">
        <f t="shared" si="41"/>
        <v>3.1099999999999999E-2</v>
      </c>
    </row>
    <row r="2195" spans="2:4">
      <c r="B2195" s="121">
        <v>43238</v>
      </c>
      <c r="C2195" s="123">
        <v>3.06</v>
      </c>
      <c r="D2195" s="73">
        <f t="shared" si="41"/>
        <v>3.0600000000000002E-2</v>
      </c>
    </row>
    <row r="2196" spans="2:4">
      <c r="B2196" s="121">
        <v>43241</v>
      </c>
      <c r="C2196" s="123">
        <v>3.06</v>
      </c>
      <c r="D2196" s="73">
        <f t="shared" si="41"/>
        <v>3.0600000000000002E-2</v>
      </c>
    </row>
    <row r="2197" spans="2:4">
      <c r="B2197" s="121">
        <v>43242</v>
      </c>
      <c r="C2197" s="123">
        <v>3.06</v>
      </c>
      <c r="D2197" s="73">
        <f t="shared" si="41"/>
        <v>3.0600000000000002E-2</v>
      </c>
    </row>
    <row r="2198" spans="2:4">
      <c r="B2198" s="121">
        <v>43243</v>
      </c>
      <c r="C2198" s="123">
        <v>3.01</v>
      </c>
      <c r="D2198" s="73">
        <f t="shared" si="41"/>
        <v>3.0099999999999998E-2</v>
      </c>
    </row>
    <row r="2199" spans="2:4">
      <c r="B2199" s="121">
        <v>43244</v>
      </c>
      <c r="C2199" s="123">
        <v>2.98</v>
      </c>
      <c r="D2199" s="73">
        <f t="shared" si="41"/>
        <v>2.98E-2</v>
      </c>
    </row>
    <row r="2200" spans="2:4">
      <c r="B2200" s="121">
        <v>43245</v>
      </c>
      <c r="C2200" s="123">
        <v>2.93</v>
      </c>
      <c r="D2200" s="73">
        <f t="shared" si="41"/>
        <v>2.9300000000000003E-2</v>
      </c>
    </row>
    <row r="2201" spans="2:4">
      <c r="B2201" s="121">
        <v>43248</v>
      </c>
      <c r="C2201" s="123" t="s">
        <v>325</v>
      </c>
      <c r="D2201" s="73">
        <f t="shared" si="41"/>
        <v>2.9300000000000003E-2</v>
      </c>
    </row>
    <row r="2202" spans="2:4">
      <c r="B2202" s="121">
        <v>43249</v>
      </c>
      <c r="C2202" s="123">
        <v>2.77</v>
      </c>
      <c r="D2202" s="73">
        <f t="shared" si="41"/>
        <v>2.7699999999999999E-2</v>
      </c>
    </row>
    <row r="2203" spans="2:4">
      <c r="B2203" s="121">
        <v>43250</v>
      </c>
      <c r="C2203" s="123">
        <v>2.84</v>
      </c>
      <c r="D2203" s="73">
        <f t="shared" si="41"/>
        <v>2.8399999999999998E-2</v>
      </c>
    </row>
    <row r="2204" spans="2:4">
      <c r="B2204" s="121">
        <v>43251</v>
      </c>
      <c r="C2204" s="123">
        <v>2.83</v>
      </c>
      <c r="D2204" s="73">
        <f t="shared" si="41"/>
        <v>2.8300000000000002E-2</v>
      </c>
    </row>
    <row r="2205" spans="2:4">
      <c r="B2205" s="121">
        <v>43252</v>
      </c>
      <c r="C2205" s="123">
        <v>2.89</v>
      </c>
      <c r="D2205" s="73">
        <f t="shared" si="41"/>
        <v>2.8900000000000002E-2</v>
      </c>
    </row>
    <row r="2206" spans="2:4">
      <c r="B2206" s="121">
        <v>43255</v>
      </c>
      <c r="C2206" s="123">
        <v>2.94</v>
      </c>
      <c r="D2206" s="73">
        <f t="shared" si="41"/>
        <v>2.9399999999999999E-2</v>
      </c>
    </row>
    <row r="2207" spans="2:4">
      <c r="B2207" s="121">
        <v>43256</v>
      </c>
      <c r="C2207" s="123">
        <v>2.92</v>
      </c>
      <c r="D2207" s="73">
        <f t="shared" si="41"/>
        <v>2.92E-2</v>
      </c>
    </row>
    <row r="2208" spans="2:4">
      <c r="B2208" s="121">
        <v>43257</v>
      </c>
      <c r="C2208" s="123">
        <v>2.97</v>
      </c>
      <c r="D2208" s="73">
        <f t="shared" si="41"/>
        <v>2.9700000000000001E-2</v>
      </c>
    </row>
    <row r="2209" spans="2:4">
      <c r="B2209" s="121">
        <v>43258</v>
      </c>
      <c r="C2209" s="123">
        <v>2.93</v>
      </c>
      <c r="D2209" s="73">
        <f t="shared" si="41"/>
        <v>2.9300000000000003E-2</v>
      </c>
    </row>
    <row r="2210" spans="2:4">
      <c r="B2210" s="121">
        <v>43259</v>
      </c>
      <c r="C2210" s="123">
        <v>2.93</v>
      </c>
      <c r="D2210" s="73">
        <f t="shared" si="41"/>
        <v>2.9300000000000003E-2</v>
      </c>
    </row>
    <row r="2211" spans="2:4">
      <c r="B2211" s="121">
        <v>43262</v>
      </c>
      <c r="C2211" s="123">
        <v>2.96</v>
      </c>
      <c r="D2211" s="73">
        <f t="shared" ref="D2211:D2240" si="42">IF( LEN( C2211 ) = 0, #N/A, IF( C2211 = "ND", D2210, C2211 / 100 ) )</f>
        <v>2.9600000000000001E-2</v>
      </c>
    </row>
    <row r="2212" spans="2:4">
      <c r="B2212" s="121">
        <v>43263</v>
      </c>
      <c r="C2212" s="123">
        <v>2.96</v>
      </c>
      <c r="D2212" s="73">
        <f t="shared" si="42"/>
        <v>2.9600000000000001E-2</v>
      </c>
    </row>
    <row r="2213" spans="2:4">
      <c r="B2213" s="121">
        <v>43264</v>
      </c>
      <c r="C2213" s="123">
        <v>2.98</v>
      </c>
      <c r="D2213" s="73">
        <f t="shared" si="42"/>
        <v>2.98E-2</v>
      </c>
    </row>
    <row r="2214" spans="2:4">
      <c r="B2214" s="121">
        <v>43265</v>
      </c>
      <c r="C2214" s="123">
        <v>2.94</v>
      </c>
      <c r="D2214" s="73">
        <f t="shared" si="42"/>
        <v>2.9399999999999999E-2</v>
      </c>
    </row>
    <row r="2215" spans="2:4">
      <c r="B2215" s="121">
        <v>43266</v>
      </c>
      <c r="C2215" s="123">
        <v>2.93</v>
      </c>
      <c r="D2215" s="73">
        <f t="shared" si="42"/>
        <v>2.9300000000000003E-2</v>
      </c>
    </row>
    <row r="2216" spans="2:4">
      <c r="B2216" s="121">
        <v>43269</v>
      </c>
      <c r="C2216" s="123">
        <v>2.92</v>
      </c>
      <c r="D2216" s="73">
        <f t="shared" si="42"/>
        <v>2.92E-2</v>
      </c>
    </row>
    <row r="2217" spans="2:4">
      <c r="B2217" s="121">
        <v>43270</v>
      </c>
      <c r="C2217" s="123">
        <v>2.89</v>
      </c>
      <c r="D2217" s="73">
        <f t="shared" si="42"/>
        <v>2.8900000000000002E-2</v>
      </c>
    </row>
    <row r="2218" spans="2:4">
      <c r="B2218" s="121">
        <v>43271</v>
      </c>
      <c r="C2218" s="123">
        <v>2.93</v>
      </c>
      <c r="D2218" s="73">
        <f t="shared" si="42"/>
        <v>2.9300000000000003E-2</v>
      </c>
    </row>
    <row r="2219" spans="2:4">
      <c r="B2219" s="121">
        <v>43272</v>
      </c>
      <c r="C2219" s="123">
        <v>2.9</v>
      </c>
      <c r="D2219" s="73">
        <f t="shared" si="42"/>
        <v>2.8999999999999998E-2</v>
      </c>
    </row>
    <row r="2220" spans="2:4">
      <c r="B2220" s="121">
        <v>43273</v>
      </c>
      <c r="C2220" s="123">
        <v>2.9</v>
      </c>
      <c r="D2220" s="73">
        <f t="shared" si="42"/>
        <v>2.8999999999999998E-2</v>
      </c>
    </row>
    <row r="2221" spans="2:4">
      <c r="B2221" s="121">
        <v>43276</v>
      </c>
      <c r="C2221" s="123">
        <v>2.87</v>
      </c>
      <c r="D2221" s="73">
        <f t="shared" si="42"/>
        <v>2.87E-2</v>
      </c>
    </row>
    <row r="2222" spans="2:4">
      <c r="B2222" s="121">
        <v>43277</v>
      </c>
      <c r="C2222" s="123">
        <v>2.88</v>
      </c>
      <c r="D2222" s="73">
        <f t="shared" si="42"/>
        <v>2.8799999999999999E-2</v>
      </c>
    </row>
    <row r="2223" spans="2:4">
      <c r="B2223" s="121">
        <v>43278</v>
      </c>
      <c r="C2223" s="123">
        <v>2.83</v>
      </c>
      <c r="D2223" s="73">
        <f t="shared" si="42"/>
        <v>2.8300000000000002E-2</v>
      </c>
    </row>
    <row r="2224" spans="2:4">
      <c r="B2224" s="121">
        <v>43279</v>
      </c>
      <c r="C2224" s="123">
        <v>2.84</v>
      </c>
      <c r="D2224" s="73">
        <f t="shared" si="42"/>
        <v>2.8399999999999998E-2</v>
      </c>
    </row>
    <row r="2225" spans="2:4">
      <c r="B2225" s="121">
        <v>43280</v>
      </c>
      <c r="C2225" s="123">
        <v>2.85</v>
      </c>
      <c r="D2225" s="73">
        <f t="shared" si="42"/>
        <v>2.8500000000000001E-2</v>
      </c>
    </row>
    <row r="2226" spans="2:4">
      <c r="B2226" s="121">
        <v>43283</v>
      </c>
      <c r="C2226" s="123">
        <v>2.87</v>
      </c>
      <c r="D2226" s="73">
        <f t="shared" si="42"/>
        <v>2.87E-2</v>
      </c>
    </row>
    <row r="2227" spans="2:4">
      <c r="B2227" s="121">
        <v>43284</v>
      </c>
      <c r="C2227" s="123">
        <v>2.83</v>
      </c>
      <c r="D2227" s="73">
        <f t="shared" si="42"/>
        <v>2.8300000000000002E-2</v>
      </c>
    </row>
    <row r="2228" spans="2:4">
      <c r="B2228" s="121">
        <v>43285</v>
      </c>
      <c r="C2228" s="123" t="s">
        <v>325</v>
      </c>
      <c r="D2228" s="73">
        <f t="shared" si="42"/>
        <v>2.8300000000000002E-2</v>
      </c>
    </row>
    <row r="2229" spans="2:4">
      <c r="B2229" s="121">
        <v>43286</v>
      </c>
      <c r="C2229" s="123">
        <v>2.84</v>
      </c>
      <c r="D2229" s="73">
        <f t="shared" si="42"/>
        <v>2.8399999999999998E-2</v>
      </c>
    </row>
    <row r="2230" spans="2:4">
      <c r="B2230" s="121">
        <v>43287</v>
      </c>
      <c r="C2230" s="123">
        <v>2.82</v>
      </c>
      <c r="D2230" s="73">
        <f t="shared" si="42"/>
        <v>2.8199999999999999E-2</v>
      </c>
    </row>
    <row r="2231" spans="2:4">
      <c r="B2231" s="121">
        <v>43290</v>
      </c>
      <c r="C2231" s="123">
        <v>2.86</v>
      </c>
      <c r="D2231" s="73">
        <f t="shared" si="42"/>
        <v>2.86E-2</v>
      </c>
    </row>
    <row r="2232" spans="2:4">
      <c r="B2232" s="121">
        <v>43291</v>
      </c>
      <c r="C2232" s="123">
        <v>2.87</v>
      </c>
      <c r="D2232" s="73">
        <f t="shared" si="42"/>
        <v>2.87E-2</v>
      </c>
    </row>
    <row r="2233" spans="2:4">
      <c r="B2233" s="121">
        <v>43292</v>
      </c>
      <c r="C2233" s="123">
        <v>2.85</v>
      </c>
      <c r="D2233" s="73">
        <f t="shared" si="42"/>
        <v>2.8500000000000001E-2</v>
      </c>
    </row>
    <row r="2234" spans="2:4">
      <c r="B2234" s="121">
        <v>43293</v>
      </c>
      <c r="C2234" s="123">
        <v>2.85</v>
      </c>
      <c r="D2234" s="73">
        <f t="shared" si="42"/>
        <v>2.8500000000000001E-2</v>
      </c>
    </row>
    <row r="2235" spans="2:4">
      <c r="B2235" s="121">
        <v>43294</v>
      </c>
      <c r="C2235" s="123">
        <v>2.83</v>
      </c>
      <c r="D2235" s="73">
        <f t="shared" si="42"/>
        <v>2.8300000000000002E-2</v>
      </c>
    </row>
    <row r="2236" spans="2:4">
      <c r="B2236" s="121">
        <v>43297</v>
      </c>
      <c r="C2236" s="123">
        <v>2.85</v>
      </c>
      <c r="D2236" s="73">
        <f t="shared" si="42"/>
        <v>2.8500000000000001E-2</v>
      </c>
    </row>
    <row r="2237" spans="2:4">
      <c r="B2237" s="121">
        <v>43298</v>
      </c>
      <c r="C2237" s="123">
        <v>2.86</v>
      </c>
      <c r="D2237" s="73">
        <f t="shared" si="42"/>
        <v>2.86E-2</v>
      </c>
    </row>
    <row r="2238" spans="2:4">
      <c r="B2238" s="121">
        <v>43299</v>
      </c>
      <c r="C2238" s="123">
        <v>2.88</v>
      </c>
      <c r="D2238" s="73">
        <f t="shared" si="42"/>
        <v>2.8799999999999999E-2</v>
      </c>
    </row>
    <row r="2239" spans="2:4">
      <c r="B2239" s="121">
        <v>43300</v>
      </c>
      <c r="C2239" s="123">
        <v>2.84</v>
      </c>
      <c r="D2239" s="73">
        <f t="shared" si="42"/>
        <v>2.8399999999999998E-2</v>
      </c>
    </row>
    <row r="2240" spans="2:4">
      <c r="B2240" s="121">
        <v>43301</v>
      </c>
      <c r="C2240" s="123">
        <v>2.89</v>
      </c>
      <c r="D2240" s="73">
        <f t="shared" si="42"/>
        <v>2.8900000000000002E-2</v>
      </c>
    </row>
    <row r="2241" spans="2:4">
      <c r="B2241" s="121">
        <v>43304</v>
      </c>
      <c r="C2241" s="123">
        <v>2.96</v>
      </c>
      <c r="D2241" s="73">
        <f t="shared" ref="D2241:D2260" si="43">IF( LEN( C2241 ) = 0, #N/A, IF( C2241 = "ND", D2240, C2241 / 100 ) )</f>
        <v>2.9600000000000001E-2</v>
      </c>
    </row>
    <row r="2242" spans="2:4">
      <c r="B2242" s="121">
        <v>43305</v>
      </c>
      <c r="C2242" s="123">
        <v>2.95</v>
      </c>
      <c r="D2242" s="73">
        <f t="shared" si="43"/>
        <v>2.9500000000000002E-2</v>
      </c>
    </row>
    <row r="2243" spans="2:4">
      <c r="B2243" s="121">
        <v>43306</v>
      </c>
      <c r="C2243" s="123">
        <v>2.94</v>
      </c>
      <c r="D2243" s="73">
        <f t="shared" si="43"/>
        <v>2.9399999999999999E-2</v>
      </c>
    </row>
    <row r="2244" spans="2:4">
      <c r="B2244" s="121">
        <v>43307</v>
      </c>
      <c r="C2244" s="123">
        <v>2.98</v>
      </c>
      <c r="D2244" s="73">
        <f t="shared" si="43"/>
        <v>2.98E-2</v>
      </c>
    </row>
    <row r="2245" spans="2:4">
      <c r="B2245" s="121">
        <v>43308</v>
      </c>
      <c r="C2245" s="123">
        <v>2.96</v>
      </c>
      <c r="D2245" s="73">
        <f t="shared" si="43"/>
        <v>2.9600000000000001E-2</v>
      </c>
    </row>
    <row r="2246" spans="2:4">
      <c r="B2246" s="121">
        <v>43311</v>
      </c>
      <c r="C2246" s="123">
        <v>2.98</v>
      </c>
      <c r="D2246" s="73">
        <f t="shared" si="43"/>
        <v>2.98E-2</v>
      </c>
    </row>
    <row r="2247" spans="2:4">
      <c r="B2247" s="121">
        <v>43312</v>
      </c>
      <c r="C2247" s="123">
        <v>2.96</v>
      </c>
      <c r="D2247" s="73">
        <f t="shared" si="43"/>
        <v>2.9600000000000001E-2</v>
      </c>
    </row>
    <row r="2248" spans="2:4">
      <c r="B2248" s="121">
        <v>43313</v>
      </c>
      <c r="C2248" s="123">
        <v>3</v>
      </c>
      <c r="D2248" s="73">
        <f t="shared" si="43"/>
        <v>0.03</v>
      </c>
    </row>
    <row r="2249" spans="2:4">
      <c r="B2249" s="121">
        <v>43314</v>
      </c>
      <c r="C2249" s="123">
        <v>2.98</v>
      </c>
      <c r="D2249" s="73">
        <f t="shared" si="43"/>
        <v>2.98E-2</v>
      </c>
    </row>
    <row r="2250" spans="2:4">
      <c r="B2250" s="121">
        <v>43315</v>
      </c>
      <c r="C2250" s="123">
        <v>2.95</v>
      </c>
      <c r="D2250" s="73">
        <f t="shared" si="43"/>
        <v>2.9500000000000002E-2</v>
      </c>
    </row>
    <row r="2251" spans="2:4">
      <c r="B2251" s="121">
        <v>43318</v>
      </c>
      <c r="C2251" s="123">
        <v>2.94</v>
      </c>
      <c r="D2251" s="73">
        <f t="shared" si="43"/>
        <v>2.9399999999999999E-2</v>
      </c>
    </row>
    <row r="2252" spans="2:4">
      <c r="B2252" s="121">
        <v>43319</v>
      </c>
      <c r="C2252" s="123">
        <v>2.98</v>
      </c>
      <c r="D2252" s="73">
        <f t="shared" si="43"/>
        <v>2.98E-2</v>
      </c>
    </row>
    <row r="2253" spans="2:4">
      <c r="B2253" s="121">
        <v>43320</v>
      </c>
      <c r="C2253" s="123">
        <v>2.96</v>
      </c>
      <c r="D2253" s="73">
        <f t="shared" si="43"/>
        <v>2.9600000000000001E-2</v>
      </c>
    </row>
    <row r="2254" spans="2:4">
      <c r="B2254" s="121">
        <v>43321</v>
      </c>
      <c r="C2254" s="123">
        <v>2.93</v>
      </c>
      <c r="D2254" s="73">
        <f t="shared" si="43"/>
        <v>2.9300000000000003E-2</v>
      </c>
    </row>
    <row r="2255" spans="2:4">
      <c r="B2255" s="121">
        <v>43322</v>
      </c>
      <c r="C2255" s="123">
        <v>2.87</v>
      </c>
      <c r="D2255" s="73">
        <f t="shared" si="43"/>
        <v>2.87E-2</v>
      </c>
    </row>
    <row r="2256" spans="2:4">
      <c r="B2256" s="121">
        <v>43325</v>
      </c>
      <c r="C2256" s="123">
        <v>2.88</v>
      </c>
      <c r="D2256" s="73">
        <f t="shared" si="43"/>
        <v>2.8799999999999999E-2</v>
      </c>
    </row>
    <row r="2257" spans="2:4">
      <c r="B2257" s="121">
        <v>43326</v>
      </c>
      <c r="C2257" s="123">
        <v>2.89</v>
      </c>
      <c r="D2257" s="73">
        <f t="shared" si="43"/>
        <v>2.8900000000000002E-2</v>
      </c>
    </row>
    <row r="2258" spans="2:4">
      <c r="B2258" s="121">
        <v>43327</v>
      </c>
      <c r="C2258" s="123">
        <v>2.86</v>
      </c>
      <c r="D2258" s="73">
        <f t="shared" si="43"/>
        <v>2.86E-2</v>
      </c>
    </row>
    <row r="2259" spans="2:4">
      <c r="B2259" s="121">
        <v>43328</v>
      </c>
      <c r="C2259" s="123">
        <v>2.87</v>
      </c>
      <c r="D2259" s="73">
        <f t="shared" si="43"/>
        <v>2.87E-2</v>
      </c>
    </row>
    <row r="2260" spans="2:4">
      <c r="B2260" s="121">
        <v>43329</v>
      </c>
      <c r="C2260" s="123">
        <v>2.87</v>
      </c>
      <c r="D2260" s="73">
        <f t="shared" si="43"/>
        <v>2.87E-2</v>
      </c>
    </row>
    <row r="2261" spans="2:4">
      <c r="B2261" s="121">
        <v>43332</v>
      </c>
      <c r="C2261" s="123">
        <v>2.82</v>
      </c>
      <c r="D2261" s="73">
        <f t="shared" ref="D2261:D2324" si="44">IF( LEN( C2261 ) = 0, #N/A, IF( C2261 = "ND", D2260, C2261 / 100 ) )</f>
        <v>2.8199999999999999E-2</v>
      </c>
    </row>
    <row r="2262" spans="2:4">
      <c r="B2262" s="121">
        <v>43333</v>
      </c>
      <c r="C2262" s="123">
        <v>2.85</v>
      </c>
      <c r="D2262" s="73">
        <f t="shared" si="44"/>
        <v>2.8500000000000001E-2</v>
      </c>
    </row>
    <row r="2263" spans="2:4">
      <c r="B2263" s="121">
        <v>43334</v>
      </c>
      <c r="C2263" s="123">
        <v>2.82</v>
      </c>
      <c r="D2263" s="73">
        <f t="shared" si="44"/>
        <v>2.8199999999999999E-2</v>
      </c>
    </row>
    <row r="2264" spans="2:4">
      <c r="B2264" s="121">
        <v>43335</v>
      </c>
      <c r="C2264" s="123">
        <v>2.82</v>
      </c>
      <c r="D2264" s="73">
        <f t="shared" si="44"/>
        <v>2.8199999999999999E-2</v>
      </c>
    </row>
    <row r="2265" spans="2:4">
      <c r="B2265" s="121">
        <v>43336</v>
      </c>
      <c r="C2265" s="123">
        <v>2.82</v>
      </c>
      <c r="D2265" s="73">
        <f t="shared" si="44"/>
        <v>2.8199999999999999E-2</v>
      </c>
    </row>
    <row r="2266" spans="2:4">
      <c r="B2266" s="121">
        <v>43339</v>
      </c>
      <c r="C2266" s="123">
        <v>2.85</v>
      </c>
      <c r="D2266" s="73">
        <f t="shared" si="44"/>
        <v>2.8500000000000001E-2</v>
      </c>
    </row>
    <row r="2267" spans="2:4">
      <c r="B2267" s="121">
        <v>43340</v>
      </c>
      <c r="C2267" s="123">
        <v>2.88</v>
      </c>
      <c r="D2267" s="73">
        <f t="shared" si="44"/>
        <v>2.8799999999999999E-2</v>
      </c>
    </row>
    <row r="2268" spans="2:4">
      <c r="B2268" s="121">
        <v>43341</v>
      </c>
      <c r="C2268" s="123">
        <v>2.89</v>
      </c>
      <c r="D2268" s="73">
        <f t="shared" si="44"/>
        <v>2.8900000000000002E-2</v>
      </c>
    </row>
    <row r="2269" spans="2:4">
      <c r="B2269" s="121">
        <v>43342</v>
      </c>
      <c r="C2269" s="123">
        <v>2.86</v>
      </c>
      <c r="D2269" s="73">
        <f t="shared" si="44"/>
        <v>2.86E-2</v>
      </c>
    </row>
    <row r="2270" spans="2:4">
      <c r="B2270" s="121">
        <v>43343</v>
      </c>
      <c r="C2270" s="123">
        <v>2.86</v>
      </c>
      <c r="D2270" s="73">
        <f t="shared" si="44"/>
        <v>2.86E-2</v>
      </c>
    </row>
    <row r="2271" spans="2:4">
      <c r="B2271" s="121">
        <v>43346</v>
      </c>
      <c r="C2271" s="123" t="s">
        <v>325</v>
      </c>
      <c r="D2271" s="73">
        <f t="shared" si="44"/>
        <v>2.86E-2</v>
      </c>
    </row>
    <row r="2272" spans="2:4">
      <c r="B2272" s="121">
        <v>43347</v>
      </c>
      <c r="C2272" s="123">
        <v>2.9</v>
      </c>
      <c r="D2272" s="73">
        <f t="shared" si="44"/>
        <v>2.8999999999999998E-2</v>
      </c>
    </row>
    <row r="2273" spans="2:4">
      <c r="B2273" s="121">
        <v>43348</v>
      </c>
      <c r="C2273" s="123">
        <v>2.9</v>
      </c>
      <c r="D2273" s="73">
        <f t="shared" si="44"/>
        <v>2.8999999999999998E-2</v>
      </c>
    </row>
    <row r="2274" spans="2:4">
      <c r="B2274" s="121">
        <v>43349</v>
      </c>
      <c r="C2274" s="123">
        <v>2.88</v>
      </c>
      <c r="D2274" s="73">
        <f t="shared" si="44"/>
        <v>2.8799999999999999E-2</v>
      </c>
    </row>
    <row r="2275" spans="2:4">
      <c r="B2275" s="121">
        <v>43350</v>
      </c>
      <c r="C2275" s="123">
        <v>2.94</v>
      </c>
      <c r="D2275" s="73">
        <f t="shared" si="44"/>
        <v>2.9399999999999999E-2</v>
      </c>
    </row>
    <row r="2276" spans="2:4">
      <c r="B2276" s="121">
        <v>43353</v>
      </c>
      <c r="C2276" s="123">
        <v>2.94</v>
      </c>
      <c r="D2276" s="73">
        <f t="shared" si="44"/>
        <v>2.9399999999999999E-2</v>
      </c>
    </row>
    <row r="2277" spans="2:4">
      <c r="B2277" s="121">
        <v>43354</v>
      </c>
      <c r="C2277" s="123">
        <v>2.98</v>
      </c>
      <c r="D2277" s="73">
        <f t="shared" si="44"/>
        <v>2.98E-2</v>
      </c>
    </row>
    <row r="2278" spans="2:4">
      <c r="B2278" s="121">
        <v>43355</v>
      </c>
      <c r="C2278" s="123">
        <v>2.97</v>
      </c>
      <c r="D2278" s="73">
        <f t="shared" si="44"/>
        <v>2.9700000000000001E-2</v>
      </c>
    </row>
    <row r="2279" spans="2:4">
      <c r="B2279" s="121">
        <v>43356</v>
      </c>
      <c r="C2279" s="123">
        <v>2.97</v>
      </c>
      <c r="D2279" s="73">
        <f t="shared" si="44"/>
        <v>2.9700000000000001E-2</v>
      </c>
    </row>
    <row r="2280" spans="2:4">
      <c r="B2280" s="121">
        <v>43357</v>
      </c>
      <c r="C2280" s="123">
        <v>2.99</v>
      </c>
      <c r="D2280" s="73">
        <f t="shared" si="44"/>
        <v>2.9900000000000003E-2</v>
      </c>
    </row>
    <row r="2281" spans="2:4">
      <c r="B2281" s="121">
        <v>43360</v>
      </c>
      <c r="C2281" s="123">
        <v>2.99</v>
      </c>
      <c r="D2281" s="73">
        <f t="shared" si="44"/>
        <v>2.9900000000000003E-2</v>
      </c>
    </row>
    <row r="2282" spans="2:4">
      <c r="B2282" s="121">
        <v>43361</v>
      </c>
      <c r="C2282" s="123">
        <v>3.05</v>
      </c>
      <c r="D2282" s="73">
        <f t="shared" si="44"/>
        <v>3.0499999999999999E-2</v>
      </c>
    </row>
    <row r="2283" spans="2:4">
      <c r="B2283" s="121">
        <v>43362</v>
      </c>
      <c r="C2283" s="123">
        <v>3.08</v>
      </c>
      <c r="D2283" s="73">
        <f t="shared" si="44"/>
        <v>3.0800000000000001E-2</v>
      </c>
    </row>
    <row r="2284" spans="2:4">
      <c r="B2284" s="121">
        <v>43363</v>
      </c>
      <c r="C2284" s="123">
        <v>3.07</v>
      </c>
      <c r="D2284" s="73">
        <f t="shared" si="44"/>
        <v>3.0699999999999998E-2</v>
      </c>
    </row>
    <row r="2285" spans="2:4">
      <c r="B2285" s="121">
        <v>43364</v>
      </c>
      <c r="C2285" s="123">
        <v>3.07</v>
      </c>
      <c r="D2285" s="73">
        <f>IF( LEN( C2285 ) = 0, #N/A, IF( C2285 = "ND", D2284, C2285 / 100 ) )</f>
        <v>3.0699999999999998E-2</v>
      </c>
    </row>
    <row r="2286" spans="2:4">
      <c r="B2286" s="121">
        <v>43367</v>
      </c>
      <c r="C2286" s="123">
        <v>3.08</v>
      </c>
      <c r="D2286" s="73">
        <f t="shared" si="44"/>
        <v>3.0800000000000001E-2</v>
      </c>
    </row>
    <row r="2287" spans="2:4">
      <c r="B2287" s="121">
        <v>43368</v>
      </c>
      <c r="C2287" s="123">
        <v>3.1</v>
      </c>
      <c r="D2287" s="73">
        <f t="shared" si="44"/>
        <v>3.1E-2</v>
      </c>
    </row>
    <row r="2288" spans="2:4">
      <c r="B2288" s="121">
        <v>43369</v>
      </c>
      <c r="C2288" s="123">
        <v>3.06</v>
      </c>
      <c r="D2288" s="73">
        <f t="shared" si="44"/>
        <v>3.0600000000000002E-2</v>
      </c>
    </row>
    <row r="2289" spans="2:4">
      <c r="B2289" s="121">
        <v>43370</v>
      </c>
      <c r="C2289" s="123">
        <v>3.06</v>
      </c>
      <c r="D2289" s="73">
        <f t="shared" si="44"/>
        <v>3.0600000000000002E-2</v>
      </c>
    </row>
    <row r="2290" spans="2:4">
      <c r="B2290" s="121">
        <v>43371</v>
      </c>
      <c r="C2290" s="123">
        <v>3.05</v>
      </c>
      <c r="D2290" s="73">
        <f t="shared" si="44"/>
        <v>3.0499999999999999E-2</v>
      </c>
    </row>
    <row r="2291" spans="2:4">
      <c r="B2291" s="121">
        <v>43374</v>
      </c>
      <c r="C2291" s="123">
        <v>3.09</v>
      </c>
      <c r="D2291" s="73">
        <f>IF( LEN( C2291 ) = 0, #N/A, IF( C2291 = "ND", D2290, C2291 / 100 ) )</f>
        <v>3.0899999999999997E-2</v>
      </c>
    </row>
    <row r="2292" spans="2:4">
      <c r="B2292" s="121">
        <v>43375</v>
      </c>
      <c r="C2292" s="123">
        <v>3.05</v>
      </c>
      <c r="D2292" s="73">
        <f>IF( LEN( C2292 ) = 0, #N/A, IF( C2292 = "ND", D2291, C2292 / 100 ) )</f>
        <v>3.0499999999999999E-2</v>
      </c>
    </row>
    <row r="2293" spans="2:4">
      <c r="B2293" s="121">
        <v>43376</v>
      </c>
      <c r="C2293" s="123">
        <v>3.15</v>
      </c>
      <c r="D2293" s="73">
        <f t="shared" si="44"/>
        <v>3.15E-2</v>
      </c>
    </row>
    <row r="2294" spans="2:4">
      <c r="B2294" s="121">
        <v>43377</v>
      </c>
      <c r="C2294" s="123">
        <v>3.19</v>
      </c>
      <c r="D2294" s="73">
        <f t="shared" si="44"/>
        <v>3.1899999999999998E-2</v>
      </c>
    </row>
    <row r="2295" spans="2:4">
      <c r="B2295" s="121">
        <v>43378</v>
      </c>
      <c r="C2295" s="123">
        <v>3.23</v>
      </c>
      <c r="D2295" s="73">
        <f t="shared" si="44"/>
        <v>3.2300000000000002E-2</v>
      </c>
    </row>
    <row r="2296" spans="2:4">
      <c r="B2296" s="121">
        <v>43381</v>
      </c>
      <c r="C2296" s="123" t="s">
        <v>325</v>
      </c>
      <c r="D2296" s="73">
        <f t="shared" si="44"/>
        <v>3.2300000000000002E-2</v>
      </c>
    </row>
    <row r="2297" spans="2:4">
      <c r="B2297" s="121">
        <v>43382</v>
      </c>
      <c r="C2297" s="123">
        <v>3.21</v>
      </c>
      <c r="D2297" s="73">
        <f t="shared" si="44"/>
        <v>3.2099999999999997E-2</v>
      </c>
    </row>
    <row r="2298" spans="2:4">
      <c r="B2298" s="121">
        <v>43383</v>
      </c>
      <c r="C2298" s="123">
        <v>3.22</v>
      </c>
      <c r="D2298" s="73">
        <f t="shared" si="44"/>
        <v>3.2199999999999999E-2</v>
      </c>
    </row>
    <row r="2299" spans="2:4">
      <c r="B2299" s="121">
        <v>43384</v>
      </c>
      <c r="C2299" s="123">
        <v>3.14</v>
      </c>
      <c r="D2299" s="73">
        <f t="shared" si="44"/>
        <v>3.1400000000000004E-2</v>
      </c>
    </row>
    <row r="2300" spans="2:4">
      <c r="B2300" s="121">
        <v>43385</v>
      </c>
      <c r="C2300" s="123">
        <v>3.15</v>
      </c>
      <c r="D2300" s="73">
        <f t="shared" si="44"/>
        <v>3.15E-2</v>
      </c>
    </row>
    <row r="2301" spans="2:4">
      <c r="B2301" s="121">
        <v>43388</v>
      </c>
      <c r="C2301" s="123">
        <v>3.16</v>
      </c>
      <c r="D2301" s="73">
        <f t="shared" si="44"/>
        <v>3.1600000000000003E-2</v>
      </c>
    </row>
    <row r="2302" spans="2:4">
      <c r="B2302" s="121">
        <v>43389</v>
      </c>
      <c r="C2302" s="123">
        <v>3.16</v>
      </c>
      <c r="D2302" s="73">
        <f t="shared" si="44"/>
        <v>3.1600000000000003E-2</v>
      </c>
    </row>
    <row r="2303" spans="2:4">
      <c r="B2303" s="121">
        <v>43390</v>
      </c>
      <c r="C2303" s="123">
        <v>3.19</v>
      </c>
      <c r="D2303" s="73">
        <f t="shared" si="44"/>
        <v>3.1899999999999998E-2</v>
      </c>
    </row>
    <row r="2304" spans="2:4">
      <c r="B2304" s="121">
        <v>43391</v>
      </c>
      <c r="C2304" s="123">
        <v>3.17</v>
      </c>
      <c r="D2304" s="73">
        <f t="shared" si="44"/>
        <v>3.1699999999999999E-2</v>
      </c>
    </row>
    <row r="2305" spans="2:4">
      <c r="B2305" s="121">
        <v>43392</v>
      </c>
      <c r="C2305" s="123">
        <v>3.2</v>
      </c>
      <c r="D2305" s="73">
        <f t="shared" si="44"/>
        <v>3.2000000000000001E-2</v>
      </c>
    </row>
    <row r="2306" spans="2:4">
      <c r="B2306" s="121">
        <v>43395</v>
      </c>
      <c r="C2306" s="123">
        <v>3.2</v>
      </c>
      <c r="D2306" s="73">
        <f t="shared" si="44"/>
        <v>3.2000000000000001E-2</v>
      </c>
    </row>
    <row r="2307" spans="2:4">
      <c r="B2307" s="121">
        <v>43396</v>
      </c>
      <c r="C2307" s="123">
        <v>3.17</v>
      </c>
      <c r="D2307" s="73">
        <f t="shared" si="44"/>
        <v>3.1699999999999999E-2</v>
      </c>
    </row>
    <row r="2308" spans="2:4">
      <c r="B2308" s="121">
        <v>43397</v>
      </c>
      <c r="C2308" s="123">
        <v>3.1</v>
      </c>
      <c r="D2308" s="73">
        <f t="shared" si="44"/>
        <v>3.1E-2</v>
      </c>
    </row>
    <row r="2309" spans="2:4">
      <c r="B2309" s="121">
        <v>43398</v>
      </c>
      <c r="C2309" s="123">
        <v>3.14</v>
      </c>
      <c r="D2309" s="73">
        <f t="shared" si="44"/>
        <v>3.1400000000000004E-2</v>
      </c>
    </row>
    <row r="2310" spans="2:4">
      <c r="B2310" s="121">
        <v>43399</v>
      </c>
      <c r="C2310" s="123">
        <v>3.08</v>
      </c>
      <c r="D2310" s="73">
        <f t="shared" si="44"/>
        <v>3.0800000000000001E-2</v>
      </c>
    </row>
    <row r="2311" spans="2:4">
      <c r="B2311" s="121">
        <v>43402</v>
      </c>
      <c r="C2311" s="123">
        <v>3.08</v>
      </c>
      <c r="D2311" s="73">
        <f t="shared" si="44"/>
        <v>3.0800000000000001E-2</v>
      </c>
    </row>
    <row r="2312" spans="2:4">
      <c r="B2312" s="121">
        <v>43403</v>
      </c>
      <c r="C2312" s="123">
        <v>3.12</v>
      </c>
      <c r="D2312" s="73">
        <f t="shared" si="44"/>
        <v>3.1200000000000002E-2</v>
      </c>
    </row>
    <row r="2313" spans="2:4">
      <c r="B2313" s="121">
        <v>43404</v>
      </c>
      <c r="C2313" s="123">
        <v>3.15</v>
      </c>
      <c r="D2313" s="73">
        <f t="shared" si="44"/>
        <v>3.15E-2</v>
      </c>
    </row>
    <row r="2314" spans="2:4">
      <c r="B2314" s="121">
        <v>43405</v>
      </c>
      <c r="C2314" s="123">
        <v>3.14</v>
      </c>
      <c r="D2314" s="73">
        <f t="shared" si="44"/>
        <v>3.1400000000000004E-2</v>
      </c>
    </row>
    <row r="2315" spans="2:4">
      <c r="B2315" s="121">
        <v>43406</v>
      </c>
      <c r="C2315" s="123">
        <v>3.22</v>
      </c>
      <c r="D2315" s="73">
        <f t="shared" si="44"/>
        <v>3.2199999999999999E-2</v>
      </c>
    </row>
    <row r="2316" spans="2:4">
      <c r="B2316" s="121">
        <v>43409</v>
      </c>
      <c r="C2316" s="123">
        <v>3.2</v>
      </c>
      <c r="D2316" s="73">
        <f t="shared" si="44"/>
        <v>3.2000000000000001E-2</v>
      </c>
    </row>
    <row r="2317" spans="2:4">
      <c r="B2317" s="121">
        <v>43410</v>
      </c>
      <c r="C2317" s="123">
        <v>3.22</v>
      </c>
      <c r="D2317" s="73">
        <f t="shared" si="44"/>
        <v>3.2199999999999999E-2</v>
      </c>
    </row>
    <row r="2318" spans="2:4">
      <c r="B2318" s="121">
        <v>43411</v>
      </c>
      <c r="C2318" s="123">
        <v>3.22</v>
      </c>
      <c r="D2318" s="73">
        <f t="shared" si="44"/>
        <v>3.2199999999999999E-2</v>
      </c>
    </row>
    <row r="2319" spans="2:4">
      <c r="B2319" s="121">
        <v>43412</v>
      </c>
      <c r="C2319" s="123">
        <v>3.24</v>
      </c>
      <c r="D2319" s="73">
        <f t="shared" si="44"/>
        <v>3.2400000000000005E-2</v>
      </c>
    </row>
    <row r="2320" spans="2:4">
      <c r="B2320" s="121">
        <v>43413</v>
      </c>
      <c r="C2320" s="123">
        <v>3.19</v>
      </c>
      <c r="D2320" s="73">
        <f t="shared" si="44"/>
        <v>3.1899999999999998E-2</v>
      </c>
    </row>
    <row r="2321" spans="2:4">
      <c r="B2321" s="121">
        <v>43416</v>
      </c>
      <c r="C2321" s="123" t="s">
        <v>325</v>
      </c>
      <c r="D2321" s="73">
        <f t="shared" si="44"/>
        <v>3.1899999999999998E-2</v>
      </c>
    </row>
    <row r="2322" spans="2:4">
      <c r="B2322" s="121">
        <v>43417</v>
      </c>
      <c r="C2322" s="123">
        <v>3.14</v>
      </c>
      <c r="D2322" s="73">
        <f t="shared" si="44"/>
        <v>3.1400000000000004E-2</v>
      </c>
    </row>
    <row r="2323" spans="2:4">
      <c r="B2323" s="121">
        <v>43418</v>
      </c>
      <c r="C2323" s="123">
        <v>3.12</v>
      </c>
      <c r="D2323" s="73">
        <f t="shared" si="44"/>
        <v>3.1200000000000002E-2</v>
      </c>
    </row>
    <row r="2324" spans="2:4">
      <c r="B2324" s="121">
        <v>43419</v>
      </c>
      <c r="C2324" s="123">
        <v>3.11</v>
      </c>
      <c r="D2324" s="73">
        <f t="shared" si="44"/>
        <v>3.1099999999999999E-2</v>
      </c>
    </row>
    <row r="2325" spans="2:4">
      <c r="B2325" s="121">
        <v>43420</v>
      </c>
      <c r="C2325" s="123">
        <v>3.08</v>
      </c>
      <c r="D2325" s="73">
        <f t="shared" ref="D2325:D2359" si="45">IF( LEN( C2325 ) = 0, #N/A, IF( C2325 = "ND", D2324, C2325 / 100 ) )</f>
        <v>3.0800000000000001E-2</v>
      </c>
    </row>
    <row r="2326" spans="2:4">
      <c r="B2326" s="121">
        <v>43423</v>
      </c>
      <c r="C2326" s="123">
        <v>3.06</v>
      </c>
      <c r="D2326" s="73">
        <f t="shared" si="45"/>
        <v>3.0600000000000002E-2</v>
      </c>
    </row>
    <row r="2327" spans="2:4">
      <c r="B2327" s="121">
        <v>43424</v>
      </c>
      <c r="C2327" s="123">
        <v>3.06</v>
      </c>
      <c r="D2327" s="73">
        <f t="shared" si="45"/>
        <v>3.0600000000000002E-2</v>
      </c>
    </row>
    <row r="2328" spans="2:4">
      <c r="B2328" s="121">
        <v>43425</v>
      </c>
      <c r="C2328" s="123">
        <v>3.06</v>
      </c>
      <c r="D2328" s="73">
        <f t="shared" si="45"/>
        <v>3.0600000000000002E-2</v>
      </c>
    </row>
    <row r="2329" spans="2:4">
      <c r="B2329" s="121">
        <v>43426</v>
      </c>
      <c r="C2329" s="123" t="s">
        <v>325</v>
      </c>
      <c r="D2329" s="73">
        <f t="shared" si="45"/>
        <v>3.0600000000000002E-2</v>
      </c>
    </row>
    <row r="2330" spans="2:4">
      <c r="B2330" s="121">
        <v>43427</v>
      </c>
      <c r="C2330" s="123">
        <v>3.05</v>
      </c>
      <c r="D2330" s="73">
        <f t="shared" si="45"/>
        <v>3.0499999999999999E-2</v>
      </c>
    </row>
    <row r="2331" spans="2:4">
      <c r="B2331" s="121">
        <v>43430</v>
      </c>
      <c r="C2331" s="123">
        <v>3.07</v>
      </c>
      <c r="D2331" s="73">
        <f t="shared" si="45"/>
        <v>3.0699999999999998E-2</v>
      </c>
    </row>
    <row r="2332" spans="2:4">
      <c r="B2332" s="121">
        <v>43431</v>
      </c>
      <c r="C2332" s="123">
        <v>3.06</v>
      </c>
      <c r="D2332" s="73">
        <f t="shared" si="45"/>
        <v>3.0600000000000002E-2</v>
      </c>
    </row>
    <row r="2333" spans="2:4">
      <c r="B2333" s="121">
        <v>43432</v>
      </c>
      <c r="C2333" s="123">
        <v>3.06</v>
      </c>
      <c r="D2333" s="73">
        <f t="shared" si="45"/>
        <v>3.0600000000000002E-2</v>
      </c>
    </row>
    <row r="2334" spans="2:4">
      <c r="B2334" s="121">
        <v>43433</v>
      </c>
      <c r="C2334" s="123">
        <v>3.03</v>
      </c>
      <c r="D2334" s="73">
        <f t="shared" si="45"/>
        <v>3.0299999999999997E-2</v>
      </c>
    </row>
    <row r="2335" spans="2:4">
      <c r="B2335" s="121">
        <v>43434</v>
      </c>
      <c r="C2335" s="123">
        <v>3.01</v>
      </c>
      <c r="D2335" s="73">
        <f t="shared" si="45"/>
        <v>3.0099999999999998E-2</v>
      </c>
    </row>
    <row r="2336" spans="2:4">
      <c r="B2336" s="121">
        <v>43437</v>
      </c>
      <c r="C2336" s="123">
        <v>2.98</v>
      </c>
      <c r="D2336" s="73">
        <f t="shared" si="45"/>
        <v>2.98E-2</v>
      </c>
    </row>
    <row r="2337" spans="2:4">
      <c r="B2337" s="121">
        <v>43438</v>
      </c>
      <c r="C2337" s="123">
        <v>2.91</v>
      </c>
      <c r="D2337" s="73">
        <f t="shared" si="45"/>
        <v>2.9100000000000001E-2</v>
      </c>
    </row>
    <row r="2338" spans="2:4">
      <c r="B2338" s="121">
        <v>43439</v>
      </c>
      <c r="C2338" s="123" t="s">
        <v>325</v>
      </c>
      <c r="D2338" s="73">
        <f t="shared" si="45"/>
        <v>2.9100000000000001E-2</v>
      </c>
    </row>
    <row r="2339" spans="2:4">
      <c r="B2339" s="121">
        <v>43440</v>
      </c>
      <c r="C2339" s="123">
        <v>2.87</v>
      </c>
      <c r="D2339" s="73">
        <f t="shared" si="45"/>
        <v>2.87E-2</v>
      </c>
    </row>
    <row r="2340" spans="2:4">
      <c r="B2340" s="121">
        <v>43441</v>
      </c>
      <c r="C2340" s="123">
        <v>2.85</v>
      </c>
      <c r="D2340" s="73">
        <f t="shared" si="45"/>
        <v>2.8500000000000001E-2</v>
      </c>
    </row>
    <row r="2341" spans="2:4">
      <c r="B2341" s="121">
        <v>43444</v>
      </c>
      <c r="C2341" s="123">
        <v>2.85</v>
      </c>
      <c r="D2341" s="73">
        <f t="shared" si="45"/>
        <v>2.8500000000000001E-2</v>
      </c>
    </row>
    <row r="2342" spans="2:4">
      <c r="B2342" s="121">
        <v>43445</v>
      </c>
      <c r="C2342" s="123">
        <v>2.89</v>
      </c>
      <c r="D2342" s="73">
        <f t="shared" si="45"/>
        <v>2.8900000000000002E-2</v>
      </c>
    </row>
    <row r="2343" spans="2:4">
      <c r="B2343" s="121">
        <v>43446</v>
      </c>
      <c r="C2343" s="123">
        <v>2.91</v>
      </c>
      <c r="D2343" s="73">
        <f t="shared" si="45"/>
        <v>2.9100000000000001E-2</v>
      </c>
    </row>
    <row r="2344" spans="2:4">
      <c r="B2344" s="121">
        <v>43447</v>
      </c>
      <c r="C2344" s="123">
        <v>2.91</v>
      </c>
      <c r="D2344" s="73">
        <f t="shared" si="45"/>
        <v>2.9100000000000001E-2</v>
      </c>
    </row>
    <row r="2345" spans="2:4">
      <c r="B2345" s="121">
        <v>43448</v>
      </c>
      <c r="C2345" s="123">
        <v>2.89</v>
      </c>
      <c r="D2345" s="73">
        <f t="shared" si="45"/>
        <v>2.8900000000000002E-2</v>
      </c>
    </row>
    <row r="2346" spans="2:4">
      <c r="B2346" s="121">
        <v>43451</v>
      </c>
      <c r="C2346" s="123">
        <v>2.86</v>
      </c>
      <c r="D2346" s="73">
        <f t="shared" si="45"/>
        <v>2.86E-2</v>
      </c>
    </row>
    <row r="2347" spans="2:4">
      <c r="B2347" s="121">
        <v>43452</v>
      </c>
      <c r="C2347" s="123">
        <v>2.82</v>
      </c>
      <c r="D2347" s="73">
        <f t="shared" si="45"/>
        <v>2.8199999999999999E-2</v>
      </c>
    </row>
    <row r="2348" spans="2:4">
      <c r="B2348" s="121">
        <v>43453</v>
      </c>
      <c r="C2348" s="123">
        <v>2.77</v>
      </c>
      <c r="D2348" s="73">
        <f t="shared" si="45"/>
        <v>2.7699999999999999E-2</v>
      </c>
    </row>
    <row r="2349" spans="2:4">
      <c r="B2349" s="121">
        <v>43454</v>
      </c>
      <c r="C2349" s="123">
        <v>2.79</v>
      </c>
      <c r="D2349" s="73">
        <f t="shared" si="45"/>
        <v>2.7900000000000001E-2</v>
      </c>
    </row>
    <row r="2350" spans="2:4">
      <c r="B2350" s="121">
        <v>43455</v>
      </c>
      <c r="C2350" s="123">
        <v>2.79</v>
      </c>
      <c r="D2350" s="73">
        <f t="shared" si="45"/>
        <v>2.7900000000000001E-2</v>
      </c>
    </row>
    <row r="2351" spans="2:4">
      <c r="B2351" s="121">
        <v>43458</v>
      </c>
      <c r="C2351" s="123">
        <v>2.74</v>
      </c>
      <c r="D2351" s="73">
        <f t="shared" si="45"/>
        <v>2.7400000000000001E-2</v>
      </c>
    </row>
    <row r="2352" spans="2:4">
      <c r="B2352" s="121">
        <v>43459</v>
      </c>
      <c r="C2352" s="123" t="s">
        <v>325</v>
      </c>
      <c r="D2352" s="73">
        <f t="shared" si="45"/>
        <v>2.7400000000000001E-2</v>
      </c>
    </row>
    <row r="2353" spans="2:4">
      <c r="B2353" s="121">
        <v>43460</v>
      </c>
      <c r="C2353" s="123">
        <v>2.81</v>
      </c>
      <c r="D2353" s="73">
        <f t="shared" si="45"/>
        <v>2.81E-2</v>
      </c>
    </row>
    <row r="2354" spans="2:4">
      <c r="B2354" s="121">
        <v>43461</v>
      </c>
      <c r="C2354" s="123">
        <v>2.77</v>
      </c>
      <c r="D2354" s="73">
        <f t="shared" si="45"/>
        <v>2.7699999999999999E-2</v>
      </c>
    </row>
    <row r="2355" spans="2:4">
      <c r="B2355" s="121">
        <v>43462</v>
      </c>
      <c r="C2355" s="123">
        <v>2.72</v>
      </c>
      <c r="D2355" s="73">
        <f t="shared" si="45"/>
        <v>2.7200000000000002E-2</v>
      </c>
    </row>
    <row r="2356" spans="2:4">
      <c r="B2356" s="121">
        <v>43465</v>
      </c>
      <c r="C2356" s="123">
        <v>2.69</v>
      </c>
      <c r="D2356" s="73">
        <f t="shared" si="45"/>
        <v>2.69E-2</v>
      </c>
    </row>
    <row r="2357" spans="2:4">
      <c r="B2357" s="121">
        <v>43466</v>
      </c>
      <c r="C2357" s="123" t="s">
        <v>325</v>
      </c>
      <c r="D2357" s="73">
        <f t="shared" si="45"/>
        <v>2.69E-2</v>
      </c>
    </row>
    <row r="2358" spans="2:4">
      <c r="B2358" s="121">
        <v>43467</v>
      </c>
      <c r="C2358" s="123">
        <v>2.66</v>
      </c>
      <c r="D2358" s="73">
        <f t="shared" si="45"/>
        <v>2.6600000000000002E-2</v>
      </c>
    </row>
    <row r="2359" spans="2:4">
      <c r="B2359" s="121">
        <v>43468</v>
      </c>
      <c r="C2359" s="123">
        <v>2.56</v>
      </c>
      <c r="D2359" s="73">
        <f t="shared" si="45"/>
        <v>2.5600000000000001E-2</v>
      </c>
    </row>
    <row r="2360" spans="2:4">
      <c r="B2360" s="121">
        <v>43469</v>
      </c>
      <c r="C2360" s="123">
        <v>2.67</v>
      </c>
      <c r="D2360" s="73">
        <f>IF( LEN( C2360 ) = 0, #N/A, IF( C2360 = "ND", D2359, C2360 / 100 ) )</f>
        <v>2.6699999999999998E-2</v>
      </c>
    </row>
    <row r="2361" spans="2:4">
      <c r="B2361" s="121">
        <v>43472</v>
      </c>
      <c r="C2361" s="123">
        <v>2.7</v>
      </c>
      <c r="D2361" s="73">
        <f t="shared" ref="D2361:D2395" si="46">IF( LEN( C2361 ) = 0, #N/A, IF( C2361 = "ND", D2360, C2361 / 100 ) )</f>
        <v>2.7000000000000003E-2</v>
      </c>
    </row>
    <row r="2362" spans="2:4">
      <c r="B2362" s="121">
        <v>43473</v>
      </c>
      <c r="C2362" s="123">
        <v>2.73</v>
      </c>
      <c r="D2362" s="73">
        <f t="shared" si="46"/>
        <v>2.7300000000000001E-2</v>
      </c>
    </row>
    <row r="2363" spans="2:4">
      <c r="B2363" s="121">
        <v>43474</v>
      </c>
      <c r="C2363" s="123">
        <v>2.74</v>
      </c>
      <c r="D2363" s="73">
        <f t="shared" si="46"/>
        <v>2.7400000000000001E-2</v>
      </c>
    </row>
    <row r="2364" spans="2:4">
      <c r="B2364" s="121">
        <v>43475</v>
      </c>
      <c r="C2364" s="123">
        <v>2.74</v>
      </c>
      <c r="D2364" s="73">
        <f t="shared" si="46"/>
        <v>2.7400000000000001E-2</v>
      </c>
    </row>
    <row r="2365" spans="2:4">
      <c r="B2365" s="121">
        <v>43476</v>
      </c>
      <c r="C2365" s="123">
        <v>2.71</v>
      </c>
      <c r="D2365" s="73">
        <f t="shared" si="46"/>
        <v>2.7099999999999999E-2</v>
      </c>
    </row>
    <row r="2366" spans="2:4">
      <c r="B2366" s="121">
        <v>43479</v>
      </c>
      <c r="C2366" s="123">
        <v>2.71</v>
      </c>
      <c r="D2366" s="73">
        <f t="shared" si="46"/>
        <v>2.7099999999999999E-2</v>
      </c>
    </row>
    <row r="2367" spans="2:4">
      <c r="B2367" s="121">
        <v>43480</v>
      </c>
      <c r="C2367" s="123">
        <v>2.72</v>
      </c>
      <c r="D2367" s="73">
        <f t="shared" si="46"/>
        <v>2.7200000000000002E-2</v>
      </c>
    </row>
    <row r="2368" spans="2:4">
      <c r="B2368" s="121">
        <v>43481</v>
      </c>
      <c r="C2368" s="123">
        <v>2.73</v>
      </c>
      <c r="D2368" s="73">
        <f t="shared" si="46"/>
        <v>2.7300000000000001E-2</v>
      </c>
    </row>
    <row r="2369" spans="2:4">
      <c r="B2369" s="121">
        <v>43482</v>
      </c>
      <c r="C2369" s="123">
        <v>2.75</v>
      </c>
      <c r="D2369" s="73">
        <f t="shared" si="46"/>
        <v>2.75E-2</v>
      </c>
    </row>
    <row r="2370" spans="2:4">
      <c r="B2370" s="121">
        <v>43483</v>
      </c>
      <c r="C2370" s="123">
        <v>2.79</v>
      </c>
      <c r="D2370" s="73">
        <f t="shared" si="46"/>
        <v>2.7900000000000001E-2</v>
      </c>
    </row>
    <row r="2371" spans="2:4">
      <c r="B2371" s="121">
        <v>43486</v>
      </c>
      <c r="C2371" s="123" t="s">
        <v>325</v>
      </c>
      <c r="D2371" s="73">
        <f t="shared" si="46"/>
        <v>2.7900000000000001E-2</v>
      </c>
    </row>
    <row r="2372" spans="2:4">
      <c r="B2372" s="121">
        <v>43487</v>
      </c>
      <c r="C2372" s="123">
        <v>2.74</v>
      </c>
      <c r="D2372" s="73">
        <f t="shared" si="46"/>
        <v>2.7400000000000001E-2</v>
      </c>
    </row>
    <row r="2373" spans="2:4">
      <c r="B2373" s="121">
        <v>43488</v>
      </c>
      <c r="C2373" s="123">
        <v>2.76</v>
      </c>
      <c r="D2373" s="73">
        <f t="shared" si="46"/>
        <v>2.76E-2</v>
      </c>
    </row>
    <row r="2374" spans="2:4">
      <c r="B2374" s="121">
        <v>43489</v>
      </c>
      <c r="C2374" s="123">
        <v>2.72</v>
      </c>
      <c r="D2374" s="73">
        <f t="shared" si="46"/>
        <v>2.7200000000000002E-2</v>
      </c>
    </row>
    <row r="2375" spans="2:4">
      <c r="B2375" s="121">
        <v>43490</v>
      </c>
      <c r="C2375" s="123">
        <v>2.76</v>
      </c>
      <c r="D2375" s="73">
        <f t="shared" si="46"/>
        <v>2.76E-2</v>
      </c>
    </row>
    <row r="2376" spans="2:4">
      <c r="B2376" s="121">
        <v>43493</v>
      </c>
      <c r="C2376" s="123">
        <v>2.75</v>
      </c>
      <c r="D2376" s="73">
        <f t="shared" si="46"/>
        <v>2.75E-2</v>
      </c>
    </row>
    <row r="2377" spans="2:4">
      <c r="B2377" s="121">
        <v>43494</v>
      </c>
      <c r="C2377" s="123">
        <v>2.72</v>
      </c>
      <c r="D2377" s="73">
        <f t="shared" si="46"/>
        <v>2.7200000000000002E-2</v>
      </c>
    </row>
    <row r="2378" spans="2:4">
      <c r="B2378" s="121">
        <v>43495</v>
      </c>
      <c r="C2378" s="123">
        <v>2.7</v>
      </c>
      <c r="D2378" s="73">
        <f t="shared" si="46"/>
        <v>2.7000000000000003E-2</v>
      </c>
    </row>
    <row r="2379" spans="2:4">
      <c r="B2379" s="121">
        <v>43496</v>
      </c>
      <c r="C2379" s="123">
        <v>2.63</v>
      </c>
      <c r="D2379" s="73">
        <f t="shared" si="46"/>
        <v>2.63E-2</v>
      </c>
    </row>
    <row r="2380" spans="2:4">
      <c r="B2380" s="121">
        <v>43497</v>
      </c>
      <c r="C2380" s="123">
        <v>2.7</v>
      </c>
      <c r="D2380" s="73">
        <f t="shared" si="46"/>
        <v>2.7000000000000003E-2</v>
      </c>
    </row>
    <row r="2381" spans="2:4">
      <c r="B2381" s="121">
        <v>43500</v>
      </c>
      <c r="C2381" s="123">
        <v>2.73</v>
      </c>
      <c r="D2381" s="73">
        <f t="shared" si="46"/>
        <v>2.7300000000000001E-2</v>
      </c>
    </row>
    <row r="2382" spans="2:4">
      <c r="B2382" s="121">
        <v>43501</v>
      </c>
      <c r="C2382" s="123">
        <v>2.71</v>
      </c>
      <c r="D2382" s="73">
        <f t="shared" si="46"/>
        <v>2.7099999999999999E-2</v>
      </c>
    </row>
    <row r="2383" spans="2:4">
      <c r="B2383" s="121">
        <v>43502</v>
      </c>
      <c r="C2383" s="123">
        <v>2.7</v>
      </c>
      <c r="D2383" s="73">
        <f t="shared" si="46"/>
        <v>2.7000000000000003E-2</v>
      </c>
    </row>
    <row r="2384" spans="2:4">
      <c r="B2384" s="121">
        <v>43503</v>
      </c>
      <c r="C2384" s="123">
        <v>2.65</v>
      </c>
      <c r="D2384" s="73">
        <f t="shared" si="46"/>
        <v>2.6499999999999999E-2</v>
      </c>
    </row>
    <row r="2385" spans="2:4">
      <c r="B2385" s="121">
        <v>43504</v>
      </c>
      <c r="C2385" s="123">
        <v>2.63</v>
      </c>
      <c r="D2385" s="73">
        <f t="shared" si="46"/>
        <v>2.63E-2</v>
      </c>
    </row>
    <row r="2386" spans="2:4">
      <c r="B2386" s="121">
        <v>43507</v>
      </c>
      <c r="C2386" s="123">
        <v>2.65</v>
      </c>
      <c r="D2386" s="73">
        <f t="shared" si="46"/>
        <v>2.6499999999999999E-2</v>
      </c>
    </row>
    <row r="2387" spans="2:4">
      <c r="B2387" s="121">
        <v>43508</v>
      </c>
      <c r="C2387" s="123">
        <v>2.68</v>
      </c>
      <c r="D2387" s="73">
        <f t="shared" si="46"/>
        <v>2.6800000000000001E-2</v>
      </c>
    </row>
    <row r="2388" spans="2:4">
      <c r="B2388" s="121">
        <v>43509</v>
      </c>
      <c r="C2388" s="123">
        <v>2.71</v>
      </c>
      <c r="D2388" s="73">
        <f t="shared" si="46"/>
        <v>2.7099999999999999E-2</v>
      </c>
    </row>
    <row r="2389" spans="2:4">
      <c r="B2389" s="121">
        <v>43510</v>
      </c>
      <c r="C2389" s="123">
        <v>2.66</v>
      </c>
      <c r="D2389" s="73">
        <f t="shared" si="46"/>
        <v>2.6600000000000002E-2</v>
      </c>
    </row>
    <row r="2390" spans="2:4">
      <c r="B2390" s="121">
        <v>43511</v>
      </c>
      <c r="C2390" s="123">
        <v>2.66</v>
      </c>
      <c r="D2390" s="73">
        <f t="shared" si="46"/>
        <v>2.6600000000000002E-2</v>
      </c>
    </row>
    <row r="2391" spans="2:4">
      <c r="B2391" s="121">
        <v>43514</v>
      </c>
      <c r="C2391" s="123" t="s">
        <v>325</v>
      </c>
      <c r="D2391" s="73">
        <f t="shared" si="46"/>
        <v>2.6600000000000002E-2</v>
      </c>
    </row>
    <row r="2392" spans="2:4">
      <c r="B2392" s="121">
        <v>43515</v>
      </c>
      <c r="C2392" s="123">
        <v>2.65</v>
      </c>
      <c r="D2392" s="73">
        <f t="shared" si="46"/>
        <v>2.6499999999999999E-2</v>
      </c>
    </row>
    <row r="2393" spans="2:4">
      <c r="B2393" s="121">
        <v>43516</v>
      </c>
      <c r="C2393" s="123">
        <v>2.65</v>
      </c>
      <c r="D2393" s="73">
        <f t="shared" si="46"/>
        <v>2.6499999999999999E-2</v>
      </c>
    </row>
    <row r="2394" spans="2:4">
      <c r="B2394" s="121">
        <v>43517</v>
      </c>
      <c r="C2394" s="123">
        <v>2.69</v>
      </c>
      <c r="D2394" s="73">
        <f t="shared" si="46"/>
        <v>2.69E-2</v>
      </c>
    </row>
    <row r="2395" spans="2:4">
      <c r="B2395" s="121">
        <v>43518</v>
      </c>
      <c r="C2395" s="123">
        <v>2.65</v>
      </c>
      <c r="D2395" s="73">
        <f t="shared" si="46"/>
        <v>2.6499999999999999E-2</v>
      </c>
    </row>
    <row r="2396" spans="2:4">
      <c r="B2396" s="121">
        <v>43521</v>
      </c>
      <c r="C2396" s="123">
        <v>2.67</v>
      </c>
      <c r="D2396" s="73">
        <f t="shared" ref="D2396:D2459" si="47">IF( LEN( C2396 ) = 0, #N/A, IF( C2396 = "ND", D2395, C2396 / 100 ) )</f>
        <v>2.6699999999999998E-2</v>
      </c>
    </row>
    <row r="2397" spans="2:4">
      <c r="B2397" s="121">
        <v>43522</v>
      </c>
      <c r="C2397" s="123">
        <v>2.64</v>
      </c>
      <c r="D2397" s="73">
        <f t="shared" si="47"/>
        <v>2.64E-2</v>
      </c>
    </row>
    <row r="2398" spans="2:4">
      <c r="B2398" s="121">
        <v>43523</v>
      </c>
      <c r="C2398" s="123">
        <v>2.69</v>
      </c>
      <c r="D2398" s="73">
        <f t="shared" si="47"/>
        <v>2.69E-2</v>
      </c>
    </row>
    <row r="2399" spans="2:4">
      <c r="B2399" s="121">
        <v>43524</v>
      </c>
      <c r="C2399" s="123">
        <v>2.73</v>
      </c>
      <c r="D2399" s="73">
        <f t="shared" si="47"/>
        <v>2.7300000000000001E-2</v>
      </c>
    </row>
    <row r="2400" spans="2:4">
      <c r="B2400" s="121">
        <v>43525</v>
      </c>
      <c r="C2400" s="123">
        <v>2.76</v>
      </c>
      <c r="D2400" s="73">
        <f t="shared" si="47"/>
        <v>2.76E-2</v>
      </c>
    </row>
    <row r="2401" spans="2:4">
      <c r="B2401" s="121">
        <v>43528</v>
      </c>
      <c r="C2401" s="123">
        <v>2.72</v>
      </c>
      <c r="D2401" s="73">
        <f t="shared" si="47"/>
        <v>2.7200000000000002E-2</v>
      </c>
    </row>
    <row r="2402" spans="2:4">
      <c r="B2402" s="121">
        <v>43529</v>
      </c>
      <c r="C2402" s="123">
        <v>2.72</v>
      </c>
      <c r="D2402" s="73">
        <f t="shared" si="47"/>
        <v>2.7200000000000002E-2</v>
      </c>
    </row>
    <row r="2403" spans="2:4">
      <c r="B2403" s="121">
        <v>43530</v>
      </c>
      <c r="C2403" s="123">
        <v>2.69</v>
      </c>
      <c r="D2403" s="73">
        <f t="shared" si="47"/>
        <v>2.69E-2</v>
      </c>
    </row>
    <row r="2404" spans="2:4">
      <c r="B2404" s="121">
        <v>43531</v>
      </c>
      <c r="C2404" s="123">
        <v>2.64</v>
      </c>
      <c r="D2404" s="73">
        <f t="shared" si="47"/>
        <v>2.64E-2</v>
      </c>
    </row>
    <row r="2405" spans="2:4">
      <c r="B2405" s="121">
        <v>43532</v>
      </c>
      <c r="C2405" s="123">
        <v>2.62</v>
      </c>
      <c r="D2405" s="73">
        <f t="shared" si="47"/>
        <v>2.6200000000000001E-2</v>
      </c>
    </row>
    <row r="2406" spans="2:4">
      <c r="B2406" s="121">
        <v>43535</v>
      </c>
      <c r="C2406" s="123">
        <v>2.64</v>
      </c>
      <c r="D2406" s="73">
        <f t="shared" si="47"/>
        <v>2.64E-2</v>
      </c>
    </row>
    <row r="2407" spans="2:4">
      <c r="B2407" s="121">
        <v>43536</v>
      </c>
      <c r="C2407" s="123">
        <v>2.61</v>
      </c>
      <c r="D2407" s="73">
        <f t="shared" si="47"/>
        <v>2.6099999999999998E-2</v>
      </c>
    </row>
    <row r="2408" spans="2:4">
      <c r="B2408" s="121">
        <v>43537</v>
      </c>
      <c r="C2408" s="123">
        <v>2.61</v>
      </c>
      <c r="D2408" s="73">
        <f t="shared" si="47"/>
        <v>2.6099999999999998E-2</v>
      </c>
    </row>
    <row r="2409" spans="2:4">
      <c r="B2409" s="121">
        <v>43538</v>
      </c>
      <c r="C2409" s="123">
        <v>2.63</v>
      </c>
      <c r="D2409" s="73">
        <f t="shared" si="47"/>
        <v>2.63E-2</v>
      </c>
    </row>
    <row r="2410" spans="2:4">
      <c r="B2410" s="121">
        <v>43539</v>
      </c>
      <c r="C2410" s="123">
        <v>2.59</v>
      </c>
      <c r="D2410" s="73">
        <f t="shared" si="47"/>
        <v>2.5899999999999999E-2</v>
      </c>
    </row>
    <row r="2411" spans="2:4">
      <c r="B2411" s="121">
        <v>43542</v>
      </c>
      <c r="C2411" s="123">
        <v>2.6</v>
      </c>
      <c r="D2411" s="73">
        <f t="shared" si="47"/>
        <v>2.6000000000000002E-2</v>
      </c>
    </row>
    <row r="2412" spans="2:4">
      <c r="B2412" s="121">
        <v>43543</v>
      </c>
      <c r="C2412" s="123">
        <v>2.61</v>
      </c>
      <c r="D2412" s="73">
        <f t="shared" si="47"/>
        <v>2.6099999999999998E-2</v>
      </c>
    </row>
    <row r="2413" spans="2:4">
      <c r="B2413" s="121">
        <v>43544</v>
      </c>
      <c r="C2413" s="123">
        <v>2.54</v>
      </c>
      <c r="D2413" s="73">
        <f t="shared" si="47"/>
        <v>2.5399999999999999E-2</v>
      </c>
    </row>
    <row r="2414" spans="2:4">
      <c r="B2414" s="121">
        <v>43545</v>
      </c>
      <c r="C2414" s="123">
        <v>2.54</v>
      </c>
      <c r="D2414" s="73">
        <f t="shared" si="47"/>
        <v>2.5399999999999999E-2</v>
      </c>
    </row>
    <row r="2415" spans="2:4">
      <c r="B2415" s="121">
        <v>43546</v>
      </c>
      <c r="C2415" s="123">
        <v>2.44</v>
      </c>
      <c r="D2415" s="73">
        <f t="shared" si="47"/>
        <v>2.4399999999999998E-2</v>
      </c>
    </row>
    <row r="2416" spans="2:4">
      <c r="B2416" s="121">
        <v>43549</v>
      </c>
      <c r="C2416" s="123">
        <v>2.4300000000000002</v>
      </c>
      <c r="D2416" s="73">
        <f t="shared" si="47"/>
        <v>2.4300000000000002E-2</v>
      </c>
    </row>
    <row r="2417" spans="2:4">
      <c r="B2417" s="121">
        <v>43550</v>
      </c>
      <c r="C2417" s="123">
        <v>2.41</v>
      </c>
      <c r="D2417" s="73">
        <f t="shared" si="47"/>
        <v>2.41E-2</v>
      </c>
    </row>
    <row r="2418" spans="2:4">
      <c r="B2418" s="121">
        <v>43551</v>
      </c>
      <c r="C2418" s="123">
        <v>2.39</v>
      </c>
      <c r="D2418" s="73">
        <f t="shared" si="47"/>
        <v>2.3900000000000001E-2</v>
      </c>
    </row>
    <row r="2419" spans="2:4">
      <c r="B2419" s="121">
        <v>43552</v>
      </c>
      <c r="C2419" s="123">
        <v>2.39</v>
      </c>
      <c r="D2419" s="73">
        <f t="shared" si="47"/>
        <v>2.3900000000000001E-2</v>
      </c>
    </row>
    <row r="2420" spans="2:4">
      <c r="B2420" s="121">
        <v>43553</v>
      </c>
      <c r="C2420" s="123">
        <v>2.41</v>
      </c>
      <c r="D2420" s="73">
        <f t="shared" si="47"/>
        <v>2.41E-2</v>
      </c>
    </row>
    <row r="2421" spans="2:4">
      <c r="B2421" s="121">
        <v>43556</v>
      </c>
      <c r="C2421" s="123">
        <v>2.4900000000000002</v>
      </c>
      <c r="D2421" s="73">
        <f t="shared" si="47"/>
        <v>2.4900000000000002E-2</v>
      </c>
    </row>
    <row r="2422" spans="2:4">
      <c r="B2422" s="121">
        <v>43557</v>
      </c>
      <c r="C2422" s="123">
        <v>2.48</v>
      </c>
      <c r="D2422" s="73">
        <f t="shared" si="47"/>
        <v>2.4799999999999999E-2</v>
      </c>
    </row>
    <row r="2423" spans="2:4">
      <c r="B2423" s="121">
        <v>43558</v>
      </c>
      <c r="C2423" s="123">
        <v>2.52</v>
      </c>
      <c r="D2423" s="73">
        <f t="shared" si="47"/>
        <v>2.52E-2</v>
      </c>
    </row>
    <row r="2424" spans="2:4">
      <c r="B2424" s="121">
        <v>43559</v>
      </c>
      <c r="C2424" s="123">
        <v>2.5099999999999998</v>
      </c>
      <c r="D2424" s="73">
        <f t="shared" si="47"/>
        <v>2.5099999999999997E-2</v>
      </c>
    </row>
    <row r="2425" spans="2:4">
      <c r="B2425" s="121">
        <v>43560</v>
      </c>
      <c r="C2425" s="123">
        <v>2.5</v>
      </c>
      <c r="D2425" s="73">
        <f t="shared" si="47"/>
        <v>2.5000000000000001E-2</v>
      </c>
    </row>
    <row r="2426" spans="2:4">
      <c r="B2426" s="121">
        <v>43563</v>
      </c>
      <c r="C2426" s="123">
        <v>2.52</v>
      </c>
      <c r="D2426" s="73">
        <f t="shared" si="47"/>
        <v>2.52E-2</v>
      </c>
    </row>
    <row r="2427" spans="2:4">
      <c r="B2427" s="121">
        <v>43564</v>
      </c>
      <c r="C2427" s="123">
        <v>2.5099999999999998</v>
      </c>
      <c r="D2427" s="73">
        <f t="shared" si="47"/>
        <v>2.5099999999999997E-2</v>
      </c>
    </row>
    <row r="2428" spans="2:4">
      <c r="B2428" s="121">
        <v>43565</v>
      </c>
      <c r="C2428" s="123">
        <v>2.48</v>
      </c>
      <c r="D2428" s="73">
        <f t="shared" si="47"/>
        <v>2.4799999999999999E-2</v>
      </c>
    </row>
    <row r="2429" spans="2:4">
      <c r="B2429" s="121">
        <v>43566</v>
      </c>
      <c r="C2429" s="123">
        <v>2.5099999999999998</v>
      </c>
      <c r="D2429" s="73">
        <f t="shared" si="47"/>
        <v>2.5099999999999997E-2</v>
      </c>
    </row>
    <row r="2430" spans="2:4">
      <c r="B2430" s="121">
        <v>43567</v>
      </c>
      <c r="C2430" s="123">
        <v>2.56</v>
      </c>
      <c r="D2430" s="73">
        <f t="shared" si="47"/>
        <v>2.5600000000000001E-2</v>
      </c>
    </row>
    <row r="2431" spans="2:4">
      <c r="B2431" s="121">
        <v>43570</v>
      </c>
      <c r="C2431" s="123">
        <v>2.5499999999999998</v>
      </c>
      <c r="D2431" s="73">
        <f t="shared" si="47"/>
        <v>2.5499999999999998E-2</v>
      </c>
    </row>
    <row r="2432" spans="2:4">
      <c r="B2432" s="121">
        <v>43571</v>
      </c>
      <c r="C2432" s="123">
        <v>2.6</v>
      </c>
      <c r="D2432" s="73">
        <f t="shared" si="47"/>
        <v>2.6000000000000002E-2</v>
      </c>
    </row>
    <row r="2433" spans="2:4">
      <c r="B2433" s="121">
        <v>43572</v>
      </c>
      <c r="C2433" s="123">
        <v>2.59</v>
      </c>
      <c r="D2433" s="73">
        <f t="shared" si="47"/>
        <v>2.5899999999999999E-2</v>
      </c>
    </row>
    <row r="2434" spans="2:4">
      <c r="B2434" s="121">
        <v>43573</v>
      </c>
      <c r="C2434" s="123">
        <v>2.57</v>
      </c>
      <c r="D2434" s="73">
        <f t="shared" si="47"/>
        <v>2.5699999999999997E-2</v>
      </c>
    </row>
    <row r="2435" spans="2:4">
      <c r="B2435" s="121">
        <v>43574</v>
      </c>
      <c r="C2435" s="123" t="s">
        <v>325</v>
      </c>
      <c r="D2435" s="73">
        <f t="shared" si="47"/>
        <v>2.5699999999999997E-2</v>
      </c>
    </row>
    <row r="2436" spans="2:4">
      <c r="B2436" s="121">
        <v>43577</v>
      </c>
      <c r="C2436" s="123">
        <v>2.59</v>
      </c>
      <c r="D2436" s="73">
        <f t="shared" si="47"/>
        <v>2.5899999999999999E-2</v>
      </c>
    </row>
    <row r="2437" spans="2:4">
      <c r="B2437" s="121">
        <v>43578</v>
      </c>
      <c r="C2437" s="123">
        <v>2.57</v>
      </c>
      <c r="D2437" s="73">
        <f t="shared" si="47"/>
        <v>2.5699999999999997E-2</v>
      </c>
    </row>
    <row r="2438" spans="2:4">
      <c r="B2438" s="121">
        <v>43579</v>
      </c>
      <c r="C2438" s="123">
        <v>2.5299999999999998</v>
      </c>
      <c r="D2438" s="73">
        <f t="shared" si="47"/>
        <v>2.53E-2</v>
      </c>
    </row>
    <row r="2439" spans="2:4">
      <c r="B2439" s="121">
        <v>43580</v>
      </c>
      <c r="C2439" s="123">
        <v>2.54</v>
      </c>
      <c r="D2439" s="73">
        <f t="shared" si="47"/>
        <v>2.5399999999999999E-2</v>
      </c>
    </row>
    <row r="2440" spans="2:4">
      <c r="B2440" s="121">
        <v>43581</v>
      </c>
      <c r="C2440" s="123">
        <v>2.5099999999999998</v>
      </c>
      <c r="D2440" s="73">
        <f t="shared" si="47"/>
        <v>2.5099999999999997E-2</v>
      </c>
    </row>
    <row r="2441" spans="2:4">
      <c r="B2441" s="121">
        <v>43584</v>
      </c>
      <c r="C2441" s="123">
        <v>2.54</v>
      </c>
      <c r="D2441" s="73">
        <f t="shared" si="47"/>
        <v>2.5399999999999999E-2</v>
      </c>
    </row>
    <row r="2442" spans="2:4">
      <c r="B2442" s="121">
        <v>43585</v>
      </c>
      <c r="C2442" s="123">
        <v>2.5099999999999998</v>
      </c>
      <c r="D2442" s="73">
        <f t="shared" si="47"/>
        <v>2.5099999999999997E-2</v>
      </c>
    </row>
    <row r="2443" spans="2:4">
      <c r="B2443" s="121">
        <v>43586</v>
      </c>
      <c r="C2443" s="123">
        <v>2.52</v>
      </c>
      <c r="D2443" s="73">
        <f t="shared" si="47"/>
        <v>2.52E-2</v>
      </c>
    </row>
    <row r="2444" spans="2:4">
      <c r="B2444" s="121">
        <v>43587</v>
      </c>
      <c r="C2444" s="123">
        <v>2.5499999999999998</v>
      </c>
      <c r="D2444" s="73">
        <f t="shared" si="47"/>
        <v>2.5499999999999998E-2</v>
      </c>
    </row>
    <row r="2445" spans="2:4">
      <c r="B2445" s="121">
        <v>43588</v>
      </c>
      <c r="C2445" s="123">
        <v>2.54</v>
      </c>
      <c r="D2445" s="73">
        <f t="shared" si="47"/>
        <v>2.5399999999999999E-2</v>
      </c>
    </row>
    <row r="2446" spans="2:4">
      <c r="B2446" s="121">
        <v>43591</v>
      </c>
      <c r="C2446" s="123">
        <v>2.5099999999999998</v>
      </c>
      <c r="D2446" s="73">
        <f t="shared" si="47"/>
        <v>2.5099999999999997E-2</v>
      </c>
    </row>
    <row r="2447" spans="2:4">
      <c r="B2447" s="121">
        <v>43592</v>
      </c>
      <c r="C2447" s="123">
        <v>2.4500000000000002</v>
      </c>
      <c r="D2447" s="73">
        <f t="shared" si="47"/>
        <v>2.4500000000000001E-2</v>
      </c>
    </row>
    <row r="2448" spans="2:4">
      <c r="B2448" s="121">
        <v>43593</v>
      </c>
      <c r="C2448" s="123">
        <v>2.4900000000000002</v>
      </c>
      <c r="D2448" s="73">
        <f t="shared" si="47"/>
        <v>2.4900000000000002E-2</v>
      </c>
    </row>
    <row r="2449" spans="2:4">
      <c r="B2449" s="121">
        <v>43594</v>
      </c>
      <c r="C2449" s="123">
        <v>2.4500000000000002</v>
      </c>
      <c r="D2449" s="73">
        <f t="shared" si="47"/>
        <v>2.4500000000000001E-2</v>
      </c>
    </row>
    <row r="2450" spans="2:4">
      <c r="B2450" s="121">
        <v>43595</v>
      </c>
      <c r="C2450" s="123">
        <v>2.4700000000000002</v>
      </c>
      <c r="D2450" s="73">
        <f t="shared" si="47"/>
        <v>2.4700000000000003E-2</v>
      </c>
    </row>
    <row r="2451" spans="2:4">
      <c r="B2451" s="121">
        <v>43598</v>
      </c>
      <c r="C2451" s="123">
        <v>2.4</v>
      </c>
      <c r="D2451" s="73">
        <f t="shared" si="47"/>
        <v>2.4E-2</v>
      </c>
    </row>
    <row r="2452" spans="2:4">
      <c r="B2452" s="121">
        <v>43599</v>
      </c>
      <c r="C2452" s="123">
        <v>2.42</v>
      </c>
      <c r="D2452" s="73">
        <f t="shared" si="47"/>
        <v>2.4199999999999999E-2</v>
      </c>
    </row>
    <row r="2453" spans="2:4">
      <c r="B2453" s="121">
        <v>43600</v>
      </c>
      <c r="C2453" s="123">
        <v>2.37</v>
      </c>
      <c r="D2453" s="73">
        <f t="shared" si="47"/>
        <v>2.3700000000000002E-2</v>
      </c>
    </row>
    <row r="2454" spans="2:4">
      <c r="B2454" s="121">
        <v>43601</v>
      </c>
      <c r="C2454" s="123">
        <v>2.4</v>
      </c>
      <c r="D2454" s="73">
        <f t="shared" si="47"/>
        <v>2.4E-2</v>
      </c>
    </row>
    <row r="2455" spans="2:4">
      <c r="B2455" s="121">
        <v>43602</v>
      </c>
      <c r="C2455" s="123">
        <v>2.39</v>
      </c>
      <c r="D2455" s="73">
        <f t="shared" si="47"/>
        <v>2.3900000000000001E-2</v>
      </c>
    </row>
    <row r="2456" spans="2:4">
      <c r="B2456" s="121">
        <v>43605</v>
      </c>
      <c r="C2456" s="123">
        <v>2.41</v>
      </c>
      <c r="D2456" s="73">
        <f t="shared" si="47"/>
        <v>2.41E-2</v>
      </c>
    </row>
    <row r="2457" spans="2:4">
      <c r="B2457" s="121">
        <v>43606</v>
      </c>
      <c r="C2457" s="123">
        <v>2.4300000000000002</v>
      </c>
      <c r="D2457" s="73">
        <f t="shared" si="47"/>
        <v>2.4300000000000002E-2</v>
      </c>
    </row>
    <row r="2458" spans="2:4">
      <c r="B2458" s="121">
        <v>43607</v>
      </c>
      <c r="C2458" s="123">
        <v>2.39</v>
      </c>
      <c r="D2458" s="73">
        <f t="shared" si="47"/>
        <v>2.3900000000000001E-2</v>
      </c>
    </row>
    <row r="2459" spans="2:4">
      <c r="B2459" s="121">
        <v>43608</v>
      </c>
      <c r="C2459" s="123">
        <v>2.31</v>
      </c>
      <c r="D2459" s="73">
        <f t="shared" si="47"/>
        <v>2.3099999999999999E-2</v>
      </c>
    </row>
    <row r="2460" spans="2:4">
      <c r="B2460" s="121">
        <v>43609</v>
      </c>
      <c r="C2460" s="123">
        <v>2.3199999999999998</v>
      </c>
      <c r="D2460" s="73">
        <f t="shared" ref="D2460:D2523" si="48">IF( LEN( C2460 ) = 0, #N/A, IF( C2460 = "ND", D2459, C2460 / 100 ) )</f>
        <v>2.3199999999999998E-2</v>
      </c>
    </row>
    <row r="2461" spans="2:4">
      <c r="B2461" s="121">
        <v>43612</v>
      </c>
      <c r="C2461" s="123" t="s">
        <v>325</v>
      </c>
      <c r="D2461" s="73">
        <f t="shared" si="48"/>
        <v>2.3199999999999998E-2</v>
      </c>
    </row>
    <row r="2462" spans="2:4">
      <c r="B2462" s="121">
        <v>43613</v>
      </c>
      <c r="C2462" s="123">
        <v>2.2599999999999998</v>
      </c>
      <c r="D2462" s="73">
        <f t="shared" si="48"/>
        <v>2.2599999999999999E-2</v>
      </c>
    </row>
    <row r="2463" spans="2:4">
      <c r="B2463" s="121">
        <v>43614</v>
      </c>
      <c r="C2463" s="123">
        <v>2.25</v>
      </c>
      <c r="D2463" s="73">
        <f t="shared" si="48"/>
        <v>2.2499999999999999E-2</v>
      </c>
    </row>
    <row r="2464" spans="2:4">
      <c r="B2464" s="121">
        <v>43615</v>
      </c>
      <c r="C2464" s="123">
        <v>2.2200000000000002</v>
      </c>
      <c r="D2464" s="73">
        <f t="shared" si="48"/>
        <v>2.2200000000000001E-2</v>
      </c>
    </row>
    <row r="2465" spans="2:4">
      <c r="B2465" s="121">
        <v>43616</v>
      </c>
      <c r="C2465" s="123">
        <v>2.14</v>
      </c>
      <c r="D2465" s="73">
        <f t="shared" si="48"/>
        <v>2.1400000000000002E-2</v>
      </c>
    </row>
    <row r="2466" spans="2:4">
      <c r="B2466" s="121">
        <v>43619</v>
      </c>
      <c r="C2466" s="123">
        <v>2.0699999999999998</v>
      </c>
      <c r="D2466" s="73">
        <f t="shared" si="48"/>
        <v>2.07E-2</v>
      </c>
    </row>
    <row r="2467" spans="2:4">
      <c r="B2467" s="121">
        <v>43620</v>
      </c>
      <c r="C2467" s="123">
        <v>2.12</v>
      </c>
      <c r="D2467" s="73">
        <f t="shared" si="48"/>
        <v>2.12E-2</v>
      </c>
    </row>
    <row r="2468" spans="2:4">
      <c r="B2468" s="121">
        <v>43621</v>
      </c>
      <c r="C2468" s="123">
        <v>2.12</v>
      </c>
      <c r="D2468" s="73">
        <f t="shared" si="48"/>
        <v>2.12E-2</v>
      </c>
    </row>
    <row r="2469" spans="2:4">
      <c r="B2469" s="121">
        <v>43622</v>
      </c>
      <c r="C2469" s="123">
        <v>2.12</v>
      </c>
      <c r="D2469" s="73">
        <f t="shared" si="48"/>
        <v>2.12E-2</v>
      </c>
    </row>
    <row r="2470" spans="2:4">
      <c r="B2470" s="121">
        <v>43623</v>
      </c>
      <c r="C2470" s="123">
        <v>2.09</v>
      </c>
      <c r="D2470" s="73">
        <f t="shared" si="48"/>
        <v>2.0899999999999998E-2</v>
      </c>
    </row>
    <row r="2471" spans="2:4">
      <c r="B2471" s="121">
        <v>43626</v>
      </c>
      <c r="C2471" s="123">
        <v>2.15</v>
      </c>
      <c r="D2471" s="73">
        <f t="shared" si="48"/>
        <v>2.1499999999999998E-2</v>
      </c>
    </row>
    <row r="2472" spans="2:4">
      <c r="B2472" s="121">
        <v>43627</v>
      </c>
      <c r="C2472" s="123">
        <v>2.15</v>
      </c>
      <c r="D2472" s="73">
        <f t="shared" si="48"/>
        <v>2.1499999999999998E-2</v>
      </c>
    </row>
    <row r="2473" spans="2:4">
      <c r="B2473" s="121">
        <v>43628</v>
      </c>
      <c r="C2473" s="123">
        <v>2.13</v>
      </c>
      <c r="D2473" s="73">
        <f t="shared" si="48"/>
        <v>2.1299999999999999E-2</v>
      </c>
    </row>
    <row r="2474" spans="2:4">
      <c r="B2474" s="121">
        <v>43629</v>
      </c>
      <c r="C2474" s="123">
        <v>2.1</v>
      </c>
      <c r="D2474" s="73">
        <f t="shared" si="48"/>
        <v>2.1000000000000001E-2</v>
      </c>
    </row>
    <row r="2475" spans="2:4">
      <c r="B2475" s="121">
        <v>43630</v>
      </c>
      <c r="C2475" s="123">
        <v>2.09</v>
      </c>
      <c r="D2475" s="73">
        <f t="shared" si="48"/>
        <v>2.0899999999999998E-2</v>
      </c>
    </row>
    <row r="2476" spans="2:4">
      <c r="B2476" s="121">
        <v>43633</v>
      </c>
      <c r="C2476" s="123">
        <v>2.09</v>
      </c>
      <c r="D2476" s="73">
        <f t="shared" si="48"/>
        <v>2.0899999999999998E-2</v>
      </c>
    </row>
    <row r="2477" spans="2:4">
      <c r="B2477" s="121">
        <v>43634</v>
      </c>
      <c r="C2477" s="123">
        <v>2.06</v>
      </c>
      <c r="D2477" s="73">
        <f t="shared" si="48"/>
        <v>2.06E-2</v>
      </c>
    </row>
    <row r="2478" spans="2:4">
      <c r="B2478" s="121">
        <v>43635</v>
      </c>
      <c r="C2478" s="123">
        <v>2.0299999999999998</v>
      </c>
      <c r="D2478" s="73">
        <f t="shared" si="48"/>
        <v>2.0299999999999999E-2</v>
      </c>
    </row>
    <row r="2479" spans="2:4">
      <c r="B2479" s="121">
        <v>43636</v>
      </c>
      <c r="C2479" s="123">
        <v>2.0099999999999998</v>
      </c>
      <c r="D2479" s="73">
        <f t="shared" si="48"/>
        <v>2.0099999999999996E-2</v>
      </c>
    </row>
    <row r="2480" spans="2:4">
      <c r="B2480" s="121">
        <v>43637</v>
      </c>
      <c r="C2480" s="123">
        <v>2.0699999999999998</v>
      </c>
      <c r="D2480" s="73">
        <f t="shared" si="48"/>
        <v>2.07E-2</v>
      </c>
    </row>
    <row r="2481" spans="2:4">
      <c r="B2481" s="121">
        <v>43640</v>
      </c>
      <c r="C2481" s="123">
        <v>2.02</v>
      </c>
      <c r="D2481" s="73">
        <f t="shared" si="48"/>
        <v>2.0199999999999999E-2</v>
      </c>
    </row>
    <row r="2482" spans="2:4">
      <c r="B2482" s="121">
        <v>43641</v>
      </c>
      <c r="C2482" s="123">
        <v>2</v>
      </c>
      <c r="D2482" s="73">
        <f t="shared" si="48"/>
        <v>0.02</v>
      </c>
    </row>
    <row r="2483" spans="2:4">
      <c r="B2483" s="121">
        <v>43642</v>
      </c>
      <c r="C2483" s="123">
        <v>2.0499999999999998</v>
      </c>
      <c r="D2483" s="73">
        <f t="shared" si="48"/>
        <v>2.0499999999999997E-2</v>
      </c>
    </row>
    <row r="2484" spans="2:4">
      <c r="B2484" s="121">
        <v>43643</v>
      </c>
      <c r="C2484" s="123">
        <v>2.0099999999999998</v>
      </c>
      <c r="D2484" s="73">
        <f t="shared" si="48"/>
        <v>2.0099999999999996E-2</v>
      </c>
    </row>
    <row r="2485" spans="2:4">
      <c r="B2485" s="121">
        <v>43644</v>
      </c>
      <c r="C2485" s="123">
        <v>2</v>
      </c>
      <c r="D2485" s="73">
        <f t="shared" si="48"/>
        <v>0.02</v>
      </c>
    </row>
    <row r="2486" spans="2:4">
      <c r="B2486" s="121">
        <v>43647</v>
      </c>
      <c r="C2486" s="123">
        <v>2.0299999999999998</v>
      </c>
      <c r="D2486" s="73">
        <f>IF( LEN( C2486 ) = 0, #N/A, IF( C2486 = "ND", D2485, C2486 / 100 ) )</f>
        <v>2.0299999999999999E-2</v>
      </c>
    </row>
    <row r="2487" spans="2:4">
      <c r="B2487" s="121">
        <v>43648</v>
      </c>
      <c r="C2487" s="123">
        <v>1.98</v>
      </c>
      <c r="D2487" s="73">
        <f>IF( LEN( C2487 ) = 0, #N/A, IF( C2487 = "ND", D2486, C2487 / 100 ) )</f>
        <v>1.9799999999999998E-2</v>
      </c>
    </row>
    <row r="2488" spans="2:4">
      <c r="B2488" s="121">
        <v>43649</v>
      </c>
      <c r="C2488" s="123">
        <v>1.96</v>
      </c>
      <c r="D2488" s="73">
        <f t="shared" si="48"/>
        <v>1.9599999999999999E-2</v>
      </c>
    </row>
    <row r="2489" spans="2:4">
      <c r="B2489" s="121">
        <v>43650</v>
      </c>
      <c r="C2489" s="123" t="s">
        <v>325</v>
      </c>
      <c r="D2489" s="73">
        <f t="shared" si="48"/>
        <v>1.9599999999999999E-2</v>
      </c>
    </row>
    <row r="2490" spans="2:4">
      <c r="B2490" s="121">
        <v>43651</v>
      </c>
      <c r="C2490" s="123">
        <v>2.04</v>
      </c>
      <c r="D2490" s="73">
        <f t="shared" si="48"/>
        <v>2.0400000000000001E-2</v>
      </c>
    </row>
    <row r="2491" spans="2:4">
      <c r="B2491" s="121">
        <v>43654</v>
      </c>
      <c r="C2491" s="123">
        <v>2.0499999999999998</v>
      </c>
      <c r="D2491" s="73">
        <f t="shared" si="48"/>
        <v>2.0499999999999997E-2</v>
      </c>
    </row>
    <row r="2492" spans="2:4">
      <c r="B2492" s="121">
        <v>43655</v>
      </c>
      <c r="C2492" s="123">
        <v>2.0699999999999998</v>
      </c>
      <c r="D2492" s="73">
        <f t="shared" si="48"/>
        <v>2.07E-2</v>
      </c>
    </row>
    <row r="2493" spans="2:4">
      <c r="B2493" s="121">
        <v>43656</v>
      </c>
      <c r="C2493" s="123">
        <v>2.0699999999999998</v>
      </c>
      <c r="D2493" s="73">
        <f t="shared" si="48"/>
        <v>2.07E-2</v>
      </c>
    </row>
    <row r="2494" spans="2:4">
      <c r="B2494" s="121">
        <v>43657</v>
      </c>
      <c r="C2494" s="123">
        <v>2.13</v>
      </c>
      <c r="D2494" s="73">
        <f t="shared" si="48"/>
        <v>2.1299999999999999E-2</v>
      </c>
    </row>
    <row r="2495" spans="2:4">
      <c r="B2495" s="121">
        <v>43658</v>
      </c>
      <c r="C2495" s="123">
        <v>2.12</v>
      </c>
      <c r="D2495" s="73">
        <f t="shared" si="48"/>
        <v>2.12E-2</v>
      </c>
    </row>
    <row r="2496" spans="2:4">
      <c r="B2496" s="121">
        <v>43661</v>
      </c>
      <c r="C2496" s="123">
        <v>2.09</v>
      </c>
      <c r="D2496" s="73">
        <f t="shared" si="48"/>
        <v>2.0899999999999998E-2</v>
      </c>
    </row>
    <row r="2497" spans="2:4">
      <c r="B2497" s="121">
        <v>43662</v>
      </c>
      <c r="C2497" s="123">
        <v>2.13</v>
      </c>
      <c r="D2497" s="73">
        <f t="shared" si="48"/>
        <v>2.1299999999999999E-2</v>
      </c>
    </row>
    <row r="2498" spans="2:4">
      <c r="B2498" s="121">
        <v>43663</v>
      </c>
      <c r="C2498" s="123">
        <v>2.06</v>
      </c>
      <c r="D2498" s="73">
        <f t="shared" si="48"/>
        <v>2.06E-2</v>
      </c>
    </row>
    <row r="2499" spans="2:4">
      <c r="B2499" s="121">
        <v>43664</v>
      </c>
      <c r="C2499" s="123">
        <v>2.04</v>
      </c>
      <c r="D2499" s="73">
        <f t="shared" si="48"/>
        <v>2.0400000000000001E-2</v>
      </c>
    </row>
    <row r="2500" spans="2:4">
      <c r="B2500" s="121">
        <v>43665</v>
      </c>
      <c r="C2500" s="123">
        <v>2.0499999999999998</v>
      </c>
      <c r="D2500" s="73">
        <f t="shared" si="48"/>
        <v>2.0499999999999997E-2</v>
      </c>
    </row>
    <row r="2501" spans="2:4">
      <c r="B2501" s="121">
        <v>43668</v>
      </c>
      <c r="C2501" s="123">
        <v>2.0499999999999998</v>
      </c>
      <c r="D2501" s="73">
        <f>IF( LEN( C2501 ) = 0, #N/A, IF( C2501 = "ND", D2500, C2501 / 100 ) )</f>
        <v>2.0499999999999997E-2</v>
      </c>
    </row>
    <row r="2502" spans="2:4">
      <c r="B2502" s="121">
        <v>43669</v>
      </c>
      <c r="C2502" s="123">
        <v>2.08</v>
      </c>
      <c r="D2502" s="73">
        <f t="shared" si="48"/>
        <v>2.0799999999999999E-2</v>
      </c>
    </row>
    <row r="2503" spans="2:4">
      <c r="B2503" s="121">
        <v>43670</v>
      </c>
      <c r="C2503" s="123">
        <v>2.0499999999999998</v>
      </c>
      <c r="D2503" s="73">
        <f t="shared" si="48"/>
        <v>2.0499999999999997E-2</v>
      </c>
    </row>
    <row r="2504" spans="2:4">
      <c r="B2504" s="121">
        <v>43671</v>
      </c>
      <c r="C2504" s="123">
        <v>2.08</v>
      </c>
      <c r="D2504" s="73">
        <f t="shared" si="48"/>
        <v>2.0799999999999999E-2</v>
      </c>
    </row>
    <row r="2505" spans="2:4">
      <c r="B2505" s="121">
        <v>43672</v>
      </c>
      <c r="C2505" s="123">
        <v>2.08</v>
      </c>
      <c r="D2505" s="73">
        <f t="shared" si="48"/>
        <v>2.0799999999999999E-2</v>
      </c>
    </row>
    <row r="2506" spans="2:4">
      <c r="B2506" s="121">
        <v>43675</v>
      </c>
      <c r="C2506" s="123">
        <v>2.06</v>
      </c>
      <c r="D2506" s="73">
        <f t="shared" si="48"/>
        <v>2.06E-2</v>
      </c>
    </row>
    <row r="2507" spans="2:4">
      <c r="B2507" s="121">
        <v>43676</v>
      </c>
      <c r="C2507" s="123">
        <v>2.06</v>
      </c>
      <c r="D2507" s="73">
        <f t="shared" si="48"/>
        <v>2.06E-2</v>
      </c>
    </row>
    <row r="2508" spans="2:4">
      <c r="B2508" s="121">
        <v>43677</v>
      </c>
      <c r="C2508" s="123">
        <v>2.02</v>
      </c>
      <c r="D2508" s="73">
        <f t="shared" si="48"/>
        <v>2.0199999999999999E-2</v>
      </c>
    </row>
    <row r="2509" spans="2:4">
      <c r="B2509" s="121">
        <v>43678</v>
      </c>
      <c r="C2509" s="123">
        <v>1.9</v>
      </c>
      <c r="D2509" s="73">
        <f t="shared" si="48"/>
        <v>1.9E-2</v>
      </c>
    </row>
    <row r="2510" spans="2:4">
      <c r="B2510" s="121">
        <v>43679</v>
      </c>
      <c r="C2510" s="123">
        <v>1.86</v>
      </c>
      <c r="D2510" s="73">
        <f t="shared" si="48"/>
        <v>1.8600000000000002E-2</v>
      </c>
    </row>
    <row r="2511" spans="2:4">
      <c r="B2511" s="121">
        <v>43682</v>
      </c>
      <c r="C2511" s="123">
        <v>1.75</v>
      </c>
      <c r="D2511" s="73">
        <f t="shared" si="48"/>
        <v>1.7500000000000002E-2</v>
      </c>
    </row>
    <row r="2512" spans="2:4">
      <c r="B2512" s="121">
        <v>43683</v>
      </c>
      <c r="C2512" s="123">
        <v>1.73</v>
      </c>
      <c r="D2512" s="73">
        <f t="shared" si="48"/>
        <v>1.7299999999999999E-2</v>
      </c>
    </row>
    <row r="2513" spans="2:4">
      <c r="B2513" s="121">
        <v>43684</v>
      </c>
      <c r="C2513" s="123">
        <v>1.71</v>
      </c>
      <c r="D2513" s="73">
        <f t="shared" si="48"/>
        <v>1.7100000000000001E-2</v>
      </c>
    </row>
    <row r="2514" spans="2:4">
      <c r="B2514" s="121">
        <v>43685</v>
      </c>
      <c r="C2514" s="123">
        <v>1.72</v>
      </c>
      <c r="D2514" s="73">
        <f t="shared" si="48"/>
        <v>1.72E-2</v>
      </c>
    </row>
    <row r="2515" spans="2:4">
      <c r="B2515" s="121">
        <v>43686</v>
      </c>
      <c r="C2515" s="123">
        <v>1.74</v>
      </c>
      <c r="D2515" s="73">
        <f t="shared" si="48"/>
        <v>1.7399999999999999E-2</v>
      </c>
    </row>
    <row r="2516" spans="2:4">
      <c r="B2516" s="121">
        <v>43689</v>
      </c>
      <c r="C2516" s="123">
        <v>1.65</v>
      </c>
      <c r="D2516" s="73">
        <f t="shared" si="48"/>
        <v>1.6500000000000001E-2</v>
      </c>
    </row>
    <row r="2517" spans="2:4">
      <c r="B2517" s="121">
        <v>43690</v>
      </c>
      <c r="C2517" s="123">
        <v>1.68</v>
      </c>
      <c r="D2517" s="73">
        <f t="shared" si="48"/>
        <v>1.6799999999999999E-2</v>
      </c>
    </row>
    <row r="2518" spans="2:4">
      <c r="B2518" s="121">
        <v>43691</v>
      </c>
      <c r="C2518" s="123">
        <v>1.59</v>
      </c>
      <c r="D2518" s="73">
        <f t="shared" si="48"/>
        <v>1.5900000000000001E-2</v>
      </c>
    </row>
    <row r="2519" spans="2:4">
      <c r="B2519" s="121">
        <v>43692</v>
      </c>
      <c r="C2519" s="123">
        <v>1.52</v>
      </c>
      <c r="D2519" s="73">
        <f t="shared" si="48"/>
        <v>1.52E-2</v>
      </c>
    </row>
    <row r="2520" spans="2:4">
      <c r="B2520" s="121">
        <v>43693</v>
      </c>
      <c r="C2520" s="123">
        <v>1.55</v>
      </c>
      <c r="D2520" s="73">
        <f t="shared" si="48"/>
        <v>1.55E-2</v>
      </c>
    </row>
    <row r="2521" spans="2:4">
      <c r="B2521" s="121">
        <v>43696</v>
      </c>
      <c r="C2521" s="123">
        <v>1.6</v>
      </c>
      <c r="D2521" s="73">
        <f t="shared" si="48"/>
        <v>1.6E-2</v>
      </c>
    </row>
    <row r="2522" spans="2:4">
      <c r="B2522" s="121">
        <v>43697</v>
      </c>
      <c r="C2522" s="123">
        <v>1.55</v>
      </c>
      <c r="D2522" s="73">
        <f t="shared" si="48"/>
        <v>1.55E-2</v>
      </c>
    </row>
    <row r="2523" spans="2:4">
      <c r="B2523" s="121">
        <v>43698</v>
      </c>
      <c r="C2523" s="123">
        <v>1.59</v>
      </c>
      <c r="D2523" s="73">
        <f t="shared" si="48"/>
        <v>1.5900000000000001E-2</v>
      </c>
    </row>
    <row r="2524" spans="2:4">
      <c r="B2524" s="121">
        <v>43699</v>
      </c>
      <c r="C2524" s="123">
        <v>1.62</v>
      </c>
      <c r="D2524" s="73">
        <f t="shared" ref="D2524:D2573" si="49">IF( LEN( C2524 ) = 0, #N/A, IF( C2524 = "ND", D2523, C2524 / 100 ) )</f>
        <v>1.6200000000000003E-2</v>
      </c>
    </row>
    <row r="2525" spans="2:4">
      <c r="B2525" s="121">
        <v>43700</v>
      </c>
      <c r="C2525" s="123">
        <v>1.52</v>
      </c>
      <c r="D2525" s="73">
        <f t="shared" si="49"/>
        <v>1.52E-2</v>
      </c>
    </row>
    <row r="2526" spans="2:4">
      <c r="B2526" s="121">
        <v>43703</v>
      </c>
      <c r="C2526" s="123">
        <v>1.54</v>
      </c>
      <c r="D2526" s="73">
        <f t="shared" si="49"/>
        <v>1.54E-2</v>
      </c>
    </row>
    <row r="2527" spans="2:4">
      <c r="B2527" s="121">
        <v>43704</v>
      </c>
      <c r="C2527" s="123">
        <v>1.49</v>
      </c>
      <c r="D2527" s="73">
        <f t="shared" si="49"/>
        <v>1.49E-2</v>
      </c>
    </row>
    <row r="2528" spans="2:4">
      <c r="B2528" s="121">
        <v>43705</v>
      </c>
      <c r="C2528" s="123">
        <v>1.47</v>
      </c>
      <c r="D2528" s="73">
        <f t="shared" si="49"/>
        <v>1.47E-2</v>
      </c>
    </row>
    <row r="2529" spans="2:4">
      <c r="B2529" s="121">
        <v>43706</v>
      </c>
      <c r="C2529" s="123">
        <v>1.5</v>
      </c>
      <c r="D2529" s="73">
        <f t="shared" si="49"/>
        <v>1.4999999999999999E-2</v>
      </c>
    </row>
    <row r="2530" spans="2:4">
      <c r="B2530" s="121">
        <v>43707</v>
      </c>
      <c r="C2530" s="123">
        <v>1.5</v>
      </c>
      <c r="D2530" s="73">
        <f t="shared" si="49"/>
        <v>1.4999999999999999E-2</v>
      </c>
    </row>
    <row r="2531" spans="2:4">
      <c r="B2531" s="121">
        <v>43710</v>
      </c>
      <c r="C2531" s="123" t="s">
        <v>325</v>
      </c>
      <c r="D2531" s="73">
        <f t="shared" si="49"/>
        <v>1.4999999999999999E-2</v>
      </c>
    </row>
    <row r="2532" spans="2:4">
      <c r="B2532" s="121">
        <v>43711</v>
      </c>
      <c r="C2532" s="123">
        <v>1.47</v>
      </c>
      <c r="D2532" s="73">
        <f t="shared" si="49"/>
        <v>1.47E-2</v>
      </c>
    </row>
    <row r="2533" spans="2:4">
      <c r="B2533" s="121">
        <v>43712</v>
      </c>
      <c r="C2533" s="123">
        <v>1.47</v>
      </c>
      <c r="D2533" s="73">
        <f t="shared" si="49"/>
        <v>1.47E-2</v>
      </c>
    </row>
    <row r="2534" spans="2:4">
      <c r="B2534" s="121">
        <v>43713</v>
      </c>
      <c r="C2534" s="123">
        <v>1.57</v>
      </c>
      <c r="D2534" s="73">
        <f t="shared" si="49"/>
        <v>1.5700000000000002E-2</v>
      </c>
    </row>
    <row r="2535" spans="2:4">
      <c r="B2535" s="121">
        <v>43714</v>
      </c>
      <c r="C2535" s="123">
        <v>1.55</v>
      </c>
      <c r="D2535" s="73">
        <f t="shared" si="49"/>
        <v>1.55E-2</v>
      </c>
    </row>
    <row r="2536" spans="2:4">
      <c r="B2536" s="121">
        <v>43717</v>
      </c>
      <c r="C2536" s="123">
        <v>1.63</v>
      </c>
      <c r="D2536" s="73">
        <f t="shared" si="49"/>
        <v>1.6299999999999999E-2</v>
      </c>
    </row>
    <row r="2537" spans="2:4">
      <c r="B2537" s="121">
        <v>43718</v>
      </c>
      <c r="C2537" s="123">
        <v>1.72</v>
      </c>
      <c r="D2537" s="73">
        <f t="shared" si="49"/>
        <v>1.72E-2</v>
      </c>
    </row>
    <row r="2538" spans="2:4">
      <c r="B2538" s="121">
        <v>43719</v>
      </c>
      <c r="C2538" s="123">
        <v>1.75</v>
      </c>
      <c r="D2538" s="73">
        <f t="shared" si="49"/>
        <v>1.7500000000000002E-2</v>
      </c>
    </row>
    <row r="2539" spans="2:4">
      <c r="B2539" s="121">
        <v>43720</v>
      </c>
      <c r="C2539" s="123">
        <v>1.79</v>
      </c>
      <c r="D2539" s="73">
        <f t="shared" si="49"/>
        <v>1.7899999999999999E-2</v>
      </c>
    </row>
    <row r="2540" spans="2:4">
      <c r="B2540" s="121">
        <v>43721</v>
      </c>
      <c r="C2540" s="123">
        <v>1.9</v>
      </c>
      <c r="D2540" s="73">
        <f t="shared" si="49"/>
        <v>1.9E-2</v>
      </c>
    </row>
    <row r="2541" spans="2:4">
      <c r="B2541" s="121">
        <v>43724</v>
      </c>
      <c r="C2541" s="123">
        <v>1.84</v>
      </c>
      <c r="D2541" s="73">
        <f t="shared" si="49"/>
        <v>1.84E-2</v>
      </c>
    </row>
    <row r="2542" spans="2:4">
      <c r="B2542" s="121">
        <v>43725</v>
      </c>
      <c r="C2542" s="123">
        <v>1.81</v>
      </c>
      <c r="D2542" s="73">
        <f t="shared" si="49"/>
        <v>1.8100000000000002E-2</v>
      </c>
    </row>
    <row r="2543" spans="2:4">
      <c r="B2543" s="121">
        <v>43726</v>
      </c>
      <c r="C2543" s="123">
        <v>1.8</v>
      </c>
      <c r="D2543" s="73">
        <f t="shared" si="49"/>
        <v>1.8000000000000002E-2</v>
      </c>
    </row>
    <row r="2544" spans="2:4">
      <c r="B2544" s="121">
        <v>43727</v>
      </c>
      <c r="C2544" s="123">
        <v>1.79</v>
      </c>
      <c r="D2544" s="73">
        <f t="shared" si="49"/>
        <v>1.7899999999999999E-2</v>
      </c>
    </row>
    <row r="2545" spans="2:4">
      <c r="B2545" s="121">
        <v>43728</v>
      </c>
      <c r="C2545" s="123">
        <v>1.74</v>
      </c>
      <c r="D2545" s="73">
        <f t="shared" si="49"/>
        <v>1.7399999999999999E-2</v>
      </c>
    </row>
    <row r="2546" spans="2:4">
      <c r="B2546" s="121">
        <v>43731</v>
      </c>
      <c r="C2546" s="123">
        <v>1.72</v>
      </c>
      <c r="D2546" s="73">
        <f t="shared" si="49"/>
        <v>1.72E-2</v>
      </c>
    </row>
    <row r="2547" spans="2:4">
      <c r="B2547" s="121">
        <v>43732</v>
      </c>
      <c r="C2547" s="123">
        <v>1.64</v>
      </c>
      <c r="D2547" s="73">
        <f t="shared" si="49"/>
        <v>1.6399999999999998E-2</v>
      </c>
    </row>
    <row r="2548" spans="2:4">
      <c r="B2548" s="121">
        <v>43733</v>
      </c>
      <c r="C2548" s="123">
        <v>1.73</v>
      </c>
      <c r="D2548" s="73">
        <f t="shared" si="49"/>
        <v>1.7299999999999999E-2</v>
      </c>
    </row>
    <row r="2549" spans="2:4">
      <c r="B2549" s="121">
        <v>43734</v>
      </c>
      <c r="C2549" s="123">
        <v>1.7</v>
      </c>
      <c r="D2549" s="73">
        <f t="shared" si="49"/>
        <v>1.7000000000000001E-2</v>
      </c>
    </row>
    <row r="2550" spans="2:4">
      <c r="B2550" s="121">
        <v>43735</v>
      </c>
      <c r="C2550" s="123">
        <v>1.69</v>
      </c>
      <c r="D2550" s="73">
        <f t="shared" si="49"/>
        <v>1.6899999999999998E-2</v>
      </c>
    </row>
    <row r="2551" spans="2:4">
      <c r="B2551" s="121">
        <v>43738</v>
      </c>
      <c r="C2551" s="123">
        <v>1.68</v>
      </c>
      <c r="D2551" s="73">
        <f t="shared" si="49"/>
        <v>1.6799999999999999E-2</v>
      </c>
    </row>
    <row r="2552" spans="2:4">
      <c r="B2552" s="121">
        <v>43739</v>
      </c>
      <c r="C2552" s="123">
        <v>1.65</v>
      </c>
      <c r="D2552" s="73">
        <f t="shared" si="49"/>
        <v>1.6500000000000001E-2</v>
      </c>
    </row>
    <row r="2553" spans="2:4">
      <c r="B2553" s="121">
        <v>43740</v>
      </c>
      <c r="C2553" s="123">
        <v>1.6</v>
      </c>
      <c r="D2553" s="73">
        <f t="shared" si="49"/>
        <v>1.6E-2</v>
      </c>
    </row>
    <row r="2554" spans="2:4">
      <c r="B2554" s="121">
        <v>43741</v>
      </c>
      <c r="C2554" s="123">
        <v>1.54</v>
      </c>
      <c r="D2554" s="73">
        <f t="shared" si="49"/>
        <v>1.54E-2</v>
      </c>
    </row>
    <row r="2555" spans="2:4">
      <c r="B2555" s="121">
        <v>43742</v>
      </c>
      <c r="C2555" s="123">
        <v>1.52</v>
      </c>
      <c r="D2555" s="73">
        <f t="shared" si="49"/>
        <v>1.52E-2</v>
      </c>
    </row>
    <row r="2556" spans="2:4">
      <c r="B2556" s="121">
        <v>43745</v>
      </c>
      <c r="C2556" s="123">
        <v>1.56</v>
      </c>
      <c r="D2556" s="73">
        <f t="shared" si="49"/>
        <v>1.5600000000000001E-2</v>
      </c>
    </row>
    <row r="2557" spans="2:4">
      <c r="B2557" s="121">
        <v>43746</v>
      </c>
      <c r="C2557" s="123">
        <v>1.54</v>
      </c>
      <c r="D2557" s="73">
        <f t="shared" si="49"/>
        <v>1.54E-2</v>
      </c>
    </row>
    <row r="2558" spans="2:4">
      <c r="B2558" s="121">
        <v>43747</v>
      </c>
      <c r="C2558" s="123">
        <v>1.59</v>
      </c>
      <c r="D2558" s="73">
        <f t="shared" si="49"/>
        <v>1.5900000000000001E-2</v>
      </c>
    </row>
    <row r="2559" spans="2:4">
      <c r="B2559" s="121">
        <v>43748</v>
      </c>
      <c r="C2559" s="123">
        <v>1.67</v>
      </c>
      <c r="D2559" s="73">
        <f t="shared" si="49"/>
        <v>1.67E-2</v>
      </c>
    </row>
    <row r="2560" spans="2:4">
      <c r="B2560" s="121">
        <v>43749</v>
      </c>
      <c r="C2560" s="123">
        <v>1.76</v>
      </c>
      <c r="D2560" s="73">
        <f t="shared" si="49"/>
        <v>1.7600000000000001E-2</v>
      </c>
    </row>
    <row r="2561" spans="2:4">
      <c r="B2561" s="121">
        <v>43752</v>
      </c>
      <c r="C2561" s="123" t="s">
        <v>325</v>
      </c>
      <c r="D2561" s="73">
        <f t="shared" si="49"/>
        <v>1.7600000000000001E-2</v>
      </c>
    </row>
    <row r="2562" spans="2:4">
      <c r="B2562" s="121">
        <v>43753</v>
      </c>
      <c r="C2562" s="123">
        <v>1.77</v>
      </c>
      <c r="D2562" s="73">
        <f t="shared" si="49"/>
        <v>1.77E-2</v>
      </c>
    </row>
    <row r="2563" spans="2:4">
      <c r="B2563" s="121">
        <v>43754</v>
      </c>
      <c r="C2563" s="123">
        <v>1.75</v>
      </c>
      <c r="D2563" s="73">
        <f t="shared" si="49"/>
        <v>1.7500000000000002E-2</v>
      </c>
    </row>
    <row r="2564" spans="2:4">
      <c r="B2564" s="121">
        <v>43755</v>
      </c>
      <c r="C2564" s="123">
        <v>1.76</v>
      </c>
      <c r="D2564" s="73">
        <f t="shared" si="49"/>
        <v>1.7600000000000001E-2</v>
      </c>
    </row>
    <row r="2565" spans="2:4">
      <c r="B2565" s="121">
        <v>43756</v>
      </c>
      <c r="C2565" s="123">
        <v>1.76</v>
      </c>
      <c r="D2565" s="73">
        <f t="shared" si="49"/>
        <v>1.7600000000000001E-2</v>
      </c>
    </row>
    <row r="2566" spans="2:4">
      <c r="B2566" s="121">
        <v>43759</v>
      </c>
      <c r="C2566" s="123">
        <v>1.8</v>
      </c>
      <c r="D2566" s="73">
        <f t="shared" si="49"/>
        <v>1.8000000000000002E-2</v>
      </c>
    </row>
    <row r="2567" spans="2:4">
      <c r="B2567" s="121">
        <v>43760</v>
      </c>
      <c r="C2567" s="123">
        <v>1.78</v>
      </c>
      <c r="D2567" s="73">
        <f t="shared" si="49"/>
        <v>1.78E-2</v>
      </c>
    </row>
    <row r="2568" spans="2:4">
      <c r="B2568" s="121">
        <v>43761</v>
      </c>
      <c r="C2568" s="123">
        <v>1.77</v>
      </c>
      <c r="D2568" s="73">
        <f t="shared" si="49"/>
        <v>1.77E-2</v>
      </c>
    </row>
    <row r="2569" spans="2:4">
      <c r="B2569" s="121">
        <v>43762</v>
      </c>
      <c r="C2569" s="123">
        <v>1.77</v>
      </c>
      <c r="D2569" s="73">
        <f t="shared" si="49"/>
        <v>1.77E-2</v>
      </c>
    </row>
    <row r="2570" spans="2:4">
      <c r="B2570" s="121">
        <v>43763</v>
      </c>
      <c r="C2570" s="123">
        <v>1.8</v>
      </c>
      <c r="D2570" s="73">
        <f t="shared" si="49"/>
        <v>1.8000000000000002E-2</v>
      </c>
    </row>
    <row r="2571" spans="2:4">
      <c r="B2571" s="121">
        <v>43766</v>
      </c>
      <c r="C2571" s="123">
        <v>1.85</v>
      </c>
      <c r="D2571" s="73">
        <f t="shared" si="49"/>
        <v>1.8500000000000003E-2</v>
      </c>
    </row>
    <row r="2572" spans="2:4">
      <c r="B2572" s="121">
        <v>43767</v>
      </c>
      <c r="C2572" s="123">
        <v>1.84</v>
      </c>
      <c r="D2572" s="73">
        <f t="shared" si="49"/>
        <v>1.84E-2</v>
      </c>
    </row>
    <row r="2573" spans="2:4">
      <c r="B2573" s="121">
        <v>43768</v>
      </c>
      <c r="C2573" s="123">
        <v>1.78</v>
      </c>
      <c r="D2573" s="73">
        <f t="shared" si="49"/>
        <v>1.78E-2</v>
      </c>
    </row>
    <row r="2574" spans="2:4">
      <c r="B2574" s="121">
        <v>43769</v>
      </c>
      <c r="C2574" s="123">
        <v>1.69</v>
      </c>
      <c r="D2574" s="73">
        <f t="shared" ref="D2574:D2603" si="50">IF( LEN( C2574 ) = 0, #N/A, IF( C2574 = "ND", D2573, C2574 / 100 ) )</f>
        <v>1.6899999999999998E-2</v>
      </c>
    </row>
    <row r="2575" spans="2:4">
      <c r="B2575" s="121">
        <v>43770</v>
      </c>
      <c r="C2575" s="123">
        <v>1.73</v>
      </c>
      <c r="D2575" s="73">
        <f t="shared" si="50"/>
        <v>1.7299999999999999E-2</v>
      </c>
    </row>
    <row r="2576" spans="2:4">
      <c r="B2576" s="121">
        <v>43773</v>
      </c>
      <c r="C2576" s="123">
        <v>1.79</v>
      </c>
      <c r="D2576" s="73">
        <f t="shared" si="50"/>
        <v>1.7899999999999999E-2</v>
      </c>
    </row>
    <row r="2577" spans="2:4">
      <c r="B2577" s="121">
        <v>43774</v>
      </c>
      <c r="C2577" s="123">
        <v>1.86</v>
      </c>
      <c r="D2577" s="73">
        <f t="shared" si="50"/>
        <v>1.8600000000000002E-2</v>
      </c>
    </row>
    <row r="2578" spans="2:4">
      <c r="B2578" s="121">
        <v>43775</v>
      </c>
      <c r="C2578" s="123">
        <v>1.81</v>
      </c>
      <c r="D2578" s="73">
        <f t="shared" si="50"/>
        <v>1.8100000000000002E-2</v>
      </c>
    </row>
    <row r="2579" spans="2:4">
      <c r="B2579" s="121">
        <v>43776</v>
      </c>
      <c r="C2579" s="123">
        <v>1.92</v>
      </c>
      <c r="D2579" s="73">
        <f t="shared" si="50"/>
        <v>1.9199999999999998E-2</v>
      </c>
    </row>
    <row r="2580" spans="2:4">
      <c r="B2580" s="121">
        <v>43777</v>
      </c>
      <c r="C2580" s="123">
        <v>1.94</v>
      </c>
      <c r="D2580" s="73">
        <f t="shared" si="50"/>
        <v>1.9400000000000001E-2</v>
      </c>
    </row>
    <row r="2581" spans="2:4">
      <c r="B2581" s="121">
        <v>43780</v>
      </c>
      <c r="C2581" s="123" t="s">
        <v>325</v>
      </c>
      <c r="D2581" s="73">
        <f t="shared" si="50"/>
        <v>1.9400000000000001E-2</v>
      </c>
    </row>
    <row r="2582" spans="2:4">
      <c r="B2582" s="121">
        <v>43781</v>
      </c>
      <c r="C2582" s="123">
        <v>1.92</v>
      </c>
      <c r="D2582" s="73">
        <f t="shared" si="50"/>
        <v>1.9199999999999998E-2</v>
      </c>
    </row>
    <row r="2583" spans="2:4">
      <c r="B2583" s="121">
        <v>43782</v>
      </c>
      <c r="C2583" s="123">
        <v>1.88</v>
      </c>
      <c r="D2583" s="73">
        <f t="shared" si="50"/>
        <v>1.8799999999999997E-2</v>
      </c>
    </row>
    <row r="2584" spans="2:4">
      <c r="B2584" s="121">
        <v>43783</v>
      </c>
      <c r="C2584" s="123">
        <v>1.82</v>
      </c>
      <c r="D2584" s="73">
        <f t="shared" si="50"/>
        <v>1.8200000000000001E-2</v>
      </c>
    </row>
    <row r="2585" spans="2:4">
      <c r="B2585" s="121">
        <v>43784</v>
      </c>
      <c r="C2585" s="123">
        <v>1.84</v>
      </c>
      <c r="D2585" s="73">
        <f t="shared" si="50"/>
        <v>1.84E-2</v>
      </c>
    </row>
    <row r="2586" spans="2:4">
      <c r="B2586" s="121">
        <v>43787</v>
      </c>
      <c r="C2586" s="123">
        <v>1.81</v>
      </c>
      <c r="D2586" s="73">
        <f t="shared" si="50"/>
        <v>1.8100000000000002E-2</v>
      </c>
    </row>
    <row r="2587" spans="2:4">
      <c r="B2587" s="121">
        <v>43788</v>
      </c>
      <c r="C2587" s="123">
        <v>1.79</v>
      </c>
      <c r="D2587" s="73">
        <f t="shared" si="50"/>
        <v>1.7899999999999999E-2</v>
      </c>
    </row>
    <row r="2588" spans="2:4">
      <c r="B2588" s="121">
        <v>43789</v>
      </c>
      <c r="C2588" s="123">
        <v>1.73</v>
      </c>
      <c r="D2588" s="73">
        <f t="shared" si="50"/>
        <v>1.7299999999999999E-2</v>
      </c>
    </row>
    <row r="2589" spans="2:4">
      <c r="B2589" s="121">
        <v>43790</v>
      </c>
      <c r="C2589" s="123">
        <v>1.77</v>
      </c>
      <c r="D2589" s="73">
        <f t="shared" si="50"/>
        <v>1.77E-2</v>
      </c>
    </row>
    <row r="2590" spans="2:4">
      <c r="B2590" s="121">
        <v>43791</v>
      </c>
      <c r="C2590" s="123">
        <v>1.77</v>
      </c>
      <c r="D2590" s="73">
        <f t="shared" si="50"/>
        <v>1.77E-2</v>
      </c>
    </row>
    <row r="2591" spans="2:4">
      <c r="B2591" s="121">
        <v>43794</v>
      </c>
      <c r="C2591" s="123">
        <v>1.76</v>
      </c>
      <c r="D2591" s="73">
        <f t="shared" si="50"/>
        <v>1.7600000000000001E-2</v>
      </c>
    </row>
    <row r="2592" spans="2:4">
      <c r="B2592" s="121">
        <v>43795</v>
      </c>
      <c r="C2592" s="123">
        <v>1.74</v>
      </c>
      <c r="D2592" s="73">
        <f t="shared" si="50"/>
        <v>1.7399999999999999E-2</v>
      </c>
    </row>
    <row r="2593" spans="2:4">
      <c r="B2593" s="121">
        <v>43796</v>
      </c>
      <c r="C2593" s="123">
        <v>1.77</v>
      </c>
      <c r="D2593" s="73">
        <f t="shared" si="50"/>
        <v>1.77E-2</v>
      </c>
    </row>
    <row r="2594" spans="2:4">
      <c r="B2594" s="121">
        <v>43797</v>
      </c>
      <c r="C2594" s="123" t="s">
        <v>325</v>
      </c>
      <c r="D2594" s="73">
        <f t="shared" si="50"/>
        <v>1.77E-2</v>
      </c>
    </row>
    <row r="2595" spans="2:4">
      <c r="B2595" s="121">
        <v>43798</v>
      </c>
      <c r="C2595" s="123">
        <v>1.78</v>
      </c>
      <c r="D2595" s="73">
        <f t="shared" si="50"/>
        <v>1.78E-2</v>
      </c>
    </row>
    <row r="2596" spans="2:4">
      <c r="B2596" s="121">
        <v>43801</v>
      </c>
      <c r="C2596" s="123">
        <v>1.83</v>
      </c>
      <c r="D2596" s="73">
        <f t="shared" si="50"/>
        <v>1.83E-2</v>
      </c>
    </row>
    <row r="2597" spans="2:4">
      <c r="B2597" s="121">
        <v>43802</v>
      </c>
      <c r="C2597" s="123">
        <v>1.72</v>
      </c>
      <c r="D2597" s="73">
        <f t="shared" si="50"/>
        <v>1.72E-2</v>
      </c>
    </row>
    <row r="2598" spans="2:4">
      <c r="B2598" s="121">
        <v>43803</v>
      </c>
      <c r="C2598" s="123">
        <v>1.77</v>
      </c>
      <c r="D2598" s="73">
        <f t="shared" si="50"/>
        <v>1.77E-2</v>
      </c>
    </row>
    <row r="2599" spans="2:4">
      <c r="B2599" s="121">
        <v>43804</v>
      </c>
      <c r="C2599" s="123">
        <v>1.8</v>
      </c>
      <c r="D2599" s="73">
        <f t="shared" si="50"/>
        <v>1.8000000000000002E-2</v>
      </c>
    </row>
    <row r="2600" spans="2:4">
      <c r="B2600" s="121">
        <v>43805</v>
      </c>
      <c r="C2600" s="123">
        <v>1.84</v>
      </c>
      <c r="D2600" s="73">
        <f t="shared" si="50"/>
        <v>1.84E-2</v>
      </c>
    </row>
    <row r="2601" spans="2:4">
      <c r="B2601" s="121">
        <v>43808</v>
      </c>
      <c r="C2601" s="123">
        <v>1.83</v>
      </c>
      <c r="D2601" s="73">
        <f t="shared" si="50"/>
        <v>1.83E-2</v>
      </c>
    </row>
    <row r="2602" spans="2:4">
      <c r="B2602" s="121">
        <v>43809</v>
      </c>
      <c r="C2602" s="123">
        <v>1.85</v>
      </c>
      <c r="D2602" s="73">
        <f t="shared" si="50"/>
        <v>1.8500000000000003E-2</v>
      </c>
    </row>
    <row r="2603" spans="2:4">
      <c r="B2603" s="121">
        <v>43810</v>
      </c>
      <c r="C2603" s="123">
        <v>1.79</v>
      </c>
      <c r="D2603" s="73">
        <f t="shared" si="50"/>
        <v>1.7899999999999999E-2</v>
      </c>
    </row>
    <row r="2604" spans="2:4">
      <c r="B2604" s="121">
        <v>43811</v>
      </c>
      <c r="C2604" s="123">
        <v>1.9</v>
      </c>
      <c r="D2604" s="73">
        <f t="shared" ref="D2604:D2645" si="51">IF( LEN( C2604 ) = 0, #N/A, IF( C2604 = "ND", D2603, C2604 / 100 ) )</f>
        <v>1.9E-2</v>
      </c>
    </row>
    <row r="2605" spans="2:4">
      <c r="B2605" s="121">
        <v>43812</v>
      </c>
      <c r="C2605" s="123">
        <v>1.82</v>
      </c>
      <c r="D2605" s="73">
        <f t="shared" si="51"/>
        <v>1.8200000000000001E-2</v>
      </c>
    </row>
    <row r="2606" spans="2:4">
      <c r="B2606" s="121">
        <v>43815</v>
      </c>
      <c r="C2606" s="123">
        <v>1.89</v>
      </c>
      <c r="D2606" s="73">
        <f t="shared" si="51"/>
        <v>1.89E-2</v>
      </c>
    </row>
    <row r="2607" spans="2:4">
      <c r="B2607" s="121">
        <v>43816</v>
      </c>
      <c r="C2607" s="123">
        <v>1.89</v>
      </c>
      <c r="D2607" s="73">
        <f t="shared" si="51"/>
        <v>1.89E-2</v>
      </c>
    </row>
    <row r="2608" spans="2:4">
      <c r="B2608" s="121">
        <v>43817</v>
      </c>
      <c r="C2608" s="123">
        <v>1.92</v>
      </c>
      <c r="D2608" s="73">
        <f t="shared" si="51"/>
        <v>1.9199999999999998E-2</v>
      </c>
    </row>
    <row r="2609" spans="2:4">
      <c r="B2609" s="121">
        <v>43818</v>
      </c>
      <c r="C2609" s="123">
        <v>1.92</v>
      </c>
      <c r="D2609" s="73">
        <f t="shared" si="51"/>
        <v>1.9199999999999998E-2</v>
      </c>
    </row>
    <row r="2610" spans="2:4">
      <c r="B2610" s="121">
        <v>43819</v>
      </c>
      <c r="C2610" s="123">
        <v>1.92</v>
      </c>
      <c r="D2610" s="73">
        <f t="shared" si="51"/>
        <v>1.9199999999999998E-2</v>
      </c>
    </row>
    <row r="2611" spans="2:4">
      <c r="B2611" s="121">
        <v>43822</v>
      </c>
      <c r="C2611" s="123">
        <v>1.93</v>
      </c>
      <c r="D2611" s="73">
        <f t="shared" si="51"/>
        <v>1.9299999999999998E-2</v>
      </c>
    </row>
    <row r="2612" spans="2:4">
      <c r="B2612" s="121">
        <v>43823</v>
      </c>
      <c r="C2612" s="123">
        <v>1.9</v>
      </c>
      <c r="D2612" s="73">
        <f t="shared" si="51"/>
        <v>1.9E-2</v>
      </c>
    </row>
    <row r="2613" spans="2:4">
      <c r="B2613" s="121">
        <v>43824</v>
      </c>
      <c r="C2613" s="123" t="s">
        <v>325</v>
      </c>
      <c r="D2613" s="73">
        <f t="shared" si="51"/>
        <v>1.9E-2</v>
      </c>
    </row>
    <row r="2614" spans="2:4">
      <c r="B2614" s="121">
        <v>43825</v>
      </c>
      <c r="C2614" s="123">
        <v>1.9</v>
      </c>
      <c r="D2614" s="73">
        <f t="shared" si="51"/>
        <v>1.9E-2</v>
      </c>
    </row>
    <row r="2615" spans="2:4">
      <c r="B2615" s="121">
        <v>43826</v>
      </c>
      <c r="C2615" s="123">
        <v>1.88</v>
      </c>
      <c r="D2615" s="73">
        <f t="shared" si="51"/>
        <v>1.8799999999999997E-2</v>
      </c>
    </row>
    <row r="2616" spans="2:4">
      <c r="B2616" s="121">
        <v>43829</v>
      </c>
      <c r="C2616" s="123">
        <v>1.9</v>
      </c>
      <c r="D2616" s="73">
        <f t="shared" si="51"/>
        <v>1.9E-2</v>
      </c>
    </row>
    <row r="2617" spans="2:4">
      <c r="B2617" s="121">
        <v>43830</v>
      </c>
      <c r="C2617" s="123">
        <v>1.92</v>
      </c>
      <c r="D2617" s="73">
        <f t="shared" si="51"/>
        <v>1.9199999999999998E-2</v>
      </c>
    </row>
    <row r="2618" spans="2:4">
      <c r="B2618" s="121">
        <v>43831</v>
      </c>
      <c r="C2618" s="123" t="s">
        <v>325</v>
      </c>
      <c r="D2618" s="73">
        <f t="shared" si="51"/>
        <v>1.9199999999999998E-2</v>
      </c>
    </row>
    <row r="2619" spans="2:4">
      <c r="B2619" s="121">
        <v>43832</v>
      </c>
      <c r="C2619" s="123">
        <v>1.88</v>
      </c>
      <c r="D2619" s="73">
        <f t="shared" si="51"/>
        <v>1.8799999999999997E-2</v>
      </c>
    </row>
    <row r="2620" spans="2:4">
      <c r="B2620" s="121">
        <v>43833</v>
      </c>
      <c r="C2620" s="123">
        <v>1.8</v>
      </c>
      <c r="D2620" s="73">
        <f t="shared" si="51"/>
        <v>1.8000000000000002E-2</v>
      </c>
    </row>
    <row r="2621" spans="2:4">
      <c r="B2621" s="121">
        <v>43836</v>
      </c>
      <c r="C2621" s="123">
        <v>1.81</v>
      </c>
      <c r="D2621" s="73">
        <f t="shared" si="51"/>
        <v>1.8100000000000002E-2</v>
      </c>
    </row>
    <row r="2622" spans="2:4">
      <c r="B2622" s="121">
        <v>43837</v>
      </c>
      <c r="C2622" s="123">
        <v>1.83</v>
      </c>
      <c r="D2622" s="73">
        <f t="shared" si="51"/>
        <v>1.83E-2</v>
      </c>
    </row>
    <row r="2623" spans="2:4">
      <c r="B2623" s="121">
        <v>43838</v>
      </c>
      <c r="C2623" s="123">
        <v>1.87</v>
      </c>
      <c r="D2623" s="73">
        <f t="shared" si="51"/>
        <v>1.8700000000000001E-2</v>
      </c>
    </row>
    <row r="2624" spans="2:4">
      <c r="B2624" s="121">
        <v>43839</v>
      </c>
      <c r="C2624" s="123">
        <v>1.85</v>
      </c>
      <c r="D2624" s="73">
        <f t="shared" si="51"/>
        <v>1.8500000000000003E-2</v>
      </c>
    </row>
    <row r="2625" spans="2:4">
      <c r="B2625" s="121">
        <v>43840</v>
      </c>
      <c r="C2625" s="123">
        <v>1.83</v>
      </c>
      <c r="D2625" s="73">
        <f t="shared" si="51"/>
        <v>1.83E-2</v>
      </c>
    </row>
    <row r="2626" spans="2:4">
      <c r="B2626" s="121">
        <v>43843</v>
      </c>
      <c r="C2626" s="123">
        <v>1.85</v>
      </c>
      <c r="D2626" s="73">
        <f t="shared" si="51"/>
        <v>1.8500000000000003E-2</v>
      </c>
    </row>
    <row r="2627" spans="2:4">
      <c r="B2627" s="121">
        <v>43844</v>
      </c>
      <c r="C2627" s="123">
        <v>1.82</v>
      </c>
      <c r="D2627" s="73">
        <f t="shared" si="51"/>
        <v>1.8200000000000001E-2</v>
      </c>
    </row>
    <row r="2628" spans="2:4">
      <c r="B2628" s="121">
        <v>43845</v>
      </c>
      <c r="C2628" s="123">
        <v>1.79</v>
      </c>
      <c r="D2628" s="73">
        <f t="shared" si="51"/>
        <v>1.7899999999999999E-2</v>
      </c>
    </row>
    <row r="2629" spans="2:4">
      <c r="B2629" s="121">
        <v>43846</v>
      </c>
      <c r="C2629" s="123">
        <v>1.81</v>
      </c>
      <c r="D2629" s="73">
        <f t="shared" si="51"/>
        <v>1.8100000000000002E-2</v>
      </c>
    </row>
    <row r="2630" spans="2:4">
      <c r="B2630" s="121">
        <v>43847</v>
      </c>
      <c r="C2630" s="123">
        <v>1.84</v>
      </c>
      <c r="D2630" s="73">
        <f t="shared" si="51"/>
        <v>1.84E-2</v>
      </c>
    </row>
    <row r="2631" spans="2:4">
      <c r="B2631" s="121">
        <v>43850</v>
      </c>
      <c r="C2631" s="123" t="s">
        <v>325</v>
      </c>
      <c r="D2631" s="73">
        <f t="shared" si="51"/>
        <v>1.84E-2</v>
      </c>
    </row>
    <row r="2632" spans="2:4">
      <c r="B2632" s="121">
        <v>43851</v>
      </c>
      <c r="C2632" s="123">
        <v>1.78</v>
      </c>
      <c r="D2632" s="73">
        <f t="shared" si="51"/>
        <v>1.78E-2</v>
      </c>
    </row>
    <row r="2633" spans="2:4">
      <c r="B2633" s="121">
        <v>43852</v>
      </c>
      <c r="C2633" s="123">
        <v>1.77</v>
      </c>
      <c r="D2633" s="73">
        <f t="shared" si="51"/>
        <v>1.77E-2</v>
      </c>
    </row>
    <row r="2634" spans="2:4">
      <c r="B2634" s="121">
        <v>43853</v>
      </c>
      <c r="C2634" s="123">
        <v>1.74</v>
      </c>
      <c r="D2634" s="73">
        <f t="shared" si="51"/>
        <v>1.7399999999999999E-2</v>
      </c>
    </row>
    <row r="2635" spans="2:4">
      <c r="B2635" s="121">
        <v>43854</v>
      </c>
      <c r="C2635" s="123">
        <v>1.7</v>
      </c>
      <c r="D2635" s="73">
        <f t="shared" si="51"/>
        <v>1.7000000000000001E-2</v>
      </c>
    </row>
    <row r="2636" spans="2:4">
      <c r="B2636" s="121">
        <v>43857</v>
      </c>
      <c r="C2636" s="123">
        <v>1.61</v>
      </c>
      <c r="D2636" s="73">
        <f t="shared" si="51"/>
        <v>1.61E-2</v>
      </c>
    </row>
    <row r="2637" spans="2:4">
      <c r="B2637" s="121">
        <v>43858</v>
      </c>
      <c r="C2637" s="123">
        <v>1.65</v>
      </c>
      <c r="D2637" s="73">
        <f t="shared" si="51"/>
        <v>1.6500000000000001E-2</v>
      </c>
    </row>
    <row r="2638" spans="2:4">
      <c r="B2638" s="121">
        <v>43859</v>
      </c>
      <c r="C2638" s="123">
        <v>1.6</v>
      </c>
      <c r="D2638" s="73">
        <f t="shared" si="51"/>
        <v>1.6E-2</v>
      </c>
    </row>
    <row r="2639" spans="2:4">
      <c r="B2639" s="121">
        <v>43860</v>
      </c>
      <c r="C2639" s="123">
        <v>1.57</v>
      </c>
      <c r="D2639" s="73">
        <f t="shared" si="51"/>
        <v>1.5700000000000002E-2</v>
      </c>
    </row>
    <row r="2640" spans="2:4">
      <c r="B2640" s="121">
        <v>43861</v>
      </c>
      <c r="C2640" s="123">
        <v>1.51</v>
      </c>
      <c r="D2640" s="73">
        <f t="shared" si="51"/>
        <v>1.5100000000000001E-2</v>
      </c>
    </row>
    <row r="2641" spans="2:4">
      <c r="B2641" s="121">
        <v>43864</v>
      </c>
      <c r="C2641" s="123">
        <v>1.54</v>
      </c>
      <c r="D2641" s="73">
        <f t="shared" si="51"/>
        <v>1.54E-2</v>
      </c>
    </row>
    <row r="2642" spans="2:4">
      <c r="B2642" s="121">
        <v>43865</v>
      </c>
      <c r="C2642" s="123">
        <v>1.61</v>
      </c>
      <c r="D2642" s="73">
        <f t="shared" si="51"/>
        <v>1.61E-2</v>
      </c>
    </row>
    <row r="2643" spans="2:4">
      <c r="B2643" s="121">
        <v>43866</v>
      </c>
      <c r="C2643" s="123">
        <v>1.66</v>
      </c>
      <c r="D2643" s="73">
        <f t="shared" si="51"/>
        <v>1.66E-2</v>
      </c>
    </row>
    <row r="2644" spans="2:4">
      <c r="B2644" s="121">
        <v>43867</v>
      </c>
      <c r="C2644" s="123">
        <v>1.65</v>
      </c>
      <c r="D2644" s="73">
        <f t="shared" si="51"/>
        <v>1.6500000000000001E-2</v>
      </c>
    </row>
    <row r="2645" spans="2:4">
      <c r="B2645" s="121">
        <v>43868</v>
      </c>
      <c r="C2645" s="123">
        <v>1.59</v>
      </c>
      <c r="D2645" s="73">
        <f t="shared" si="51"/>
        <v>1.5900000000000001E-2</v>
      </c>
    </row>
    <row r="2646" spans="2:4">
      <c r="B2646" s="121">
        <v>43871</v>
      </c>
      <c r="C2646" s="123">
        <v>1.56</v>
      </c>
      <c r="D2646" s="73">
        <f t="shared" ref="D2646:D2682" si="52">IF( LEN( C2646 ) = 0, #N/A, IF( C2646 = "ND", D2645, C2646 / 100 ) )</f>
        <v>1.5600000000000001E-2</v>
      </c>
    </row>
    <row r="2647" spans="2:4">
      <c r="B2647" s="121">
        <v>43872</v>
      </c>
      <c r="C2647" s="123">
        <v>1.59</v>
      </c>
      <c r="D2647" s="73">
        <f t="shared" si="52"/>
        <v>1.5900000000000001E-2</v>
      </c>
    </row>
    <row r="2648" spans="2:4">
      <c r="B2648" s="121">
        <v>43873</v>
      </c>
      <c r="C2648" s="123">
        <v>1.62</v>
      </c>
      <c r="D2648" s="73">
        <f t="shared" si="52"/>
        <v>1.6200000000000003E-2</v>
      </c>
    </row>
    <row r="2649" spans="2:4">
      <c r="B2649" s="121">
        <v>43874</v>
      </c>
      <c r="C2649" s="123">
        <v>1.61</v>
      </c>
      <c r="D2649" s="73">
        <f t="shared" si="52"/>
        <v>1.61E-2</v>
      </c>
    </row>
    <row r="2650" spans="2:4">
      <c r="B2650" s="121">
        <v>43875</v>
      </c>
      <c r="C2650" s="123">
        <v>1.59</v>
      </c>
      <c r="D2650" s="73">
        <f t="shared" si="52"/>
        <v>1.5900000000000001E-2</v>
      </c>
    </row>
    <row r="2651" spans="2:4">
      <c r="B2651" s="121">
        <v>43878</v>
      </c>
      <c r="C2651" s="123" t="s">
        <v>325</v>
      </c>
      <c r="D2651" s="73">
        <f t="shared" si="52"/>
        <v>1.5900000000000001E-2</v>
      </c>
    </row>
    <row r="2652" spans="2:4">
      <c r="B2652" s="121">
        <v>43879</v>
      </c>
      <c r="C2652" s="123">
        <v>1.55</v>
      </c>
      <c r="D2652" s="73">
        <f t="shared" si="52"/>
        <v>1.55E-2</v>
      </c>
    </row>
    <row r="2653" spans="2:4">
      <c r="B2653" s="121">
        <v>43880</v>
      </c>
      <c r="C2653" s="123">
        <v>1.56</v>
      </c>
      <c r="D2653" s="73">
        <f t="shared" si="52"/>
        <v>1.5600000000000001E-2</v>
      </c>
    </row>
    <row r="2654" spans="2:4">
      <c r="B2654" s="121">
        <v>43881</v>
      </c>
      <c r="C2654" s="123">
        <v>1.52</v>
      </c>
      <c r="D2654" s="73">
        <f t="shared" si="52"/>
        <v>1.52E-2</v>
      </c>
    </row>
    <row r="2655" spans="2:4">
      <c r="B2655" s="121">
        <v>43882</v>
      </c>
      <c r="C2655" s="123">
        <v>1.46</v>
      </c>
      <c r="D2655" s="73">
        <f t="shared" si="52"/>
        <v>1.46E-2</v>
      </c>
    </row>
    <row r="2656" spans="2:4">
      <c r="B2656" s="121">
        <v>43885</v>
      </c>
      <c r="C2656" s="123">
        <v>1.38</v>
      </c>
      <c r="D2656" s="73">
        <f t="shared" si="52"/>
        <v>1.38E-2</v>
      </c>
    </row>
    <row r="2657" spans="2:4">
      <c r="B2657" s="121">
        <v>43886</v>
      </c>
      <c r="C2657" s="123">
        <v>1.33</v>
      </c>
      <c r="D2657" s="73">
        <f t="shared" si="52"/>
        <v>1.3300000000000001E-2</v>
      </c>
    </row>
    <row r="2658" spans="2:4">
      <c r="B2658" s="121">
        <v>43887</v>
      </c>
      <c r="C2658" s="123">
        <v>1.33</v>
      </c>
      <c r="D2658" s="73">
        <f t="shared" si="52"/>
        <v>1.3300000000000001E-2</v>
      </c>
    </row>
    <row r="2659" spans="2:4">
      <c r="B2659" s="121">
        <v>43888</v>
      </c>
      <c r="C2659" s="123">
        <v>1.3</v>
      </c>
      <c r="D2659" s="73">
        <f t="shared" si="52"/>
        <v>1.3000000000000001E-2</v>
      </c>
    </row>
    <row r="2660" spans="2:4">
      <c r="B2660" s="121">
        <v>43889</v>
      </c>
      <c r="C2660" s="123">
        <v>1.1299999999999999</v>
      </c>
      <c r="D2660" s="73">
        <f t="shared" si="52"/>
        <v>1.1299999999999999E-2</v>
      </c>
    </row>
    <row r="2661" spans="2:4">
      <c r="B2661" s="121">
        <v>43892</v>
      </c>
      <c r="C2661" s="123">
        <v>1.1000000000000001</v>
      </c>
      <c r="D2661" s="73">
        <f t="shared" si="52"/>
        <v>1.1000000000000001E-2</v>
      </c>
    </row>
    <row r="2662" spans="2:4">
      <c r="B2662" s="121">
        <v>43893</v>
      </c>
      <c r="C2662" s="123">
        <v>1.02</v>
      </c>
      <c r="D2662" s="73">
        <f t="shared" si="52"/>
        <v>1.0200000000000001E-2</v>
      </c>
    </row>
    <row r="2663" spans="2:4">
      <c r="B2663" s="121">
        <v>43894</v>
      </c>
      <c r="C2663" s="123">
        <v>1.02</v>
      </c>
      <c r="D2663" s="73">
        <f t="shared" si="52"/>
        <v>1.0200000000000001E-2</v>
      </c>
    </row>
    <row r="2664" spans="2:4">
      <c r="B2664" s="121">
        <v>43895</v>
      </c>
      <c r="C2664" s="123">
        <v>0.92</v>
      </c>
      <c r="D2664" s="73">
        <f t="shared" si="52"/>
        <v>9.1999999999999998E-3</v>
      </c>
    </row>
    <row r="2665" spans="2:4">
      <c r="B2665" s="121">
        <v>43896</v>
      </c>
      <c r="C2665" s="123">
        <v>0.74</v>
      </c>
      <c r="D2665" s="73">
        <f t="shared" si="52"/>
        <v>7.4000000000000003E-3</v>
      </c>
    </row>
    <row r="2666" spans="2:4">
      <c r="B2666" s="121">
        <v>43899</v>
      </c>
      <c r="C2666" s="123">
        <v>0.54</v>
      </c>
      <c r="D2666" s="73">
        <f t="shared" si="52"/>
        <v>5.4000000000000003E-3</v>
      </c>
    </row>
    <row r="2667" spans="2:4">
      <c r="B2667" s="121">
        <v>43900</v>
      </c>
      <c r="C2667" s="123">
        <v>0.76</v>
      </c>
      <c r="D2667" s="73">
        <f t="shared" si="52"/>
        <v>7.6E-3</v>
      </c>
    </row>
    <row r="2668" spans="2:4">
      <c r="B2668" s="121">
        <v>43901</v>
      </c>
      <c r="C2668" s="123">
        <v>0.82</v>
      </c>
      <c r="D2668" s="73">
        <f t="shared" si="52"/>
        <v>8.199999999999999E-3</v>
      </c>
    </row>
    <row r="2669" spans="2:4">
      <c r="B2669" s="121">
        <v>43902</v>
      </c>
      <c r="C2669" s="123">
        <v>0.88</v>
      </c>
      <c r="D2669" s="73">
        <f t="shared" si="52"/>
        <v>8.8000000000000005E-3</v>
      </c>
    </row>
    <row r="2670" spans="2:4">
      <c r="B2670" s="121">
        <v>43903</v>
      </c>
      <c r="C2670" s="123">
        <v>0.94</v>
      </c>
      <c r="D2670" s="73">
        <f t="shared" si="52"/>
        <v>9.3999999999999986E-3</v>
      </c>
    </row>
    <row r="2671" spans="2:4">
      <c r="B2671" s="121">
        <v>43906</v>
      </c>
      <c r="C2671" s="123">
        <v>0.73</v>
      </c>
      <c r="D2671" s="73">
        <f t="shared" si="52"/>
        <v>7.3000000000000001E-3</v>
      </c>
    </row>
    <row r="2672" spans="2:4">
      <c r="B2672" s="121">
        <v>43907</v>
      </c>
      <c r="C2672" s="123">
        <v>1.02</v>
      </c>
      <c r="D2672" s="73">
        <f t="shared" si="52"/>
        <v>1.0200000000000001E-2</v>
      </c>
    </row>
    <row r="2673" spans="2:4">
      <c r="B2673" s="121">
        <v>43908</v>
      </c>
      <c r="C2673" s="123">
        <v>1.18</v>
      </c>
      <c r="D2673" s="73">
        <f t="shared" si="52"/>
        <v>1.18E-2</v>
      </c>
    </row>
    <row r="2674" spans="2:4">
      <c r="B2674" s="121">
        <v>43909</v>
      </c>
      <c r="C2674" s="123">
        <v>1.1200000000000001</v>
      </c>
      <c r="D2674" s="73">
        <f t="shared" si="52"/>
        <v>1.1200000000000002E-2</v>
      </c>
    </row>
    <row r="2675" spans="2:4">
      <c r="B2675" s="121">
        <v>43910</v>
      </c>
      <c r="C2675" s="123">
        <v>0.92</v>
      </c>
      <c r="D2675" s="73">
        <f t="shared" si="52"/>
        <v>9.1999999999999998E-3</v>
      </c>
    </row>
    <row r="2676" spans="2:4">
      <c r="B2676" s="121">
        <v>43913</v>
      </c>
      <c r="C2676" s="123">
        <v>0.76</v>
      </c>
      <c r="D2676" s="73">
        <f t="shared" si="52"/>
        <v>7.6E-3</v>
      </c>
    </row>
    <row r="2677" spans="2:4">
      <c r="B2677" s="121">
        <v>43914</v>
      </c>
      <c r="C2677" s="123">
        <v>0.84</v>
      </c>
      <c r="D2677" s="73">
        <f t="shared" si="52"/>
        <v>8.3999999999999995E-3</v>
      </c>
    </row>
    <row r="2678" spans="2:4">
      <c r="B2678" s="121">
        <v>43915</v>
      </c>
      <c r="C2678" s="123">
        <v>0.88</v>
      </c>
      <c r="D2678" s="73">
        <f t="shared" si="52"/>
        <v>8.8000000000000005E-3</v>
      </c>
    </row>
    <row r="2679" spans="2:4">
      <c r="B2679" s="121">
        <v>43916</v>
      </c>
      <c r="C2679" s="123">
        <v>0.83</v>
      </c>
      <c r="D2679" s="73">
        <f t="shared" si="52"/>
        <v>8.3000000000000001E-3</v>
      </c>
    </row>
    <row r="2680" spans="2:4">
      <c r="B2680" s="121">
        <v>43917</v>
      </c>
      <c r="C2680" s="123">
        <v>0.72</v>
      </c>
      <c r="D2680" s="73">
        <f t="shared" si="52"/>
        <v>7.1999999999999998E-3</v>
      </c>
    </row>
    <row r="2681" spans="2:4">
      <c r="B2681" s="121">
        <v>43920</v>
      </c>
      <c r="C2681" s="123">
        <v>0.7</v>
      </c>
      <c r="D2681" s="73">
        <f t="shared" si="52"/>
        <v>6.9999999999999993E-3</v>
      </c>
    </row>
    <row r="2682" spans="2:4">
      <c r="B2682" s="121">
        <v>43921</v>
      </c>
      <c r="C2682" s="123">
        <v>0.7</v>
      </c>
      <c r="D2682" s="73">
        <f t="shared" si="52"/>
        <v>6.9999999999999993E-3</v>
      </c>
    </row>
    <row r="2683" spans="2:4">
      <c r="B2683" s="121">
        <v>43922</v>
      </c>
      <c r="C2683" s="123">
        <v>0.62</v>
      </c>
      <c r="D2683" s="73">
        <f t="shared" ref="D2683:D2746" si="53">IF( LEN( C2683 ) = 0, #N/A, IF( C2683 = "ND", D2682, C2683 / 100 ) )</f>
        <v>6.1999999999999998E-3</v>
      </c>
    </row>
    <row r="2684" spans="2:4">
      <c r="B2684" s="121">
        <v>43923</v>
      </c>
      <c r="C2684" s="123">
        <v>0.63</v>
      </c>
      <c r="D2684" s="73">
        <f t="shared" si="53"/>
        <v>6.3E-3</v>
      </c>
    </row>
    <row r="2685" spans="2:4">
      <c r="B2685" s="121">
        <v>43924</v>
      </c>
      <c r="C2685" s="123">
        <v>0.62</v>
      </c>
      <c r="D2685" s="73">
        <f t="shared" si="53"/>
        <v>6.1999999999999998E-3</v>
      </c>
    </row>
    <row r="2686" spans="2:4">
      <c r="B2686" s="121">
        <v>43927</v>
      </c>
      <c r="C2686" s="123">
        <v>0.67</v>
      </c>
      <c r="D2686" s="73">
        <f t="shared" si="53"/>
        <v>6.7000000000000002E-3</v>
      </c>
    </row>
    <row r="2687" spans="2:4">
      <c r="B2687" s="121">
        <v>43928</v>
      </c>
      <c r="C2687" s="123">
        <v>0.75</v>
      </c>
      <c r="D2687" s="73">
        <f t="shared" si="53"/>
        <v>7.4999999999999997E-3</v>
      </c>
    </row>
    <row r="2688" spans="2:4">
      <c r="B2688" s="121">
        <v>43929</v>
      </c>
      <c r="C2688" s="123">
        <v>0.77</v>
      </c>
      <c r="D2688" s="73">
        <f t="shared" si="53"/>
        <v>7.7000000000000002E-3</v>
      </c>
    </row>
    <row r="2689" spans="2:4">
      <c r="B2689" s="121">
        <v>43930</v>
      </c>
      <c r="C2689" s="123">
        <v>0.73</v>
      </c>
      <c r="D2689" s="73">
        <f t="shared" si="53"/>
        <v>7.3000000000000001E-3</v>
      </c>
    </row>
    <row r="2690" spans="2:4">
      <c r="B2690" s="121">
        <v>43931</v>
      </c>
      <c r="C2690" s="123" t="s">
        <v>325</v>
      </c>
      <c r="D2690" s="73">
        <f t="shared" si="53"/>
        <v>7.3000000000000001E-3</v>
      </c>
    </row>
    <row r="2691" spans="2:4">
      <c r="B2691" s="121">
        <v>43934</v>
      </c>
      <c r="C2691" s="123">
        <v>0.76</v>
      </c>
      <c r="D2691" s="73">
        <f t="shared" si="53"/>
        <v>7.6E-3</v>
      </c>
    </row>
    <row r="2692" spans="2:4">
      <c r="B2692" s="121">
        <v>43935</v>
      </c>
      <c r="C2692" s="123">
        <v>0.76</v>
      </c>
      <c r="D2692" s="73">
        <f t="shared" si="53"/>
        <v>7.6E-3</v>
      </c>
    </row>
    <row r="2693" spans="2:4">
      <c r="B2693" s="121">
        <v>43936</v>
      </c>
      <c r="C2693" s="123">
        <v>0.63</v>
      </c>
      <c r="D2693" s="73">
        <f t="shared" si="53"/>
        <v>6.3E-3</v>
      </c>
    </row>
    <row r="2694" spans="2:4">
      <c r="B2694" s="121">
        <v>43937</v>
      </c>
      <c r="C2694" s="123">
        <v>0.61</v>
      </c>
      <c r="D2694" s="73">
        <f t="shared" si="53"/>
        <v>6.0999999999999995E-3</v>
      </c>
    </row>
    <row r="2695" spans="2:4">
      <c r="B2695" s="121">
        <v>43938</v>
      </c>
      <c r="C2695" s="123">
        <v>0.65</v>
      </c>
      <c r="D2695" s="73">
        <f t="shared" si="53"/>
        <v>6.5000000000000006E-3</v>
      </c>
    </row>
    <row r="2696" spans="2:4">
      <c r="B2696" s="121">
        <v>43941</v>
      </c>
      <c r="C2696" s="123">
        <v>0.63</v>
      </c>
      <c r="D2696" s="73">
        <f t="shared" si="53"/>
        <v>6.3E-3</v>
      </c>
    </row>
    <row r="2697" spans="2:4">
      <c r="B2697" s="121">
        <v>43942</v>
      </c>
      <c r="C2697" s="123">
        <v>0.57999999999999996</v>
      </c>
      <c r="D2697" s="73">
        <f t="shared" si="53"/>
        <v>5.7999999999999996E-3</v>
      </c>
    </row>
    <row r="2698" spans="2:4">
      <c r="B2698" s="121">
        <v>43943</v>
      </c>
      <c r="C2698" s="123">
        <v>0.63</v>
      </c>
      <c r="D2698" s="73">
        <f t="shared" si="53"/>
        <v>6.3E-3</v>
      </c>
    </row>
    <row r="2699" spans="2:4">
      <c r="B2699" s="121">
        <v>43944</v>
      </c>
      <c r="C2699" s="123">
        <v>0.61</v>
      </c>
      <c r="D2699" s="73">
        <f t="shared" si="53"/>
        <v>6.0999999999999995E-3</v>
      </c>
    </row>
    <row r="2700" spans="2:4">
      <c r="B2700" s="121">
        <v>43945</v>
      </c>
      <c r="C2700" s="123">
        <v>0.6</v>
      </c>
      <c r="D2700" s="73">
        <f t="shared" si="53"/>
        <v>6.0000000000000001E-3</v>
      </c>
    </row>
    <row r="2701" spans="2:4">
      <c r="B2701" s="121">
        <v>43948</v>
      </c>
      <c r="C2701" s="123">
        <v>0.67</v>
      </c>
      <c r="D2701" s="73">
        <f t="shared" si="53"/>
        <v>6.7000000000000002E-3</v>
      </c>
    </row>
    <row r="2702" spans="2:4">
      <c r="B2702" s="121">
        <v>43949</v>
      </c>
      <c r="C2702" s="123">
        <v>0.62</v>
      </c>
      <c r="D2702" s="73">
        <f t="shared" si="53"/>
        <v>6.1999999999999998E-3</v>
      </c>
    </row>
    <row r="2703" spans="2:4">
      <c r="B2703" s="121">
        <v>43950</v>
      </c>
      <c r="C2703" s="123">
        <v>0.63</v>
      </c>
      <c r="D2703" s="73">
        <f t="shared" si="53"/>
        <v>6.3E-3</v>
      </c>
    </row>
    <row r="2704" spans="2:4">
      <c r="B2704" s="121">
        <v>43951</v>
      </c>
      <c r="C2704" s="123">
        <v>0.64</v>
      </c>
      <c r="D2704" s="73">
        <f t="shared" si="53"/>
        <v>6.4000000000000003E-3</v>
      </c>
    </row>
    <row r="2705" spans="2:4">
      <c r="B2705" s="121">
        <v>43952</v>
      </c>
      <c r="C2705" s="123">
        <v>0.64</v>
      </c>
      <c r="D2705" s="73">
        <f t="shared" si="53"/>
        <v>6.4000000000000003E-3</v>
      </c>
    </row>
    <row r="2706" spans="2:4">
      <c r="B2706" s="121">
        <v>43955</v>
      </c>
      <c r="C2706" s="123">
        <v>0.64</v>
      </c>
      <c r="D2706" s="73">
        <f t="shared" si="53"/>
        <v>6.4000000000000003E-3</v>
      </c>
    </row>
    <row r="2707" spans="2:4">
      <c r="B2707" s="121">
        <v>43956</v>
      </c>
      <c r="C2707" s="123">
        <v>0.66</v>
      </c>
      <c r="D2707" s="73">
        <f t="shared" si="53"/>
        <v>6.6E-3</v>
      </c>
    </row>
    <row r="2708" spans="2:4">
      <c r="B2708" s="121">
        <v>43957</v>
      </c>
      <c r="C2708" s="123">
        <v>0.72</v>
      </c>
      <c r="D2708" s="73">
        <f t="shared" si="53"/>
        <v>7.1999999999999998E-3</v>
      </c>
    </row>
    <row r="2709" spans="2:4">
      <c r="B2709" s="121">
        <v>43958</v>
      </c>
      <c r="C2709" s="123">
        <v>0.63</v>
      </c>
      <c r="D2709" s="73">
        <f t="shared" si="53"/>
        <v>6.3E-3</v>
      </c>
    </row>
    <row r="2710" spans="2:4">
      <c r="B2710" s="121">
        <v>43959</v>
      </c>
      <c r="C2710" s="123">
        <v>0.69</v>
      </c>
      <c r="D2710" s="73">
        <f t="shared" si="53"/>
        <v>6.8999999999999999E-3</v>
      </c>
    </row>
    <row r="2711" spans="2:4">
      <c r="B2711" s="121">
        <v>43962</v>
      </c>
      <c r="C2711" s="123">
        <v>0.73</v>
      </c>
      <c r="D2711" s="73">
        <f t="shared" si="53"/>
        <v>7.3000000000000001E-3</v>
      </c>
    </row>
    <row r="2712" spans="2:4">
      <c r="B2712" s="121">
        <v>43963</v>
      </c>
      <c r="C2712" s="123">
        <v>0.69</v>
      </c>
      <c r="D2712" s="73">
        <f t="shared" si="53"/>
        <v>6.8999999999999999E-3</v>
      </c>
    </row>
    <row r="2713" spans="2:4">
      <c r="B2713" s="121">
        <v>43964</v>
      </c>
      <c r="C2713" s="123">
        <v>0.64</v>
      </c>
      <c r="D2713" s="73">
        <f t="shared" si="53"/>
        <v>6.4000000000000003E-3</v>
      </c>
    </row>
    <row r="2714" spans="2:4">
      <c r="B2714" s="121">
        <v>43965</v>
      </c>
      <c r="C2714" s="123">
        <v>0.63</v>
      </c>
      <c r="D2714" s="73">
        <f t="shared" si="53"/>
        <v>6.3E-3</v>
      </c>
    </row>
    <row r="2715" spans="2:4">
      <c r="B2715" s="121">
        <v>43966</v>
      </c>
      <c r="C2715" s="123">
        <v>0.64</v>
      </c>
      <c r="D2715" s="73">
        <f t="shared" si="53"/>
        <v>6.4000000000000003E-3</v>
      </c>
    </row>
    <row r="2716" spans="2:4">
      <c r="B2716" s="121">
        <v>43969</v>
      </c>
      <c r="C2716" s="123">
        <v>0.73</v>
      </c>
      <c r="D2716" s="73">
        <f t="shared" si="53"/>
        <v>7.3000000000000001E-3</v>
      </c>
    </row>
    <row r="2717" spans="2:4">
      <c r="B2717" s="121">
        <v>43970</v>
      </c>
      <c r="C2717" s="123">
        <v>0.7</v>
      </c>
      <c r="D2717" s="73">
        <f t="shared" si="53"/>
        <v>6.9999999999999993E-3</v>
      </c>
    </row>
    <row r="2718" spans="2:4">
      <c r="B2718" s="121">
        <v>43971</v>
      </c>
      <c r="C2718" s="123">
        <v>0.68</v>
      </c>
      <c r="D2718" s="73">
        <f t="shared" si="53"/>
        <v>6.8000000000000005E-3</v>
      </c>
    </row>
    <row r="2719" spans="2:4">
      <c r="B2719" s="121">
        <v>43972</v>
      </c>
      <c r="C2719" s="123">
        <v>0.68</v>
      </c>
      <c r="D2719" s="73">
        <f t="shared" si="53"/>
        <v>6.8000000000000005E-3</v>
      </c>
    </row>
    <row r="2720" spans="2:4">
      <c r="B2720" s="121">
        <v>43973</v>
      </c>
      <c r="C2720" s="123">
        <v>0.66</v>
      </c>
      <c r="D2720" s="73">
        <f t="shared" si="53"/>
        <v>6.6E-3</v>
      </c>
    </row>
    <row r="2721" spans="2:4">
      <c r="B2721" s="121">
        <v>43976</v>
      </c>
      <c r="C2721" s="123" t="s">
        <v>325</v>
      </c>
      <c r="D2721" s="73">
        <f t="shared" si="53"/>
        <v>6.6E-3</v>
      </c>
    </row>
    <row r="2722" spans="2:4">
      <c r="B2722" s="121">
        <v>43977</v>
      </c>
      <c r="C2722" s="123">
        <v>0.69</v>
      </c>
      <c r="D2722" s="73">
        <f t="shared" si="53"/>
        <v>6.8999999999999999E-3</v>
      </c>
    </row>
    <row r="2723" spans="2:4">
      <c r="B2723" s="121">
        <v>43978</v>
      </c>
      <c r="C2723" s="123">
        <v>0.68</v>
      </c>
      <c r="D2723" s="73">
        <f t="shared" si="53"/>
        <v>6.8000000000000005E-3</v>
      </c>
    </row>
    <row r="2724" spans="2:4">
      <c r="B2724" s="121">
        <v>43979</v>
      </c>
      <c r="C2724" s="123">
        <v>0.7</v>
      </c>
      <c r="D2724" s="73">
        <f t="shared" si="53"/>
        <v>6.9999999999999993E-3</v>
      </c>
    </row>
    <row r="2725" spans="2:4">
      <c r="B2725" s="121">
        <v>43980</v>
      </c>
      <c r="C2725" s="123">
        <v>0.65</v>
      </c>
      <c r="D2725" s="73">
        <f t="shared" si="53"/>
        <v>6.5000000000000006E-3</v>
      </c>
    </row>
    <row r="2726" spans="2:4">
      <c r="B2726" s="121">
        <v>43983</v>
      </c>
      <c r="C2726" s="123">
        <v>0.66</v>
      </c>
      <c r="D2726" s="73">
        <f t="shared" si="53"/>
        <v>6.6E-3</v>
      </c>
    </row>
    <row r="2727" spans="2:4">
      <c r="B2727" s="121">
        <v>43984</v>
      </c>
      <c r="C2727" s="123">
        <v>0.68</v>
      </c>
      <c r="D2727" s="73">
        <f t="shared" si="53"/>
        <v>6.8000000000000005E-3</v>
      </c>
    </row>
    <row r="2728" spans="2:4">
      <c r="B2728" s="121">
        <v>43985</v>
      </c>
      <c r="C2728" s="123">
        <v>0.77</v>
      </c>
      <c r="D2728" s="73">
        <f t="shared" si="53"/>
        <v>7.7000000000000002E-3</v>
      </c>
    </row>
    <row r="2729" spans="2:4">
      <c r="B2729" s="121">
        <v>43986</v>
      </c>
      <c r="C2729" s="123">
        <v>0.82</v>
      </c>
      <c r="D2729" s="73">
        <f t="shared" si="53"/>
        <v>8.199999999999999E-3</v>
      </c>
    </row>
    <row r="2730" spans="2:4">
      <c r="B2730" s="121">
        <v>43987</v>
      </c>
      <c r="C2730" s="123">
        <v>0.91</v>
      </c>
      <c r="D2730" s="73">
        <f t="shared" si="53"/>
        <v>9.1000000000000004E-3</v>
      </c>
    </row>
    <row r="2731" spans="2:4">
      <c r="B2731" s="121">
        <v>43990</v>
      </c>
      <c r="C2731" s="123">
        <v>0.88</v>
      </c>
      <c r="D2731" s="73">
        <f t="shared" si="53"/>
        <v>8.8000000000000005E-3</v>
      </c>
    </row>
    <row r="2732" spans="2:4">
      <c r="B2732" s="121">
        <v>43991</v>
      </c>
      <c r="C2732" s="123">
        <v>0.84</v>
      </c>
      <c r="D2732" s="73">
        <f t="shared" si="53"/>
        <v>8.3999999999999995E-3</v>
      </c>
    </row>
    <row r="2733" spans="2:4">
      <c r="B2733" s="121">
        <v>43992</v>
      </c>
      <c r="C2733" s="123">
        <v>0.75</v>
      </c>
      <c r="D2733" s="73">
        <f t="shared" si="53"/>
        <v>7.4999999999999997E-3</v>
      </c>
    </row>
    <row r="2734" spans="2:4">
      <c r="B2734" s="121">
        <v>43993</v>
      </c>
      <c r="C2734" s="123">
        <v>0.66</v>
      </c>
      <c r="D2734" s="73">
        <f t="shared" si="53"/>
        <v>6.6E-3</v>
      </c>
    </row>
    <row r="2735" spans="2:4">
      <c r="B2735" s="121">
        <v>43994</v>
      </c>
      <c r="C2735" s="123">
        <v>0.71</v>
      </c>
      <c r="D2735" s="73">
        <f t="shared" si="53"/>
        <v>7.0999999999999995E-3</v>
      </c>
    </row>
    <row r="2736" spans="2:4">
      <c r="B2736" s="121">
        <v>43997</v>
      </c>
      <c r="C2736" s="123">
        <v>0.71</v>
      </c>
      <c r="D2736" s="73">
        <f t="shared" si="53"/>
        <v>7.0999999999999995E-3</v>
      </c>
    </row>
    <row r="2737" spans="2:4">
      <c r="B2737" s="121">
        <v>43998</v>
      </c>
      <c r="C2737" s="123">
        <v>0.75</v>
      </c>
      <c r="D2737" s="73">
        <f t="shared" si="53"/>
        <v>7.4999999999999997E-3</v>
      </c>
    </row>
    <row r="2738" spans="2:4">
      <c r="B2738" s="121">
        <v>43999</v>
      </c>
      <c r="C2738" s="123">
        <v>0.74</v>
      </c>
      <c r="D2738" s="73">
        <f t="shared" si="53"/>
        <v>7.4000000000000003E-3</v>
      </c>
    </row>
    <row r="2739" spans="2:4">
      <c r="B2739" s="121">
        <v>44000</v>
      </c>
      <c r="C2739" s="123">
        <v>0.71</v>
      </c>
      <c r="D2739" s="73">
        <f t="shared" si="53"/>
        <v>7.0999999999999995E-3</v>
      </c>
    </row>
    <row r="2740" spans="2:4">
      <c r="B2740" s="121">
        <v>44001</v>
      </c>
      <c r="C2740" s="123">
        <v>0.7</v>
      </c>
      <c r="D2740" s="73">
        <f t="shared" si="53"/>
        <v>6.9999999999999993E-3</v>
      </c>
    </row>
    <row r="2741" spans="2:4">
      <c r="B2741" s="121">
        <v>44004</v>
      </c>
      <c r="C2741" s="123">
        <v>0.71</v>
      </c>
      <c r="D2741" s="73">
        <f t="shared" si="53"/>
        <v>7.0999999999999995E-3</v>
      </c>
    </row>
    <row r="2742" spans="2:4">
      <c r="B2742" s="121">
        <v>44005</v>
      </c>
      <c r="C2742" s="123">
        <v>0.72</v>
      </c>
      <c r="D2742" s="73">
        <f t="shared" si="53"/>
        <v>7.1999999999999998E-3</v>
      </c>
    </row>
    <row r="2743" spans="2:4">
      <c r="B2743" s="121">
        <v>44006</v>
      </c>
      <c r="C2743" s="123">
        <v>0.69</v>
      </c>
      <c r="D2743" s="73">
        <f t="shared" si="53"/>
        <v>6.8999999999999999E-3</v>
      </c>
    </row>
    <row r="2744" spans="2:4">
      <c r="B2744" s="121">
        <v>44007</v>
      </c>
      <c r="C2744" s="123">
        <v>0.68</v>
      </c>
      <c r="D2744" s="73">
        <f t="shared" si="53"/>
        <v>6.8000000000000005E-3</v>
      </c>
    </row>
    <row r="2745" spans="2:4">
      <c r="B2745" s="121">
        <v>44008</v>
      </c>
      <c r="C2745" s="123">
        <v>0.64</v>
      </c>
      <c r="D2745" s="73">
        <f t="shared" si="53"/>
        <v>6.4000000000000003E-3</v>
      </c>
    </row>
    <row r="2746" spans="2:4">
      <c r="B2746" s="121">
        <v>44011</v>
      </c>
      <c r="C2746" s="123">
        <v>0.64</v>
      </c>
      <c r="D2746" s="73">
        <f t="shared" si="53"/>
        <v>6.4000000000000003E-3</v>
      </c>
    </row>
    <row r="2747" spans="2:4">
      <c r="B2747" s="121">
        <v>44012</v>
      </c>
      <c r="C2747" s="123">
        <v>0.66</v>
      </c>
      <c r="D2747" s="73">
        <f t="shared" ref="D2747:D2751" si="54">IF( LEN( C2747 ) = 0, #N/A, IF( C2747 = "ND", D2746, C2747 / 100 ) )</f>
        <v>6.6E-3</v>
      </c>
    </row>
    <row r="2748" spans="2:4">
      <c r="B2748" s="121">
        <v>44013</v>
      </c>
      <c r="C2748" s="123">
        <v>0.69</v>
      </c>
      <c r="D2748" s="73">
        <f t="shared" si="54"/>
        <v>6.8999999999999999E-3</v>
      </c>
    </row>
    <row r="2749" spans="2:4">
      <c r="B2749" s="121">
        <v>44014</v>
      </c>
      <c r="C2749" s="123">
        <v>0.68</v>
      </c>
      <c r="D2749" s="73">
        <f t="shared" si="54"/>
        <v>6.8000000000000005E-3</v>
      </c>
    </row>
    <row r="2750" spans="2:4">
      <c r="B2750" s="121">
        <v>44015</v>
      </c>
      <c r="C2750" s="123" t="s">
        <v>325</v>
      </c>
      <c r="D2750" s="73">
        <f t="shared" si="54"/>
        <v>6.8000000000000005E-3</v>
      </c>
    </row>
    <row r="2751" spans="2:4">
      <c r="B2751" s="121">
        <v>44018</v>
      </c>
      <c r="C2751" s="123">
        <v>0.69</v>
      </c>
      <c r="D2751" s="73">
        <f t="shared" si="54"/>
        <v>6.8999999999999999E-3</v>
      </c>
    </row>
    <row r="2752" spans="2:4">
      <c r="B2752" s="121">
        <v>44019</v>
      </c>
      <c r="C2752" s="123">
        <v>0.65</v>
      </c>
      <c r="D2752" s="73">
        <f t="shared" ref="D2752:D2756" si="55">IF( LEN( C2752 ) = 0, #N/A, IF( C2752 = "ND", D2751, C2752 / 100 ) )</f>
        <v>6.5000000000000006E-3</v>
      </c>
    </row>
    <row r="2753" spans="2:4">
      <c r="B2753" s="121">
        <v>44020</v>
      </c>
      <c r="C2753" s="123">
        <v>0.67</v>
      </c>
      <c r="D2753" s="73">
        <f t="shared" si="55"/>
        <v>6.7000000000000002E-3</v>
      </c>
    </row>
    <row r="2754" spans="2:4">
      <c r="B2754" s="121">
        <v>44021</v>
      </c>
      <c r="C2754" s="123">
        <v>0.62</v>
      </c>
      <c r="D2754" s="73">
        <f t="shared" si="55"/>
        <v>6.1999999999999998E-3</v>
      </c>
    </row>
    <row r="2755" spans="2:4">
      <c r="B2755" s="121">
        <v>44022</v>
      </c>
      <c r="C2755" s="123">
        <v>0.65</v>
      </c>
      <c r="D2755" s="73">
        <f t="shared" si="55"/>
        <v>6.5000000000000006E-3</v>
      </c>
    </row>
    <row r="2756" spans="2:4">
      <c r="B2756" s="121">
        <v>44025</v>
      </c>
      <c r="C2756" s="123">
        <v>0.64</v>
      </c>
      <c r="D2756" s="73">
        <f t="shared" si="55"/>
        <v>6.4000000000000003E-3</v>
      </c>
    </row>
    <row r="2757" spans="2:4">
      <c r="B2757" s="121">
        <v>44026</v>
      </c>
      <c r="C2757" s="123">
        <v>0.63</v>
      </c>
      <c r="D2757" s="73">
        <f t="shared" ref="D2757:D2766" si="56">IF( LEN( C2757 ) = 0, #N/A, IF( C2757 = "ND", D2756, C2757 / 100 ) )</f>
        <v>6.3E-3</v>
      </c>
    </row>
    <row r="2758" spans="2:4">
      <c r="B2758" s="121">
        <v>44027</v>
      </c>
      <c r="C2758" s="123">
        <v>0.64</v>
      </c>
      <c r="D2758" s="73">
        <f t="shared" si="56"/>
        <v>6.4000000000000003E-3</v>
      </c>
    </row>
    <row r="2759" spans="2:4">
      <c r="B2759" s="121">
        <v>44028</v>
      </c>
      <c r="C2759" s="123">
        <v>0.62</v>
      </c>
      <c r="D2759" s="73">
        <f t="shared" si="56"/>
        <v>6.1999999999999998E-3</v>
      </c>
    </row>
    <row r="2760" spans="2:4">
      <c r="B2760" s="121">
        <v>44029</v>
      </c>
      <c r="C2760" s="123">
        <v>0.64</v>
      </c>
      <c r="D2760" s="73">
        <f t="shared" si="56"/>
        <v>6.4000000000000003E-3</v>
      </c>
    </row>
    <row r="2761" spans="2:4">
      <c r="B2761" s="121">
        <v>44032</v>
      </c>
      <c r="C2761" s="123">
        <v>0.62</v>
      </c>
      <c r="D2761" s="73">
        <f t="shared" si="56"/>
        <v>6.1999999999999998E-3</v>
      </c>
    </row>
    <row r="2762" spans="2:4">
      <c r="B2762" s="121">
        <v>44033</v>
      </c>
      <c r="C2762" s="123">
        <v>0.61</v>
      </c>
      <c r="D2762" s="73">
        <f t="shared" si="56"/>
        <v>6.0999999999999995E-3</v>
      </c>
    </row>
    <row r="2763" spans="2:4">
      <c r="B2763" s="121">
        <v>44034</v>
      </c>
      <c r="C2763" s="123">
        <v>0.6</v>
      </c>
      <c r="D2763" s="73">
        <f t="shared" si="56"/>
        <v>6.0000000000000001E-3</v>
      </c>
    </row>
    <row r="2764" spans="2:4">
      <c r="B2764" s="121">
        <v>44035</v>
      </c>
      <c r="C2764" s="123">
        <v>0.59</v>
      </c>
      <c r="D2764" s="73">
        <f t="shared" si="56"/>
        <v>5.8999999999999999E-3</v>
      </c>
    </row>
    <row r="2765" spans="2:4">
      <c r="B2765" s="121">
        <v>44036</v>
      </c>
      <c r="C2765" s="123">
        <v>0.59</v>
      </c>
      <c r="D2765" s="73">
        <f t="shared" si="56"/>
        <v>5.8999999999999999E-3</v>
      </c>
    </row>
    <row r="2766" spans="2:4">
      <c r="B2766" s="121">
        <v>44039</v>
      </c>
      <c r="C2766" s="123">
        <v>0.62</v>
      </c>
      <c r="D2766" s="73">
        <f t="shared" si="56"/>
        <v>6.1999999999999998E-3</v>
      </c>
    </row>
    <row r="2767" spans="2:4">
      <c r="B2767" s="121">
        <v>44040</v>
      </c>
      <c r="C2767" s="123">
        <v>0.59</v>
      </c>
      <c r="D2767" s="73">
        <f t="shared" ref="D2767:D2786" si="57">IF( LEN( C2767 ) = 0, #N/A, IF( C2767 = "ND", D2766, C2767 / 100 ) )</f>
        <v>5.8999999999999999E-3</v>
      </c>
    </row>
    <row r="2768" spans="2:4">
      <c r="B2768" s="121">
        <v>44041</v>
      </c>
      <c r="C2768" s="123">
        <v>0.57999999999999996</v>
      </c>
      <c r="D2768" s="73">
        <f t="shared" si="57"/>
        <v>5.7999999999999996E-3</v>
      </c>
    </row>
    <row r="2769" spans="2:4">
      <c r="B2769" s="121">
        <v>44042</v>
      </c>
      <c r="C2769" s="123">
        <v>0.55000000000000004</v>
      </c>
      <c r="D2769" s="73">
        <f t="shared" si="57"/>
        <v>5.5000000000000005E-3</v>
      </c>
    </row>
    <row r="2770" spans="2:4">
      <c r="B2770" s="121">
        <v>44043</v>
      </c>
      <c r="C2770" s="123">
        <v>0.55000000000000004</v>
      </c>
      <c r="D2770" s="73">
        <f t="shared" si="57"/>
        <v>5.5000000000000005E-3</v>
      </c>
    </row>
    <row r="2771" spans="2:4">
      <c r="B2771" s="121">
        <v>44046</v>
      </c>
      <c r="C2771" s="123">
        <v>0.56000000000000005</v>
      </c>
      <c r="D2771" s="73">
        <f t="shared" si="57"/>
        <v>5.6000000000000008E-3</v>
      </c>
    </row>
    <row r="2772" spans="2:4">
      <c r="B2772" s="121">
        <v>44047</v>
      </c>
      <c r="C2772" s="123">
        <v>0.52</v>
      </c>
      <c r="D2772" s="73">
        <f t="shared" si="57"/>
        <v>5.1999999999999998E-3</v>
      </c>
    </row>
    <row r="2773" spans="2:4">
      <c r="B2773" s="121">
        <v>44048</v>
      </c>
      <c r="C2773" s="123">
        <v>0.55000000000000004</v>
      </c>
      <c r="D2773" s="73">
        <f t="shared" si="57"/>
        <v>5.5000000000000005E-3</v>
      </c>
    </row>
    <row r="2774" spans="2:4">
      <c r="B2774" s="121">
        <v>44049</v>
      </c>
      <c r="C2774" s="123">
        <v>0.55000000000000004</v>
      </c>
      <c r="D2774" s="73">
        <f t="shared" si="57"/>
        <v>5.5000000000000005E-3</v>
      </c>
    </row>
    <row r="2775" spans="2:4">
      <c r="B2775" s="121">
        <v>44050</v>
      </c>
      <c r="C2775" s="123">
        <v>0.56999999999999995</v>
      </c>
      <c r="D2775" s="73">
        <f t="shared" si="57"/>
        <v>5.6999999999999993E-3</v>
      </c>
    </row>
    <row r="2776" spans="2:4">
      <c r="B2776" s="121">
        <v>44053</v>
      </c>
      <c r="C2776" s="123">
        <v>0.59</v>
      </c>
      <c r="D2776" s="73">
        <f t="shared" si="57"/>
        <v>5.8999999999999999E-3</v>
      </c>
    </row>
    <row r="2777" spans="2:4">
      <c r="B2777" s="121">
        <v>44054</v>
      </c>
      <c r="C2777" s="123">
        <v>0.64</v>
      </c>
      <c r="D2777" s="73">
        <f t="shared" si="57"/>
        <v>6.4000000000000003E-3</v>
      </c>
    </row>
    <row r="2778" spans="2:4">
      <c r="B2778" s="121">
        <v>44055</v>
      </c>
      <c r="C2778" s="123">
        <v>0.69</v>
      </c>
      <c r="D2778" s="73">
        <f t="shared" si="57"/>
        <v>6.8999999999999999E-3</v>
      </c>
    </row>
    <row r="2779" spans="2:4">
      <c r="B2779" s="121">
        <v>44056</v>
      </c>
      <c r="C2779" s="123">
        <v>0.71</v>
      </c>
      <c r="D2779" s="73">
        <f t="shared" si="57"/>
        <v>7.0999999999999995E-3</v>
      </c>
    </row>
    <row r="2780" spans="2:4">
      <c r="B2780" s="121">
        <v>44057</v>
      </c>
      <c r="C2780" s="123">
        <v>0.71</v>
      </c>
      <c r="D2780" s="73">
        <f t="shared" si="57"/>
        <v>7.0999999999999995E-3</v>
      </c>
    </row>
    <row r="2781" spans="2:4">
      <c r="B2781" s="121">
        <v>44060</v>
      </c>
      <c r="C2781" s="123">
        <v>0.69</v>
      </c>
      <c r="D2781" s="73">
        <f t="shared" si="57"/>
        <v>6.8999999999999999E-3</v>
      </c>
    </row>
    <row r="2782" spans="2:4">
      <c r="B2782" s="121">
        <v>44061</v>
      </c>
      <c r="C2782" s="123">
        <v>0.67</v>
      </c>
      <c r="D2782" s="73">
        <f t="shared" si="57"/>
        <v>6.7000000000000002E-3</v>
      </c>
    </row>
    <row r="2783" spans="2:4">
      <c r="B2783" s="121">
        <v>44062</v>
      </c>
      <c r="C2783" s="123">
        <v>0.68</v>
      </c>
      <c r="D2783" s="73">
        <f t="shared" si="57"/>
        <v>6.8000000000000005E-3</v>
      </c>
    </row>
    <row r="2784" spans="2:4">
      <c r="B2784" s="121">
        <v>44063</v>
      </c>
      <c r="C2784" s="123">
        <v>0.65</v>
      </c>
      <c r="D2784" s="73">
        <f t="shared" si="57"/>
        <v>6.5000000000000006E-3</v>
      </c>
    </row>
    <row r="2785" spans="2:4">
      <c r="B2785" s="121">
        <v>44064</v>
      </c>
      <c r="C2785" s="123">
        <v>0.64</v>
      </c>
      <c r="D2785" s="73">
        <f t="shared" si="57"/>
        <v>6.4000000000000003E-3</v>
      </c>
    </row>
    <row r="2786" spans="2:4">
      <c r="B2786" s="121">
        <v>44067</v>
      </c>
      <c r="C2786" s="123">
        <v>0.65</v>
      </c>
      <c r="D2786" s="73">
        <f t="shared" si="57"/>
        <v>6.5000000000000006E-3</v>
      </c>
    </row>
    <row r="2787" spans="2:4">
      <c r="B2787" s="121">
        <v>44068</v>
      </c>
      <c r="C2787" s="123">
        <v>0.69</v>
      </c>
      <c r="D2787" s="73">
        <f t="shared" ref="D2787:D2814" si="58">IF( LEN( C2787 ) = 0, #N/A, IF( C2787 = "ND", D2786, C2787 / 100 ) )</f>
        <v>6.8999999999999999E-3</v>
      </c>
    </row>
    <row r="2788" spans="2:4">
      <c r="B2788" s="121">
        <v>44069</v>
      </c>
      <c r="C2788" s="123">
        <v>0.69</v>
      </c>
      <c r="D2788" s="73">
        <f t="shared" si="58"/>
        <v>6.8999999999999999E-3</v>
      </c>
    </row>
    <row r="2789" spans="2:4">
      <c r="B2789" s="121">
        <v>44070</v>
      </c>
      <c r="C2789" s="123">
        <v>0.74</v>
      </c>
      <c r="D2789" s="73">
        <f t="shared" si="58"/>
        <v>7.4000000000000003E-3</v>
      </c>
    </row>
    <row r="2790" spans="2:4">
      <c r="B2790" s="121">
        <v>44071</v>
      </c>
      <c r="C2790" s="123">
        <v>0.74</v>
      </c>
      <c r="D2790" s="73">
        <f t="shared" si="58"/>
        <v>7.4000000000000003E-3</v>
      </c>
    </row>
    <row r="2791" spans="2:4">
      <c r="B2791" s="121">
        <v>44074</v>
      </c>
      <c r="C2791" s="123">
        <v>0.72</v>
      </c>
      <c r="D2791" s="73">
        <f t="shared" si="58"/>
        <v>7.1999999999999998E-3</v>
      </c>
    </row>
    <row r="2792" spans="2:4">
      <c r="B2792" s="121">
        <v>44075</v>
      </c>
      <c r="C2792" s="123">
        <v>0.68</v>
      </c>
      <c r="D2792" s="73">
        <f t="shared" si="58"/>
        <v>6.8000000000000005E-3</v>
      </c>
    </row>
    <row r="2793" spans="2:4">
      <c r="B2793" s="121">
        <v>44076</v>
      </c>
      <c r="C2793" s="123">
        <v>0.66</v>
      </c>
      <c r="D2793" s="73">
        <f t="shared" si="58"/>
        <v>6.6E-3</v>
      </c>
    </row>
    <row r="2794" spans="2:4">
      <c r="B2794" s="121">
        <v>44077</v>
      </c>
      <c r="C2794" s="123">
        <v>0.63</v>
      </c>
      <c r="D2794" s="73">
        <f t="shared" si="58"/>
        <v>6.3E-3</v>
      </c>
    </row>
    <row r="2795" spans="2:4">
      <c r="B2795" s="121">
        <v>44078</v>
      </c>
      <c r="C2795" s="123">
        <v>0.72</v>
      </c>
      <c r="D2795" s="73">
        <f t="shared" si="58"/>
        <v>7.1999999999999998E-3</v>
      </c>
    </row>
    <row r="2796" spans="2:4">
      <c r="B2796" s="121">
        <v>44081</v>
      </c>
      <c r="C2796" s="123" t="s">
        <v>325</v>
      </c>
      <c r="D2796" s="73">
        <f t="shared" si="58"/>
        <v>7.1999999999999998E-3</v>
      </c>
    </row>
    <row r="2797" spans="2:4">
      <c r="B2797" s="121">
        <v>44082</v>
      </c>
      <c r="C2797" s="123">
        <v>0.69</v>
      </c>
      <c r="D2797" s="73">
        <f t="shared" si="58"/>
        <v>6.8999999999999999E-3</v>
      </c>
    </row>
    <row r="2798" spans="2:4">
      <c r="B2798" s="121">
        <v>44083</v>
      </c>
      <c r="C2798" s="123">
        <v>0.71</v>
      </c>
      <c r="D2798" s="73">
        <f t="shared" si="58"/>
        <v>7.0999999999999995E-3</v>
      </c>
    </row>
    <row r="2799" spans="2:4">
      <c r="B2799" s="121">
        <v>44084</v>
      </c>
      <c r="C2799" s="123">
        <v>0.68</v>
      </c>
      <c r="D2799" s="73">
        <f t="shared" si="58"/>
        <v>6.8000000000000005E-3</v>
      </c>
    </row>
    <row r="2800" spans="2:4">
      <c r="B2800" s="121">
        <v>44085</v>
      </c>
      <c r="C2800" s="123">
        <v>0.67</v>
      </c>
      <c r="D2800" s="73">
        <f t="shared" si="58"/>
        <v>6.7000000000000002E-3</v>
      </c>
    </row>
    <row r="2801" spans="2:4">
      <c r="B2801" s="121">
        <v>44088</v>
      </c>
      <c r="C2801" s="123">
        <v>0.68</v>
      </c>
      <c r="D2801" s="73">
        <f t="shared" si="58"/>
        <v>6.8000000000000005E-3</v>
      </c>
    </row>
    <row r="2802" spans="2:4">
      <c r="B2802" s="121">
        <v>44089</v>
      </c>
      <c r="C2802" s="123">
        <v>0.68</v>
      </c>
      <c r="D2802" s="73">
        <f t="shared" si="58"/>
        <v>6.8000000000000005E-3</v>
      </c>
    </row>
    <row r="2803" spans="2:4">
      <c r="B2803" s="121">
        <v>44090</v>
      </c>
      <c r="C2803" s="123">
        <v>0.69</v>
      </c>
      <c r="D2803" s="73">
        <f t="shared" si="58"/>
        <v>6.8999999999999999E-3</v>
      </c>
    </row>
    <row r="2804" spans="2:4">
      <c r="B2804" s="121">
        <v>44091</v>
      </c>
      <c r="C2804" s="123">
        <v>0.69</v>
      </c>
      <c r="D2804" s="73">
        <f t="shared" si="58"/>
        <v>6.8999999999999999E-3</v>
      </c>
    </row>
    <row r="2805" spans="2:4">
      <c r="B2805" s="121">
        <v>44092</v>
      </c>
      <c r="C2805" s="123">
        <v>0.7</v>
      </c>
      <c r="D2805" s="73">
        <f t="shared" si="58"/>
        <v>6.9999999999999993E-3</v>
      </c>
    </row>
    <row r="2806" spans="2:4">
      <c r="B2806" s="121">
        <v>44095</v>
      </c>
      <c r="C2806" s="123">
        <v>0.68</v>
      </c>
      <c r="D2806" s="73">
        <f t="shared" si="58"/>
        <v>6.8000000000000005E-3</v>
      </c>
    </row>
    <row r="2807" spans="2:4">
      <c r="B2807" s="121">
        <v>44096</v>
      </c>
      <c r="C2807" s="123">
        <v>0.68</v>
      </c>
      <c r="D2807" s="73">
        <f t="shared" si="58"/>
        <v>6.8000000000000005E-3</v>
      </c>
    </row>
    <row r="2808" spans="2:4">
      <c r="B2808" s="121">
        <v>44097</v>
      </c>
      <c r="C2808" s="123">
        <v>0.68</v>
      </c>
      <c r="D2808" s="73">
        <f t="shared" si="58"/>
        <v>6.8000000000000005E-3</v>
      </c>
    </row>
    <row r="2809" spans="2:4">
      <c r="B2809" s="121">
        <v>44098</v>
      </c>
      <c r="C2809" s="123">
        <v>0.67</v>
      </c>
      <c r="D2809" s="73">
        <f t="shared" si="58"/>
        <v>6.7000000000000002E-3</v>
      </c>
    </row>
    <row r="2810" spans="2:4">
      <c r="B2810" s="121">
        <v>44099</v>
      </c>
      <c r="C2810" s="123">
        <v>0.66</v>
      </c>
      <c r="D2810" s="73">
        <f t="shared" si="58"/>
        <v>6.6E-3</v>
      </c>
    </row>
    <row r="2811" spans="2:4">
      <c r="B2811" s="121">
        <v>44102</v>
      </c>
      <c r="C2811" s="123">
        <v>0.67</v>
      </c>
      <c r="D2811" s="73">
        <f t="shared" si="58"/>
        <v>6.7000000000000002E-3</v>
      </c>
    </row>
    <row r="2812" spans="2:4">
      <c r="B2812" s="121">
        <v>44103</v>
      </c>
      <c r="C2812" s="123">
        <v>0.66</v>
      </c>
      <c r="D2812" s="73">
        <f t="shared" si="58"/>
        <v>6.6E-3</v>
      </c>
    </row>
    <row r="2813" spans="2:4">
      <c r="B2813" s="121">
        <v>44104</v>
      </c>
      <c r="C2813" s="123">
        <v>0.69</v>
      </c>
      <c r="D2813" s="73">
        <f t="shared" si="58"/>
        <v>6.8999999999999999E-3</v>
      </c>
    </row>
    <row r="2814" spans="2:4">
      <c r="B2814" s="121">
        <v>44105</v>
      </c>
      <c r="C2814" s="123">
        <v>0.68</v>
      </c>
      <c r="D2814" s="73">
        <f t="shared" si="58"/>
        <v>6.8000000000000005E-3</v>
      </c>
    </row>
    <row r="2815" spans="2:4">
      <c r="B2815" s="121">
        <v>44106</v>
      </c>
      <c r="C2815" s="123">
        <v>0.7</v>
      </c>
      <c r="D2815" s="73">
        <f t="shared" ref="D2815:D2864" si="59">IF( LEN( C2815 ) = 0, #N/A, IF( C2815 = "ND", D2814, C2815 / 100 ) )</f>
        <v>6.9999999999999993E-3</v>
      </c>
    </row>
    <row r="2816" spans="2:4">
      <c r="B2816" s="121">
        <v>44109</v>
      </c>
      <c r="C2816" s="123">
        <v>0.78</v>
      </c>
      <c r="D2816" s="73">
        <f t="shared" si="59"/>
        <v>7.8000000000000005E-3</v>
      </c>
    </row>
    <row r="2817" spans="2:4">
      <c r="B2817" s="121">
        <v>44110</v>
      </c>
      <c r="C2817" s="123">
        <v>0.76</v>
      </c>
      <c r="D2817" s="73">
        <f t="shared" si="59"/>
        <v>7.6E-3</v>
      </c>
    </row>
    <row r="2818" spans="2:4">
      <c r="B2818" s="121">
        <v>44111</v>
      </c>
      <c r="C2818" s="123">
        <v>0.81</v>
      </c>
      <c r="D2818" s="73">
        <f t="shared" si="59"/>
        <v>8.1000000000000013E-3</v>
      </c>
    </row>
    <row r="2819" spans="2:4">
      <c r="B2819" s="121">
        <v>44112</v>
      </c>
      <c r="C2819" s="123">
        <v>0.78</v>
      </c>
      <c r="D2819" s="73">
        <f t="shared" si="59"/>
        <v>7.8000000000000005E-3</v>
      </c>
    </row>
    <row r="2820" spans="2:4">
      <c r="B2820" s="121">
        <v>44113</v>
      </c>
      <c r="C2820" s="123">
        <v>0.79</v>
      </c>
      <c r="D2820" s="73">
        <f t="shared" si="59"/>
        <v>7.9000000000000008E-3</v>
      </c>
    </row>
    <row r="2821" spans="2:4">
      <c r="B2821" s="121">
        <v>44116</v>
      </c>
      <c r="C2821" s="123" t="s">
        <v>325</v>
      </c>
      <c r="D2821" s="73">
        <f t="shared" si="59"/>
        <v>7.9000000000000008E-3</v>
      </c>
    </row>
    <row r="2822" spans="2:4">
      <c r="B2822" s="121">
        <v>44117</v>
      </c>
      <c r="C2822" s="123">
        <v>0.74</v>
      </c>
      <c r="D2822" s="73">
        <f t="shared" si="59"/>
        <v>7.4000000000000003E-3</v>
      </c>
    </row>
    <row r="2823" spans="2:4">
      <c r="B2823" s="121">
        <v>44118</v>
      </c>
      <c r="C2823" s="123">
        <v>0.73</v>
      </c>
      <c r="D2823" s="73">
        <f t="shared" si="59"/>
        <v>7.3000000000000001E-3</v>
      </c>
    </row>
    <row r="2824" spans="2:4">
      <c r="B2824" s="121">
        <v>44119</v>
      </c>
      <c r="C2824" s="123">
        <v>0.74</v>
      </c>
      <c r="D2824" s="73">
        <f t="shared" si="59"/>
        <v>7.4000000000000003E-3</v>
      </c>
    </row>
    <row r="2825" spans="2:4">
      <c r="B2825" s="121">
        <v>44120</v>
      </c>
      <c r="C2825" s="123">
        <v>0.76</v>
      </c>
      <c r="D2825" s="73">
        <f t="shared" si="59"/>
        <v>7.6E-3</v>
      </c>
    </row>
    <row r="2826" spans="2:4">
      <c r="B2826" s="121">
        <v>44123</v>
      </c>
      <c r="C2826" s="123">
        <v>0.78</v>
      </c>
      <c r="D2826" s="73">
        <f t="shared" si="59"/>
        <v>7.8000000000000005E-3</v>
      </c>
    </row>
    <row r="2827" spans="2:4">
      <c r="B2827" s="121">
        <v>44124</v>
      </c>
      <c r="C2827" s="123">
        <v>0.81</v>
      </c>
      <c r="D2827" s="73">
        <f t="shared" si="59"/>
        <v>8.1000000000000013E-3</v>
      </c>
    </row>
    <row r="2828" spans="2:4">
      <c r="B2828" s="121">
        <v>44125</v>
      </c>
      <c r="C2828" s="123">
        <v>0.83</v>
      </c>
      <c r="D2828" s="73">
        <f t="shared" si="59"/>
        <v>8.3000000000000001E-3</v>
      </c>
    </row>
    <row r="2829" spans="2:4">
      <c r="B2829" s="121">
        <v>44126</v>
      </c>
      <c r="C2829" s="123">
        <v>0.87</v>
      </c>
      <c r="D2829" s="73">
        <f t="shared" si="59"/>
        <v>8.6999999999999994E-3</v>
      </c>
    </row>
    <row r="2830" spans="2:4">
      <c r="B2830" s="121">
        <v>44127</v>
      </c>
      <c r="C2830" s="123">
        <v>0.85</v>
      </c>
      <c r="D2830" s="73">
        <f t="shared" si="59"/>
        <v>8.5000000000000006E-3</v>
      </c>
    </row>
    <row r="2831" spans="2:4">
      <c r="B2831" s="121">
        <v>44130</v>
      </c>
      <c r="C2831" s="123">
        <v>0.81</v>
      </c>
      <c r="D2831" s="73">
        <f t="shared" si="59"/>
        <v>8.1000000000000013E-3</v>
      </c>
    </row>
    <row r="2832" spans="2:4">
      <c r="B2832" s="121">
        <v>44131</v>
      </c>
      <c r="C2832" s="123">
        <v>0.79</v>
      </c>
      <c r="D2832" s="73">
        <f t="shared" si="59"/>
        <v>7.9000000000000008E-3</v>
      </c>
    </row>
    <row r="2833" spans="2:4">
      <c r="B2833" s="121">
        <v>44132</v>
      </c>
      <c r="C2833" s="123">
        <v>0.79</v>
      </c>
      <c r="D2833" s="73">
        <f t="shared" si="59"/>
        <v>7.9000000000000008E-3</v>
      </c>
    </row>
    <row r="2834" spans="2:4">
      <c r="B2834" s="121">
        <v>44133</v>
      </c>
      <c r="C2834" s="123">
        <v>0.85</v>
      </c>
      <c r="D2834" s="73">
        <f t="shared" si="59"/>
        <v>8.5000000000000006E-3</v>
      </c>
    </row>
    <row r="2835" spans="2:4">
      <c r="B2835" s="121">
        <v>44134</v>
      </c>
      <c r="C2835" s="123">
        <v>0.88</v>
      </c>
      <c r="D2835" s="73">
        <f t="shared" si="59"/>
        <v>8.8000000000000005E-3</v>
      </c>
    </row>
    <row r="2836" spans="2:4">
      <c r="B2836" s="121">
        <v>44137</v>
      </c>
      <c r="C2836" s="123">
        <v>0.87</v>
      </c>
      <c r="D2836" s="73">
        <f t="shared" si="59"/>
        <v>8.6999999999999994E-3</v>
      </c>
    </row>
    <row r="2837" spans="2:4">
      <c r="B2837" s="121">
        <v>44138</v>
      </c>
      <c r="C2837" s="123">
        <v>0.9</v>
      </c>
      <c r="D2837" s="73">
        <f t="shared" si="59"/>
        <v>9.0000000000000011E-3</v>
      </c>
    </row>
    <row r="2838" spans="2:4">
      <c r="B2838" s="121">
        <v>44139</v>
      </c>
      <c r="C2838" s="123">
        <v>0.78</v>
      </c>
      <c r="D2838" s="73">
        <f t="shared" si="59"/>
        <v>7.8000000000000005E-3</v>
      </c>
    </row>
    <row r="2839" spans="2:4">
      <c r="B2839" s="121">
        <v>44140</v>
      </c>
      <c r="C2839" s="123">
        <v>0.79</v>
      </c>
      <c r="D2839" s="73">
        <f t="shared" si="59"/>
        <v>7.9000000000000008E-3</v>
      </c>
    </row>
    <row r="2840" spans="2:4">
      <c r="B2840" s="121">
        <v>44141</v>
      </c>
      <c r="C2840" s="123">
        <v>0.83</v>
      </c>
      <c r="D2840" s="73">
        <f t="shared" si="59"/>
        <v>8.3000000000000001E-3</v>
      </c>
    </row>
    <row r="2841" spans="2:4">
      <c r="B2841" s="121">
        <v>44144</v>
      </c>
      <c r="C2841" s="123">
        <v>0.96</v>
      </c>
      <c r="D2841" s="73">
        <f t="shared" si="59"/>
        <v>9.5999999999999992E-3</v>
      </c>
    </row>
    <row r="2842" spans="2:4">
      <c r="B2842" s="121">
        <v>44145</v>
      </c>
      <c r="C2842" s="123">
        <v>0.98</v>
      </c>
      <c r="D2842" s="73">
        <f t="shared" si="59"/>
        <v>9.7999999999999997E-3</v>
      </c>
    </row>
    <row r="2843" spans="2:4">
      <c r="B2843" s="121">
        <v>44146</v>
      </c>
      <c r="C2843" s="123" t="s">
        <v>325</v>
      </c>
      <c r="D2843" s="73">
        <f t="shared" si="59"/>
        <v>9.7999999999999997E-3</v>
      </c>
    </row>
    <row r="2844" spans="2:4">
      <c r="B2844" s="121">
        <v>44147</v>
      </c>
      <c r="C2844" s="123">
        <v>0.88</v>
      </c>
      <c r="D2844" s="73">
        <f t="shared" si="59"/>
        <v>8.8000000000000005E-3</v>
      </c>
    </row>
    <row r="2845" spans="2:4">
      <c r="B2845" s="121">
        <v>44148</v>
      </c>
      <c r="C2845" s="123">
        <v>0.89</v>
      </c>
      <c r="D2845" s="73">
        <f t="shared" si="59"/>
        <v>8.8999999999999999E-3</v>
      </c>
    </row>
    <row r="2846" spans="2:4">
      <c r="B2846" s="121">
        <v>44151</v>
      </c>
      <c r="C2846" s="123">
        <v>0.91</v>
      </c>
      <c r="D2846" s="73">
        <f t="shared" si="59"/>
        <v>9.1000000000000004E-3</v>
      </c>
    </row>
    <row r="2847" spans="2:4">
      <c r="B2847" s="121">
        <v>44152</v>
      </c>
      <c r="C2847" s="123">
        <v>0.87</v>
      </c>
      <c r="D2847" s="73">
        <f t="shared" si="59"/>
        <v>8.6999999999999994E-3</v>
      </c>
    </row>
    <row r="2848" spans="2:4">
      <c r="B2848" s="121">
        <v>44153</v>
      </c>
      <c r="C2848" s="123">
        <v>0.88</v>
      </c>
      <c r="D2848" s="73">
        <f t="shared" si="59"/>
        <v>8.8000000000000005E-3</v>
      </c>
    </row>
    <row r="2849" spans="2:4">
      <c r="B2849" s="121">
        <v>44154</v>
      </c>
      <c r="C2849" s="123">
        <v>0.86</v>
      </c>
      <c r="D2849" s="73">
        <f t="shared" si="59"/>
        <v>8.6E-3</v>
      </c>
    </row>
    <row r="2850" spans="2:4">
      <c r="B2850" s="121">
        <v>44155</v>
      </c>
      <c r="C2850" s="123">
        <v>0.83</v>
      </c>
      <c r="D2850" s="73">
        <f t="shared" si="59"/>
        <v>8.3000000000000001E-3</v>
      </c>
    </row>
    <row r="2851" spans="2:4">
      <c r="B2851" s="121">
        <v>44158</v>
      </c>
      <c r="C2851" s="123">
        <v>0.86</v>
      </c>
      <c r="D2851" s="73">
        <f t="shared" si="59"/>
        <v>8.6E-3</v>
      </c>
    </row>
    <row r="2852" spans="2:4">
      <c r="B2852" s="121">
        <v>44159</v>
      </c>
      <c r="C2852" s="123">
        <v>0.88</v>
      </c>
      <c r="D2852" s="73">
        <f t="shared" si="59"/>
        <v>8.8000000000000005E-3</v>
      </c>
    </row>
    <row r="2853" spans="2:4">
      <c r="B2853" s="121">
        <v>44160</v>
      </c>
      <c r="C2853" s="123">
        <v>0.88</v>
      </c>
      <c r="D2853" s="73">
        <f t="shared" si="59"/>
        <v>8.8000000000000005E-3</v>
      </c>
    </row>
    <row r="2854" spans="2:4">
      <c r="B2854" s="121">
        <v>44161</v>
      </c>
      <c r="C2854" s="123" t="s">
        <v>325</v>
      </c>
      <c r="D2854" s="73">
        <f t="shared" si="59"/>
        <v>8.8000000000000005E-3</v>
      </c>
    </row>
    <row r="2855" spans="2:4">
      <c r="B2855" s="121">
        <v>44162</v>
      </c>
      <c r="C2855" s="123">
        <v>0.84</v>
      </c>
      <c r="D2855" s="73">
        <f t="shared" si="59"/>
        <v>8.3999999999999995E-3</v>
      </c>
    </row>
    <row r="2856" spans="2:4">
      <c r="B2856" s="121">
        <v>44165</v>
      </c>
      <c r="C2856" s="123">
        <v>0.84</v>
      </c>
      <c r="D2856" s="73">
        <f t="shared" si="59"/>
        <v>8.3999999999999995E-3</v>
      </c>
    </row>
    <row r="2857" spans="2:4">
      <c r="B2857" s="121">
        <v>44166</v>
      </c>
      <c r="C2857" s="123">
        <v>0.92</v>
      </c>
      <c r="D2857" s="73">
        <f t="shared" si="59"/>
        <v>9.1999999999999998E-3</v>
      </c>
    </row>
    <row r="2858" spans="2:4">
      <c r="B2858" s="121">
        <v>44167</v>
      </c>
      <c r="C2858" s="123">
        <v>0.95</v>
      </c>
      <c r="D2858" s="73">
        <f t="shared" si="59"/>
        <v>9.4999999999999998E-3</v>
      </c>
    </row>
    <row r="2859" spans="2:4">
      <c r="B2859" s="121">
        <v>44168</v>
      </c>
      <c r="C2859" s="123">
        <v>0.92</v>
      </c>
      <c r="D2859" s="73">
        <f t="shared" si="59"/>
        <v>9.1999999999999998E-3</v>
      </c>
    </row>
    <row r="2860" spans="2:4">
      <c r="B2860" s="121">
        <v>44169</v>
      </c>
      <c r="C2860" s="123">
        <v>0.97</v>
      </c>
      <c r="D2860" s="73">
        <f t="shared" si="59"/>
        <v>9.7000000000000003E-3</v>
      </c>
    </row>
    <row r="2861" spans="2:4">
      <c r="B2861" s="121">
        <v>44172</v>
      </c>
      <c r="C2861" s="123">
        <v>0.94</v>
      </c>
      <c r="D2861" s="73">
        <f t="shared" si="59"/>
        <v>9.3999999999999986E-3</v>
      </c>
    </row>
    <row r="2862" spans="2:4">
      <c r="B2862" s="121">
        <v>44173</v>
      </c>
      <c r="C2862" s="123">
        <v>0.92</v>
      </c>
      <c r="D2862" s="73">
        <f t="shared" si="59"/>
        <v>9.1999999999999998E-3</v>
      </c>
    </row>
    <row r="2863" spans="2:4">
      <c r="B2863" s="121">
        <v>44174</v>
      </c>
      <c r="C2863" s="123">
        <v>0.95</v>
      </c>
      <c r="D2863" s="73">
        <f t="shared" si="59"/>
        <v>9.4999999999999998E-3</v>
      </c>
    </row>
    <row r="2864" spans="2:4">
      <c r="B2864" s="121">
        <v>44175</v>
      </c>
      <c r="C2864" s="123">
        <v>0.92</v>
      </c>
      <c r="D2864" s="73">
        <f t="shared" si="59"/>
        <v>9.1999999999999998E-3</v>
      </c>
    </row>
    <row r="2865" spans="2:4">
      <c r="B2865" s="121">
        <v>44176</v>
      </c>
      <c r="C2865" s="123">
        <v>0.9</v>
      </c>
      <c r="D2865" s="73">
        <f t="shared" ref="D2865:D2880" si="60">IF( LEN( C2865 ) = 0, #N/A, IF( C2865 = "ND", D2864, C2865 / 100 ) )</f>
        <v>9.0000000000000011E-3</v>
      </c>
    </row>
    <row r="2866" spans="2:4">
      <c r="B2866" s="121">
        <v>44179</v>
      </c>
      <c r="C2866" s="123">
        <v>0.9</v>
      </c>
      <c r="D2866" s="73">
        <f t="shared" si="60"/>
        <v>9.0000000000000011E-3</v>
      </c>
    </row>
    <row r="2867" spans="2:4">
      <c r="B2867" s="121">
        <v>44180</v>
      </c>
      <c r="C2867" s="123">
        <v>0.92</v>
      </c>
      <c r="D2867" s="73">
        <f t="shared" si="60"/>
        <v>9.1999999999999998E-3</v>
      </c>
    </row>
    <row r="2868" spans="2:4">
      <c r="B2868" s="121">
        <v>44181</v>
      </c>
      <c r="C2868" s="123">
        <v>0.92</v>
      </c>
      <c r="D2868" s="73">
        <f t="shared" si="60"/>
        <v>9.1999999999999998E-3</v>
      </c>
    </row>
    <row r="2869" spans="2:4">
      <c r="B2869" s="121">
        <v>44182</v>
      </c>
      <c r="C2869" s="123">
        <v>0.94</v>
      </c>
      <c r="D2869" s="73">
        <f t="shared" si="60"/>
        <v>9.3999999999999986E-3</v>
      </c>
    </row>
    <row r="2870" spans="2:4">
      <c r="B2870" s="121">
        <v>44183</v>
      </c>
      <c r="C2870" s="123">
        <v>0.95</v>
      </c>
      <c r="D2870" s="73">
        <f t="shared" si="60"/>
        <v>9.4999999999999998E-3</v>
      </c>
    </row>
    <row r="2871" spans="2:4">
      <c r="B2871" s="121">
        <v>44186</v>
      </c>
      <c r="C2871" s="123">
        <v>0.95</v>
      </c>
      <c r="D2871" s="73">
        <f t="shared" si="60"/>
        <v>9.4999999999999998E-3</v>
      </c>
    </row>
    <row r="2872" spans="2:4">
      <c r="B2872" s="121">
        <v>44187</v>
      </c>
      <c r="C2872" s="123">
        <v>0.93</v>
      </c>
      <c r="D2872" s="73">
        <f t="shared" si="60"/>
        <v>9.300000000000001E-3</v>
      </c>
    </row>
    <row r="2873" spans="2:4">
      <c r="B2873" s="121">
        <v>44188</v>
      </c>
      <c r="C2873" s="123">
        <v>0.96</v>
      </c>
      <c r="D2873" s="73">
        <f t="shared" si="60"/>
        <v>9.5999999999999992E-3</v>
      </c>
    </row>
    <row r="2874" spans="2:4">
      <c r="B2874" s="121">
        <v>44189</v>
      </c>
      <c r="C2874" s="123">
        <v>0.94</v>
      </c>
      <c r="D2874" s="73">
        <f t="shared" si="60"/>
        <v>9.3999999999999986E-3</v>
      </c>
    </row>
    <row r="2875" spans="2:4">
      <c r="B2875" s="121">
        <v>44190</v>
      </c>
      <c r="C2875" s="123" t="s">
        <v>325</v>
      </c>
      <c r="D2875" s="73">
        <f t="shared" si="60"/>
        <v>9.3999999999999986E-3</v>
      </c>
    </row>
    <row r="2876" spans="2:4">
      <c r="B2876" s="121">
        <v>44193</v>
      </c>
      <c r="C2876" s="123">
        <v>0.94</v>
      </c>
      <c r="D2876" s="73">
        <f t="shared" si="60"/>
        <v>9.3999999999999986E-3</v>
      </c>
    </row>
    <row r="2877" spans="2:4">
      <c r="B2877" s="121">
        <v>44194</v>
      </c>
      <c r="C2877" s="123">
        <v>0.94</v>
      </c>
      <c r="D2877" s="73">
        <f t="shared" si="60"/>
        <v>9.3999999999999986E-3</v>
      </c>
    </row>
    <row r="2878" spans="2:4">
      <c r="B2878" s="121">
        <v>44195</v>
      </c>
      <c r="C2878" s="123">
        <v>0.93</v>
      </c>
      <c r="D2878" s="73">
        <f t="shared" si="60"/>
        <v>9.300000000000001E-3</v>
      </c>
    </row>
    <row r="2879" spans="2:4">
      <c r="B2879" s="121">
        <v>44196</v>
      </c>
      <c r="C2879" s="123">
        <v>0.93</v>
      </c>
      <c r="D2879" s="73">
        <f t="shared" si="60"/>
        <v>9.300000000000001E-3</v>
      </c>
    </row>
    <row r="2880" spans="2:4">
      <c r="B2880" s="121">
        <v>44197</v>
      </c>
      <c r="C2880" s="123" t="s">
        <v>325</v>
      </c>
      <c r="D2880" s="73">
        <f t="shared" si="60"/>
        <v>9.300000000000001E-3</v>
      </c>
    </row>
    <row r="2881" spans="2:4">
      <c r="B2881" s="121">
        <v>44200</v>
      </c>
      <c r="C2881" s="123">
        <v>0.93</v>
      </c>
      <c r="D2881" s="73">
        <f t="shared" ref="D2881:D2885" si="61">IF( LEN( C2881 ) = 0, #N/A, IF( C2881 = "ND", D2880, C2881 / 100 ) )</f>
        <v>9.300000000000001E-3</v>
      </c>
    </row>
    <row r="2882" spans="2:4">
      <c r="B2882" s="121">
        <v>44201</v>
      </c>
      <c r="C2882" s="123">
        <v>0.96</v>
      </c>
      <c r="D2882" s="73">
        <f t="shared" si="61"/>
        <v>9.5999999999999992E-3</v>
      </c>
    </row>
    <row r="2883" spans="2:4">
      <c r="B2883" s="121">
        <v>44202</v>
      </c>
      <c r="C2883" s="123">
        <v>1.04</v>
      </c>
      <c r="D2883" s="73">
        <f t="shared" si="61"/>
        <v>1.04E-2</v>
      </c>
    </row>
    <row r="2884" spans="2:4">
      <c r="B2884" s="121">
        <v>44203</v>
      </c>
      <c r="C2884" s="123">
        <v>1.08</v>
      </c>
      <c r="D2884" s="73">
        <f t="shared" si="61"/>
        <v>1.0800000000000001E-2</v>
      </c>
    </row>
    <row r="2885" spans="2:4">
      <c r="B2885" s="121">
        <v>44204</v>
      </c>
      <c r="C2885" s="123">
        <v>1.1299999999999999</v>
      </c>
      <c r="D2885" s="73">
        <f t="shared" si="61"/>
        <v>1.1299999999999999E-2</v>
      </c>
    </row>
    <row r="2886" spans="2:4">
      <c r="B2886" s="121">
        <v>44207</v>
      </c>
      <c r="C2886" s="123">
        <v>1.1499999999999999</v>
      </c>
      <c r="D2886" s="73">
        <f t="shared" ref="D2886:D2891" si="62">IF( LEN( C2886 ) = 0, #N/A, IF( C2886 = "ND", D2885, C2886 / 100 ) )</f>
        <v>1.15E-2</v>
      </c>
    </row>
    <row r="2887" spans="2:4">
      <c r="B2887" s="121">
        <v>44208</v>
      </c>
      <c r="C2887" s="123">
        <v>1.1499999999999999</v>
      </c>
      <c r="D2887" s="73">
        <f t="shared" si="62"/>
        <v>1.15E-2</v>
      </c>
    </row>
    <row r="2888" spans="2:4">
      <c r="B2888" s="121">
        <v>44209</v>
      </c>
      <c r="C2888" s="123">
        <v>1.1000000000000001</v>
      </c>
      <c r="D2888" s="73">
        <f t="shared" si="62"/>
        <v>1.1000000000000001E-2</v>
      </c>
    </row>
    <row r="2889" spans="2:4">
      <c r="B2889" s="121">
        <v>44210</v>
      </c>
      <c r="C2889" s="123">
        <v>1.1499999999999999</v>
      </c>
      <c r="D2889" s="73">
        <f t="shared" si="62"/>
        <v>1.15E-2</v>
      </c>
    </row>
    <row r="2890" spans="2:4">
      <c r="B2890" s="121">
        <v>44211</v>
      </c>
      <c r="C2890" s="123">
        <v>1.1100000000000001</v>
      </c>
      <c r="D2890" s="73">
        <f t="shared" si="62"/>
        <v>1.11E-2</v>
      </c>
    </row>
    <row r="2891" spans="2:4">
      <c r="B2891" s="121">
        <v>44214</v>
      </c>
      <c r="C2891" s="123" t="s">
        <v>325</v>
      </c>
      <c r="D2891" s="73">
        <f t="shared" si="62"/>
        <v>1.11E-2</v>
      </c>
    </row>
    <row r="2892" spans="2:4">
      <c r="B2892" s="121">
        <v>44215</v>
      </c>
      <c r="C2892" s="123">
        <v>1.1000000000000001</v>
      </c>
      <c r="D2892" s="73">
        <f t="shared" ref="D2892:D2895" si="63">IF( LEN( C2892 ) = 0, #N/A, IF( C2892 = "ND", D2891, C2892 / 100 ) )</f>
        <v>1.1000000000000001E-2</v>
      </c>
    </row>
    <row r="2893" spans="2:4">
      <c r="B2893" s="121">
        <v>44216</v>
      </c>
      <c r="C2893" s="123">
        <v>1.1000000000000001</v>
      </c>
      <c r="D2893" s="73">
        <f t="shared" si="63"/>
        <v>1.1000000000000001E-2</v>
      </c>
    </row>
    <row r="2894" spans="2:4">
      <c r="B2894" s="121">
        <v>44217</v>
      </c>
      <c r="C2894" s="123">
        <v>1.1200000000000001</v>
      </c>
      <c r="D2894" s="73">
        <f t="shared" si="63"/>
        <v>1.1200000000000002E-2</v>
      </c>
    </row>
    <row r="2895" spans="2:4">
      <c r="B2895" s="121">
        <v>44218</v>
      </c>
      <c r="C2895" s="123">
        <v>1.1000000000000001</v>
      </c>
      <c r="D2895" s="73">
        <f t="shared" si="63"/>
        <v>1.1000000000000001E-2</v>
      </c>
    </row>
    <row r="2896" spans="2:4">
      <c r="B2896" s="121">
        <v>44221</v>
      </c>
      <c r="C2896" s="123">
        <v>1.05</v>
      </c>
      <c r="D2896" s="73">
        <f t="shared" ref="D2896:D2900" si="64">IF( LEN( C2896 ) = 0, #N/A, IF( C2896 = "ND", D2895, C2896 / 100 ) )</f>
        <v>1.0500000000000001E-2</v>
      </c>
    </row>
    <row r="2897" spans="2:4">
      <c r="B2897" s="121">
        <v>44222</v>
      </c>
      <c r="C2897" s="123">
        <v>1.05</v>
      </c>
      <c r="D2897" s="73">
        <f t="shared" si="64"/>
        <v>1.0500000000000001E-2</v>
      </c>
    </row>
    <row r="2898" spans="2:4">
      <c r="B2898" s="121">
        <v>44223</v>
      </c>
      <c r="C2898" s="123">
        <v>1.04</v>
      </c>
      <c r="D2898" s="73">
        <f t="shared" si="64"/>
        <v>1.04E-2</v>
      </c>
    </row>
    <row r="2899" spans="2:4">
      <c r="B2899" s="121">
        <v>44224</v>
      </c>
      <c r="C2899" s="123">
        <v>1.07</v>
      </c>
      <c r="D2899" s="73">
        <f t="shared" si="64"/>
        <v>1.0700000000000001E-2</v>
      </c>
    </row>
    <row r="2900" spans="2:4">
      <c r="B2900" s="121">
        <v>44225</v>
      </c>
      <c r="C2900" s="123">
        <v>1.1100000000000001</v>
      </c>
      <c r="D2900" s="73">
        <f t="shared" si="64"/>
        <v>1.11E-2</v>
      </c>
    </row>
    <row r="2901" spans="2:4">
      <c r="B2901" s="121">
        <v>44228</v>
      </c>
      <c r="C2901" s="123">
        <v>1.0900000000000001</v>
      </c>
      <c r="D2901" s="73">
        <f t="shared" ref="D2901:D2905" si="65">IF( LEN( C2901 ) = 0, #N/A, IF( C2901 = "ND", D2900, C2901 / 100 ) )</f>
        <v>1.09E-2</v>
      </c>
    </row>
    <row r="2902" spans="2:4">
      <c r="B2902" s="121">
        <v>44229</v>
      </c>
      <c r="C2902" s="123">
        <v>1.1200000000000001</v>
      </c>
      <c r="D2902" s="73">
        <f t="shared" si="65"/>
        <v>1.1200000000000002E-2</v>
      </c>
    </row>
    <row r="2903" spans="2:4">
      <c r="B2903" s="121">
        <v>44230</v>
      </c>
      <c r="C2903" s="123">
        <v>1.1499999999999999</v>
      </c>
      <c r="D2903" s="73">
        <f t="shared" si="65"/>
        <v>1.15E-2</v>
      </c>
    </row>
    <row r="2904" spans="2:4">
      <c r="B2904" s="121">
        <v>44231</v>
      </c>
      <c r="C2904" s="123">
        <v>1.1499999999999999</v>
      </c>
      <c r="D2904" s="73">
        <f t="shared" si="65"/>
        <v>1.15E-2</v>
      </c>
    </row>
    <row r="2905" spans="2:4">
      <c r="B2905" s="121">
        <v>44232</v>
      </c>
      <c r="C2905" s="123">
        <v>1.19</v>
      </c>
      <c r="D2905" s="73">
        <f t="shared" si="65"/>
        <v>1.1899999999999999E-2</v>
      </c>
    </row>
    <row r="2906" spans="2:4">
      <c r="B2906" s="121">
        <v>44235</v>
      </c>
      <c r="C2906" s="123">
        <v>1.19</v>
      </c>
      <c r="D2906" s="73">
        <f t="shared" ref="D2906:D2911" si="66">IF( LEN( C2906 ) = 0, #N/A, IF( C2906 = "ND", D2905, C2906 / 100 ) )</f>
        <v>1.1899999999999999E-2</v>
      </c>
    </row>
    <row r="2907" spans="2:4">
      <c r="B2907" s="121">
        <v>44236</v>
      </c>
      <c r="C2907" s="123">
        <v>1.18</v>
      </c>
      <c r="D2907" s="73">
        <f t="shared" si="66"/>
        <v>1.18E-2</v>
      </c>
    </row>
    <row r="2908" spans="2:4">
      <c r="B2908" s="121">
        <v>44237</v>
      </c>
      <c r="C2908" s="123">
        <v>1.1499999999999999</v>
      </c>
      <c r="D2908" s="73">
        <f t="shared" si="66"/>
        <v>1.15E-2</v>
      </c>
    </row>
    <row r="2909" spans="2:4">
      <c r="B2909" s="121">
        <v>44238</v>
      </c>
      <c r="C2909" s="123">
        <v>1.1599999999999999</v>
      </c>
      <c r="D2909" s="73">
        <f t="shared" si="66"/>
        <v>1.1599999999999999E-2</v>
      </c>
    </row>
    <row r="2910" spans="2:4">
      <c r="B2910" s="121">
        <v>44239</v>
      </c>
      <c r="C2910" s="123">
        <v>1.2</v>
      </c>
      <c r="D2910" s="73">
        <f t="shared" si="66"/>
        <v>1.2E-2</v>
      </c>
    </row>
    <row r="2911" spans="2:4">
      <c r="B2911" s="121">
        <v>44242</v>
      </c>
      <c r="C2911" s="123" t="s">
        <v>325</v>
      </c>
      <c r="D2911" s="73">
        <f t="shared" si="66"/>
        <v>1.2E-2</v>
      </c>
    </row>
    <row r="2912" spans="2:4">
      <c r="B2912" s="121">
        <v>44243</v>
      </c>
      <c r="C2912" s="123">
        <v>1.3</v>
      </c>
      <c r="D2912" s="73">
        <f t="shared" ref="D2912:D2915" si="67">IF( LEN( C2912 ) = 0, #N/A, IF( C2912 = "ND", D2911, C2912 / 100 ) )</f>
        <v>1.3000000000000001E-2</v>
      </c>
    </row>
    <row r="2913" spans="2:4">
      <c r="B2913" s="121">
        <v>44244</v>
      </c>
      <c r="C2913" s="123">
        <v>1.29</v>
      </c>
      <c r="D2913" s="73">
        <f t="shared" si="67"/>
        <v>1.29E-2</v>
      </c>
    </row>
    <row r="2914" spans="2:4">
      <c r="B2914" s="121">
        <v>44245</v>
      </c>
      <c r="C2914" s="123">
        <v>1.29</v>
      </c>
      <c r="D2914" s="73">
        <f t="shared" si="67"/>
        <v>1.29E-2</v>
      </c>
    </row>
    <row r="2915" spans="2:4">
      <c r="B2915" s="121">
        <v>44246</v>
      </c>
      <c r="C2915" s="123">
        <v>1.34</v>
      </c>
      <c r="D2915" s="73">
        <f t="shared" si="67"/>
        <v>1.34E-2</v>
      </c>
    </row>
    <row r="2916" spans="2:4">
      <c r="B2916" s="121">
        <v>44249</v>
      </c>
      <c r="C2916" s="123">
        <v>1.37</v>
      </c>
      <c r="D2916" s="73">
        <f t="shared" ref="D2916:D2920" si="68">IF( LEN( C2916 ) = 0, #N/A, IF( C2916 = "ND", D2915, C2916 / 100 ) )</f>
        <v>1.37E-2</v>
      </c>
    </row>
    <row r="2917" spans="2:4">
      <c r="B2917" s="121">
        <v>44250</v>
      </c>
      <c r="C2917" s="123">
        <v>1.37</v>
      </c>
      <c r="D2917" s="73">
        <f t="shared" si="68"/>
        <v>1.37E-2</v>
      </c>
    </row>
    <row r="2918" spans="2:4">
      <c r="B2918" s="121">
        <v>44251</v>
      </c>
      <c r="C2918" s="123">
        <v>1.38</v>
      </c>
      <c r="D2918" s="73">
        <f t="shared" si="68"/>
        <v>1.38E-2</v>
      </c>
    </row>
    <row r="2919" spans="2:4">
      <c r="B2919" s="121">
        <v>44252</v>
      </c>
      <c r="C2919" s="123">
        <v>1.54</v>
      </c>
      <c r="D2919" s="73">
        <f t="shared" si="68"/>
        <v>1.54E-2</v>
      </c>
    </row>
    <row r="2920" spans="2:4">
      <c r="B2920" s="121">
        <v>44253</v>
      </c>
      <c r="C2920" s="123">
        <v>1.44</v>
      </c>
      <c r="D2920" s="73">
        <f t="shared" si="68"/>
        <v>1.44E-2</v>
      </c>
    </row>
    <row r="2921" spans="2:4">
      <c r="B2921" s="121">
        <v>44256</v>
      </c>
      <c r="C2921" s="123">
        <v>1.45</v>
      </c>
      <c r="D2921" s="73">
        <f t="shared" ref="D2921:D2925" si="69">IF( LEN( C2921 ) = 0, #N/A, IF( C2921 = "ND", D2920, C2921 / 100 ) )</f>
        <v>1.4499999999999999E-2</v>
      </c>
    </row>
    <row r="2922" spans="2:4">
      <c r="B2922" s="121">
        <v>44257</v>
      </c>
      <c r="C2922" s="123">
        <v>1.42</v>
      </c>
      <c r="D2922" s="73">
        <f t="shared" si="69"/>
        <v>1.4199999999999999E-2</v>
      </c>
    </row>
    <row r="2923" spans="2:4">
      <c r="B2923" s="121">
        <v>44258</v>
      </c>
      <c r="C2923" s="123">
        <v>1.47</v>
      </c>
      <c r="D2923" s="73">
        <f t="shared" si="69"/>
        <v>1.47E-2</v>
      </c>
    </row>
    <row r="2924" spans="2:4">
      <c r="B2924" s="121">
        <v>44259</v>
      </c>
      <c r="C2924" s="123">
        <v>1.54</v>
      </c>
      <c r="D2924" s="73">
        <f t="shared" si="69"/>
        <v>1.54E-2</v>
      </c>
    </row>
    <row r="2925" spans="2:4">
      <c r="B2925" s="121">
        <v>44260</v>
      </c>
      <c r="C2925" s="123">
        <v>1.56</v>
      </c>
      <c r="D2925" s="73">
        <f t="shared" si="69"/>
        <v>1.5600000000000001E-2</v>
      </c>
    </row>
    <row r="2926" spans="2:4">
      <c r="B2926" s="121">
        <v>44263</v>
      </c>
      <c r="C2926" s="123">
        <v>1.59</v>
      </c>
      <c r="D2926" s="73">
        <f t="shared" ref="D2926:D2930" si="70">IF( LEN( C2926 ) = 0, #N/A, IF( C2926 = "ND", D2925, C2926 / 100 ) )</f>
        <v>1.5900000000000001E-2</v>
      </c>
    </row>
    <row r="2927" spans="2:4">
      <c r="B2927" s="121">
        <v>44264</v>
      </c>
      <c r="C2927" s="123">
        <v>1.55</v>
      </c>
      <c r="D2927" s="73">
        <f t="shared" si="70"/>
        <v>1.55E-2</v>
      </c>
    </row>
    <row r="2928" spans="2:4">
      <c r="B2928" s="121">
        <v>44265</v>
      </c>
      <c r="C2928" s="123">
        <v>1.53</v>
      </c>
      <c r="D2928" s="73">
        <f t="shared" si="70"/>
        <v>1.5300000000000001E-2</v>
      </c>
    </row>
    <row r="2929" spans="2:4">
      <c r="B2929" s="121">
        <v>44266</v>
      </c>
      <c r="C2929" s="123">
        <v>1.54</v>
      </c>
      <c r="D2929" s="73">
        <f t="shared" si="70"/>
        <v>1.54E-2</v>
      </c>
    </row>
    <row r="2930" spans="2:4">
      <c r="B2930" s="121">
        <v>44267</v>
      </c>
      <c r="C2930" s="123">
        <v>1.64</v>
      </c>
      <c r="D2930" s="73">
        <f t="shared" si="70"/>
        <v>1.6399999999999998E-2</v>
      </c>
    </row>
    <row r="2931" spans="2:4">
      <c r="B2931" s="121">
        <v>44270</v>
      </c>
      <c r="C2931" s="123">
        <v>1.62</v>
      </c>
      <c r="D2931" s="73">
        <f t="shared" ref="D2931:D2935" si="71">IF( LEN( C2931 ) = 0, #N/A, IF( C2931 = "ND", D2930, C2931 / 100 ) )</f>
        <v>1.6200000000000003E-2</v>
      </c>
    </row>
    <row r="2932" spans="2:4">
      <c r="B2932" s="121">
        <v>44271</v>
      </c>
      <c r="C2932" s="123">
        <v>1.62</v>
      </c>
      <c r="D2932" s="73">
        <f t="shared" si="71"/>
        <v>1.6200000000000003E-2</v>
      </c>
    </row>
    <row r="2933" spans="2:4">
      <c r="B2933" s="121">
        <v>44272</v>
      </c>
      <c r="C2933" s="123">
        <v>1.63</v>
      </c>
      <c r="D2933" s="73">
        <f t="shared" si="71"/>
        <v>1.6299999999999999E-2</v>
      </c>
    </row>
    <row r="2934" spans="2:4">
      <c r="B2934" s="121">
        <v>44273</v>
      </c>
      <c r="C2934" s="123">
        <v>1.71</v>
      </c>
      <c r="D2934" s="73">
        <f t="shared" si="71"/>
        <v>1.7100000000000001E-2</v>
      </c>
    </row>
    <row r="2935" spans="2:4">
      <c r="B2935" s="121">
        <v>44274</v>
      </c>
      <c r="C2935" s="123">
        <v>1.74</v>
      </c>
      <c r="D2935" s="73">
        <f t="shared" si="71"/>
        <v>1.7399999999999999E-2</v>
      </c>
    </row>
    <row r="2936" spans="2:4">
      <c r="B2936" s="121">
        <v>44277</v>
      </c>
      <c r="C2936" s="123">
        <v>1.69</v>
      </c>
      <c r="D2936" s="73">
        <f t="shared" ref="D2936:D2940" si="72">IF( LEN( C2936 ) = 0, #N/A, IF( C2936 = "ND", D2935, C2936 / 100 ) )</f>
        <v>1.6899999999999998E-2</v>
      </c>
    </row>
    <row r="2937" spans="2:4">
      <c r="B2937" s="121">
        <v>44278</v>
      </c>
      <c r="C2937" s="123">
        <v>1.63</v>
      </c>
      <c r="D2937" s="73">
        <f t="shared" si="72"/>
        <v>1.6299999999999999E-2</v>
      </c>
    </row>
    <row r="2938" spans="2:4">
      <c r="B2938" s="121">
        <v>44279</v>
      </c>
      <c r="C2938" s="123">
        <v>1.62</v>
      </c>
      <c r="D2938" s="73">
        <f t="shared" si="72"/>
        <v>1.6200000000000003E-2</v>
      </c>
    </row>
    <row r="2939" spans="2:4">
      <c r="B2939" s="121">
        <v>44280</v>
      </c>
      <c r="C2939" s="123">
        <v>1.63</v>
      </c>
      <c r="D2939" s="73">
        <f t="shared" si="72"/>
        <v>1.6299999999999999E-2</v>
      </c>
    </row>
    <row r="2940" spans="2:4">
      <c r="B2940" s="121">
        <v>44281</v>
      </c>
      <c r="C2940" s="123">
        <v>1.67</v>
      </c>
      <c r="D2940" s="73">
        <f t="shared" si="72"/>
        <v>1.67E-2</v>
      </c>
    </row>
    <row r="2941" spans="2:4">
      <c r="B2941" s="121">
        <v>44284</v>
      </c>
      <c r="C2941" s="123">
        <v>1.73</v>
      </c>
      <c r="D2941" s="73">
        <f t="shared" ref="D2941:D2945" si="73">IF( LEN( C2941 ) = 0, #N/A, IF( C2941 = "ND", D2940, C2941 / 100 ) )</f>
        <v>1.7299999999999999E-2</v>
      </c>
    </row>
    <row r="2942" spans="2:4">
      <c r="B2942" s="121">
        <v>44285</v>
      </c>
      <c r="C2942" s="123">
        <v>1.73</v>
      </c>
      <c r="D2942" s="73">
        <f t="shared" si="73"/>
        <v>1.7299999999999999E-2</v>
      </c>
    </row>
    <row r="2943" spans="2:4">
      <c r="B2943" s="121">
        <v>44286</v>
      </c>
      <c r="C2943" s="123">
        <v>1.74</v>
      </c>
      <c r="D2943" s="73">
        <f t="shared" si="73"/>
        <v>1.7399999999999999E-2</v>
      </c>
    </row>
    <row r="2944" spans="2:4">
      <c r="B2944" s="121">
        <v>44287</v>
      </c>
      <c r="C2944" s="123">
        <v>1.69</v>
      </c>
      <c r="D2944" s="73">
        <f t="shared" si="73"/>
        <v>1.6899999999999998E-2</v>
      </c>
    </row>
    <row r="2945" spans="2:4">
      <c r="B2945" s="121">
        <v>44288</v>
      </c>
      <c r="C2945" s="123">
        <v>1.72</v>
      </c>
      <c r="D2945" s="73">
        <f t="shared" si="73"/>
        <v>1.72E-2</v>
      </c>
    </row>
    <row r="2946" spans="2:4">
      <c r="B2946" s="121">
        <v>44291</v>
      </c>
      <c r="C2946" s="123">
        <v>1.73</v>
      </c>
      <c r="D2946" s="73">
        <f t="shared" ref="D2946:D2950" si="74">IF( LEN( C2946 ) = 0, #N/A, IF( C2946 = "ND", D2945, C2946 / 100 ) )</f>
        <v>1.7299999999999999E-2</v>
      </c>
    </row>
    <row r="2947" spans="2:4">
      <c r="B2947" s="121">
        <v>44292</v>
      </c>
      <c r="C2947" s="123">
        <v>1.67</v>
      </c>
      <c r="D2947" s="73">
        <f t="shared" si="74"/>
        <v>1.67E-2</v>
      </c>
    </row>
    <row r="2948" spans="2:4">
      <c r="B2948" s="121">
        <v>44293</v>
      </c>
      <c r="C2948" s="123">
        <v>1.68</v>
      </c>
      <c r="D2948" s="73">
        <f t="shared" si="74"/>
        <v>1.6799999999999999E-2</v>
      </c>
    </row>
    <row r="2949" spans="2:4">
      <c r="B2949" s="121">
        <v>44294</v>
      </c>
      <c r="C2949" s="123">
        <v>1.64</v>
      </c>
      <c r="D2949" s="73">
        <f t="shared" si="74"/>
        <v>1.6399999999999998E-2</v>
      </c>
    </row>
    <row r="2950" spans="2:4">
      <c r="B2950" s="121">
        <v>44295</v>
      </c>
      <c r="C2950" s="123">
        <v>1.67</v>
      </c>
      <c r="D2950" s="73">
        <f t="shared" si="74"/>
        <v>1.67E-2</v>
      </c>
    </row>
    <row r="2951" spans="2:4">
      <c r="B2951" s="121">
        <v>44298</v>
      </c>
      <c r="C2951" s="123">
        <v>1.69</v>
      </c>
      <c r="D2951" s="73">
        <f t="shared" ref="D2951:D2955" si="75">IF( LEN( C2951 ) = 0, #N/A, IF( C2951 = "ND", D2950, C2951 / 100 ) )</f>
        <v>1.6899999999999998E-2</v>
      </c>
    </row>
    <row r="2952" spans="2:4">
      <c r="B2952" s="121">
        <v>44299</v>
      </c>
      <c r="C2952" s="123">
        <v>1.64</v>
      </c>
      <c r="D2952" s="73">
        <f t="shared" si="75"/>
        <v>1.6399999999999998E-2</v>
      </c>
    </row>
    <row r="2953" spans="2:4">
      <c r="B2953" s="121">
        <v>44300</v>
      </c>
      <c r="C2953" s="123">
        <v>1.64</v>
      </c>
      <c r="D2953" s="73">
        <f t="shared" si="75"/>
        <v>1.6399999999999998E-2</v>
      </c>
    </row>
    <row r="2954" spans="2:4">
      <c r="B2954" s="121">
        <v>44301</v>
      </c>
      <c r="C2954" s="123">
        <v>1.56</v>
      </c>
      <c r="D2954" s="73">
        <f t="shared" si="75"/>
        <v>1.5600000000000001E-2</v>
      </c>
    </row>
    <row r="2955" spans="2:4">
      <c r="B2955" s="121">
        <v>44302</v>
      </c>
      <c r="C2955" s="123">
        <v>1.59</v>
      </c>
      <c r="D2955" s="73">
        <f t="shared" si="75"/>
        <v>1.5900000000000001E-2</v>
      </c>
    </row>
    <row r="2956" spans="2:4">
      <c r="B2956" s="121">
        <v>44305</v>
      </c>
      <c r="C2956" s="123">
        <v>1.61</v>
      </c>
      <c r="D2956" s="73">
        <f t="shared" ref="D2956:D2960" si="76">IF( LEN( C2956 ) = 0, #N/A, IF( C2956 = "ND", D2955, C2956 / 100 ) )</f>
        <v>1.61E-2</v>
      </c>
    </row>
    <row r="2957" spans="2:4">
      <c r="B2957" s="121">
        <v>44306</v>
      </c>
      <c r="C2957" s="123">
        <v>1.58</v>
      </c>
      <c r="D2957" s="73">
        <f t="shared" si="76"/>
        <v>1.5800000000000002E-2</v>
      </c>
    </row>
    <row r="2958" spans="2:4">
      <c r="B2958" s="121">
        <v>44307</v>
      </c>
      <c r="C2958" s="123">
        <v>1.57</v>
      </c>
      <c r="D2958" s="73">
        <f t="shared" si="76"/>
        <v>1.5700000000000002E-2</v>
      </c>
    </row>
    <row r="2959" spans="2:4">
      <c r="B2959" s="121">
        <v>44308</v>
      </c>
      <c r="C2959" s="123">
        <v>1.57</v>
      </c>
      <c r="D2959" s="73">
        <f t="shared" si="76"/>
        <v>1.5700000000000002E-2</v>
      </c>
    </row>
    <row r="2960" spans="2:4">
      <c r="B2960" s="121">
        <v>44309</v>
      </c>
      <c r="C2960" s="123">
        <v>1.58</v>
      </c>
      <c r="D2960" s="73">
        <f t="shared" si="76"/>
        <v>1.5800000000000002E-2</v>
      </c>
    </row>
    <row r="2961" spans="2:4">
      <c r="B2961" s="121">
        <v>44312</v>
      </c>
      <c r="C2961" s="123">
        <v>1.58</v>
      </c>
      <c r="D2961" s="73">
        <f t="shared" ref="D2961:D2965" si="77">IF( LEN( C2961 ) = 0, #N/A, IF( C2961 = "ND", D2960, C2961 / 100 ) )</f>
        <v>1.5800000000000002E-2</v>
      </c>
    </row>
    <row r="2962" spans="2:4">
      <c r="B2962" s="121">
        <v>44313</v>
      </c>
      <c r="C2962" s="123">
        <v>1.63</v>
      </c>
      <c r="D2962" s="73">
        <f t="shared" si="77"/>
        <v>1.6299999999999999E-2</v>
      </c>
    </row>
    <row r="2963" spans="2:4">
      <c r="B2963" s="121">
        <v>44314</v>
      </c>
      <c r="C2963" s="123">
        <v>1.63</v>
      </c>
      <c r="D2963" s="73">
        <f t="shared" si="77"/>
        <v>1.6299999999999999E-2</v>
      </c>
    </row>
    <row r="2964" spans="2:4">
      <c r="B2964" s="121">
        <v>44315</v>
      </c>
      <c r="C2964" s="123">
        <v>1.65</v>
      </c>
      <c r="D2964" s="73">
        <f t="shared" si="77"/>
        <v>1.6500000000000001E-2</v>
      </c>
    </row>
    <row r="2965" spans="2:4">
      <c r="B2965" s="121">
        <v>44316</v>
      </c>
      <c r="C2965" s="123">
        <v>1.65</v>
      </c>
      <c r="D2965" s="73">
        <f t="shared" si="77"/>
        <v>1.6500000000000001E-2</v>
      </c>
    </row>
    <row r="2966" spans="2:4">
      <c r="B2966" s="121">
        <v>44319</v>
      </c>
      <c r="C2966" s="123">
        <v>1.63</v>
      </c>
      <c r="D2966" s="73">
        <f t="shared" ref="D2966:D2970" si="78">IF( LEN( C2966 ) = 0, #N/A, IF( C2966 = "ND", D2965, C2966 / 100 ) )</f>
        <v>1.6299999999999999E-2</v>
      </c>
    </row>
    <row r="2967" spans="2:4">
      <c r="B2967" s="121">
        <v>44320</v>
      </c>
      <c r="C2967" s="123">
        <v>1.61</v>
      </c>
      <c r="D2967" s="73">
        <f t="shared" si="78"/>
        <v>1.61E-2</v>
      </c>
    </row>
    <row r="2968" spans="2:4">
      <c r="B2968" s="121">
        <v>44321</v>
      </c>
      <c r="C2968" s="123">
        <v>1.59</v>
      </c>
      <c r="D2968" s="73">
        <f t="shared" si="78"/>
        <v>1.5900000000000001E-2</v>
      </c>
    </row>
    <row r="2969" spans="2:4">
      <c r="B2969" s="121">
        <v>44322</v>
      </c>
      <c r="C2969" s="123">
        <v>1.58</v>
      </c>
      <c r="D2969" s="73">
        <f t="shared" si="78"/>
        <v>1.5800000000000002E-2</v>
      </c>
    </row>
    <row r="2970" spans="2:4">
      <c r="B2970" s="121">
        <v>44323</v>
      </c>
      <c r="C2970" s="123">
        <v>1.6</v>
      </c>
      <c r="D2970" s="73">
        <f t="shared" si="78"/>
        <v>1.6E-2</v>
      </c>
    </row>
    <row r="2971" spans="2:4">
      <c r="B2971" s="121">
        <v>44326</v>
      </c>
      <c r="C2971" s="123">
        <v>1.63</v>
      </c>
      <c r="D2971" s="73">
        <f t="shared" ref="D2971:D2975" si="79">IF( LEN( C2971 ) = 0, #N/A, IF( C2971 = "ND", D2970, C2971 / 100 ) )</f>
        <v>1.6299999999999999E-2</v>
      </c>
    </row>
    <row r="2972" spans="2:4">
      <c r="B2972" s="121">
        <v>44327</v>
      </c>
      <c r="C2972" s="123">
        <v>1.64</v>
      </c>
      <c r="D2972" s="73">
        <f t="shared" si="79"/>
        <v>1.6399999999999998E-2</v>
      </c>
    </row>
    <row r="2973" spans="2:4">
      <c r="B2973" s="121">
        <v>44328</v>
      </c>
      <c r="C2973" s="123">
        <v>1.69</v>
      </c>
      <c r="D2973" s="73">
        <f t="shared" si="79"/>
        <v>1.6899999999999998E-2</v>
      </c>
    </row>
    <row r="2974" spans="2:4">
      <c r="B2974" s="121">
        <v>44329</v>
      </c>
      <c r="C2974" s="123">
        <v>1.66</v>
      </c>
      <c r="D2974" s="73">
        <f t="shared" si="79"/>
        <v>1.66E-2</v>
      </c>
    </row>
    <row r="2975" spans="2:4">
      <c r="B2975" s="121">
        <v>44330</v>
      </c>
      <c r="C2975" s="123">
        <v>1.63</v>
      </c>
      <c r="D2975" s="73">
        <f t="shared" si="79"/>
        <v>1.6299999999999999E-2</v>
      </c>
    </row>
    <row r="2976" spans="2:4">
      <c r="B2976" s="121">
        <v>44333</v>
      </c>
      <c r="C2976" s="123">
        <v>1.64</v>
      </c>
      <c r="D2976" s="73">
        <f t="shared" ref="D2976:D2980" si="80">IF( LEN( C2976 ) = 0, #N/A, IF( C2976 = "ND", D2975, C2976 / 100 ) )</f>
        <v>1.6399999999999998E-2</v>
      </c>
    </row>
    <row r="2977" spans="2:4">
      <c r="B2977" s="121">
        <v>44334</v>
      </c>
      <c r="C2977" s="123">
        <v>1.64</v>
      </c>
      <c r="D2977" s="73">
        <f t="shared" si="80"/>
        <v>1.6399999999999998E-2</v>
      </c>
    </row>
    <row r="2978" spans="2:4">
      <c r="B2978" s="121">
        <v>44335</v>
      </c>
      <c r="C2978" s="123">
        <v>1.68</v>
      </c>
      <c r="D2978" s="73">
        <f t="shared" si="80"/>
        <v>1.6799999999999999E-2</v>
      </c>
    </row>
    <row r="2979" spans="2:4">
      <c r="B2979" s="121">
        <v>44336</v>
      </c>
      <c r="C2979" s="123">
        <v>1.63</v>
      </c>
      <c r="D2979" s="73">
        <f t="shared" si="80"/>
        <v>1.6299999999999999E-2</v>
      </c>
    </row>
    <row r="2980" spans="2:4">
      <c r="B2980" s="121">
        <v>44337</v>
      </c>
      <c r="C2980" s="123">
        <v>1.63</v>
      </c>
      <c r="D2980" s="73">
        <f t="shared" si="80"/>
        <v>1.6299999999999999E-2</v>
      </c>
    </row>
    <row r="2981" spans="2:4">
      <c r="B2981" s="121">
        <v>44340</v>
      </c>
      <c r="C2981" s="123">
        <v>1.61</v>
      </c>
      <c r="D2981" s="73">
        <f t="shared" ref="D2981:D2985" si="81">IF( LEN( C2981 ) = 0, #N/A, IF( C2981 = "ND", D2980, C2981 / 100 ) )</f>
        <v>1.61E-2</v>
      </c>
    </row>
    <row r="2982" spans="2:4">
      <c r="B2982" s="121">
        <v>44341</v>
      </c>
      <c r="C2982" s="123">
        <v>1.56</v>
      </c>
      <c r="D2982" s="73">
        <f t="shared" si="81"/>
        <v>1.5600000000000001E-2</v>
      </c>
    </row>
    <row r="2983" spans="2:4">
      <c r="B2983" s="121">
        <v>44342</v>
      </c>
      <c r="C2983" s="123">
        <v>1.58</v>
      </c>
      <c r="D2983" s="73">
        <f t="shared" si="81"/>
        <v>1.5800000000000002E-2</v>
      </c>
    </row>
    <row r="2984" spans="2:4">
      <c r="B2984" s="121">
        <v>44343</v>
      </c>
      <c r="C2984" s="123">
        <v>1.61</v>
      </c>
      <c r="D2984" s="73">
        <f t="shared" si="81"/>
        <v>1.61E-2</v>
      </c>
    </row>
    <row r="2985" spans="2:4">
      <c r="B2985" s="121">
        <v>44344</v>
      </c>
      <c r="C2985" s="123">
        <v>1.58</v>
      </c>
      <c r="D2985" s="73">
        <f t="shared" si="81"/>
        <v>1.5800000000000002E-2</v>
      </c>
    </row>
    <row r="2986" spans="2:4">
      <c r="B2986" s="121">
        <v>44347</v>
      </c>
      <c r="C2986" s="123" t="s">
        <v>325</v>
      </c>
      <c r="D2986" s="73">
        <f t="shared" ref="D2986:D2990" si="82">IF( LEN( C2986 ) = 0, #N/A, IF( C2986 = "ND", D2985, C2986 / 100 ) )</f>
        <v>1.5800000000000002E-2</v>
      </c>
    </row>
    <row r="2987" spans="2:4">
      <c r="B2987" s="121">
        <v>44348</v>
      </c>
      <c r="C2987" s="123">
        <v>1.62</v>
      </c>
      <c r="D2987" s="73">
        <f t="shared" si="82"/>
        <v>1.6200000000000003E-2</v>
      </c>
    </row>
    <row r="2988" spans="2:4">
      <c r="B2988" s="121">
        <v>44349</v>
      </c>
      <c r="C2988" s="123">
        <v>1.59</v>
      </c>
      <c r="D2988" s="73">
        <f t="shared" si="82"/>
        <v>1.5900000000000001E-2</v>
      </c>
    </row>
    <row r="2989" spans="2:4">
      <c r="B2989" s="121">
        <v>44350</v>
      </c>
      <c r="C2989" s="123">
        <v>1.63</v>
      </c>
      <c r="D2989" s="73">
        <f t="shared" si="82"/>
        <v>1.6299999999999999E-2</v>
      </c>
    </row>
    <row r="2990" spans="2:4">
      <c r="B2990" s="121">
        <v>44351</v>
      </c>
      <c r="C2990" s="123">
        <v>1.56</v>
      </c>
      <c r="D2990" s="73">
        <f t="shared" si="82"/>
        <v>1.5600000000000001E-2</v>
      </c>
    </row>
    <row r="2991" spans="2:4">
      <c r="B2991" s="121">
        <v>44354</v>
      </c>
      <c r="C2991" s="123">
        <v>1.57</v>
      </c>
      <c r="D2991" s="73">
        <f t="shared" ref="D2991:D2995" si="83">IF( LEN( C2991 ) = 0, #N/A, IF( C2991 = "ND", D2990, C2991 / 100 ) )</f>
        <v>1.5700000000000002E-2</v>
      </c>
    </row>
    <row r="2992" spans="2:4">
      <c r="B2992" s="121">
        <v>44355</v>
      </c>
      <c r="C2992" s="123">
        <v>1.53</v>
      </c>
      <c r="D2992" s="73">
        <f t="shared" si="83"/>
        <v>1.5300000000000001E-2</v>
      </c>
    </row>
    <row r="2993" spans="2:4">
      <c r="B2993" s="121">
        <v>44356</v>
      </c>
      <c r="C2993" s="123">
        <v>1.5</v>
      </c>
      <c r="D2993" s="73">
        <f t="shared" si="83"/>
        <v>1.4999999999999999E-2</v>
      </c>
    </row>
    <row r="2994" spans="2:4">
      <c r="B2994" s="121">
        <v>44357</v>
      </c>
      <c r="C2994" s="123">
        <v>1.45</v>
      </c>
      <c r="D2994" s="73">
        <f t="shared" si="83"/>
        <v>1.4499999999999999E-2</v>
      </c>
    </row>
    <row r="2995" spans="2:4">
      <c r="B2995" s="121">
        <v>44358</v>
      </c>
      <c r="C2995" s="123">
        <v>1.47</v>
      </c>
      <c r="D2995" s="73">
        <f t="shared" si="83"/>
        <v>1.47E-2</v>
      </c>
    </row>
    <row r="2996" spans="2:4">
      <c r="B2996" s="121">
        <v>44361</v>
      </c>
      <c r="C2996" s="123">
        <v>1.51</v>
      </c>
      <c r="D2996" s="73">
        <f t="shared" ref="D2996:D3000" si="84">IF( LEN( C2996 ) = 0, #N/A, IF( C2996 = "ND", D2995, C2996 / 100 ) )</f>
        <v>1.5100000000000001E-2</v>
      </c>
    </row>
    <row r="2997" spans="2:4">
      <c r="B2997" s="121">
        <v>44362</v>
      </c>
      <c r="C2997" s="123">
        <v>1.51</v>
      </c>
      <c r="D2997" s="73">
        <f t="shared" si="84"/>
        <v>1.5100000000000001E-2</v>
      </c>
    </row>
    <row r="2998" spans="2:4">
      <c r="B2998" s="121">
        <v>44363</v>
      </c>
      <c r="C2998" s="123">
        <v>1.57</v>
      </c>
      <c r="D2998" s="73">
        <f t="shared" si="84"/>
        <v>1.5700000000000002E-2</v>
      </c>
    </row>
    <row r="2999" spans="2:4">
      <c r="B2999" s="121">
        <v>44364</v>
      </c>
      <c r="C2999" s="123">
        <v>1.52</v>
      </c>
      <c r="D2999" s="73">
        <f t="shared" si="84"/>
        <v>1.52E-2</v>
      </c>
    </row>
    <row r="3000" spans="2:4">
      <c r="B3000" s="121">
        <v>44365</v>
      </c>
      <c r="C3000" s="123">
        <v>1.45</v>
      </c>
      <c r="D3000" s="73">
        <f t="shared" si="84"/>
        <v>1.4499999999999999E-2</v>
      </c>
    </row>
    <row r="3001" spans="2:4">
      <c r="B3001" s="121">
        <v>44368</v>
      </c>
      <c r="C3001" s="123">
        <v>1.5</v>
      </c>
      <c r="D3001" s="73">
        <f t="shared" ref="D3001:D3005" si="85">IF( LEN( C3001 ) = 0, #N/A, IF( C3001 = "ND", D3000, C3001 / 100 ) )</f>
        <v>1.4999999999999999E-2</v>
      </c>
    </row>
    <row r="3002" spans="2:4">
      <c r="B3002" s="121">
        <v>44369</v>
      </c>
      <c r="C3002" s="123">
        <v>1.48</v>
      </c>
      <c r="D3002" s="73">
        <f t="shared" si="85"/>
        <v>1.4800000000000001E-2</v>
      </c>
    </row>
    <row r="3003" spans="2:4">
      <c r="B3003" s="121">
        <v>44370</v>
      </c>
      <c r="C3003" s="123">
        <v>1.5</v>
      </c>
      <c r="D3003" s="73">
        <f t="shared" si="85"/>
        <v>1.4999999999999999E-2</v>
      </c>
    </row>
    <row r="3004" spans="2:4">
      <c r="B3004" s="121">
        <v>44371</v>
      </c>
      <c r="C3004" s="123">
        <v>1.49</v>
      </c>
      <c r="D3004" s="73">
        <f t="shared" si="85"/>
        <v>1.49E-2</v>
      </c>
    </row>
    <row r="3005" spans="2:4">
      <c r="B3005" s="121">
        <v>44372</v>
      </c>
      <c r="C3005" s="123">
        <v>1.54</v>
      </c>
      <c r="D3005" s="73">
        <f t="shared" si="85"/>
        <v>1.54E-2</v>
      </c>
    </row>
    <row r="3006" spans="2:4">
      <c r="B3006" s="121">
        <v>44375</v>
      </c>
      <c r="C3006" s="123">
        <v>1.49</v>
      </c>
      <c r="D3006" s="73">
        <f t="shared" ref="D3006:D3010" si="86">IF( LEN( C3006 ) = 0, #N/A, IF( C3006 = "ND", D3005, C3006 / 100 ) )</f>
        <v>1.49E-2</v>
      </c>
    </row>
    <row r="3007" spans="2:4">
      <c r="B3007" s="121">
        <v>44376</v>
      </c>
      <c r="C3007" s="123">
        <v>1.49</v>
      </c>
      <c r="D3007" s="73">
        <f t="shared" si="86"/>
        <v>1.49E-2</v>
      </c>
    </row>
    <row r="3008" spans="2:4">
      <c r="B3008" s="121">
        <v>44377</v>
      </c>
      <c r="C3008" s="123">
        <v>1.45</v>
      </c>
      <c r="D3008" s="73">
        <f t="shared" si="86"/>
        <v>1.4499999999999999E-2</v>
      </c>
    </row>
    <row r="3009" spans="2:4">
      <c r="B3009" s="121">
        <v>44378</v>
      </c>
      <c r="C3009" s="123">
        <v>1.48</v>
      </c>
      <c r="D3009" s="73">
        <f t="shared" si="86"/>
        <v>1.4800000000000001E-2</v>
      </c>
    </row>
    <row r="3010" spans="2:4">
      <c r="B3010" s="121">
        <v>44379</v>
      </c>
      <c r="C3010" s="123">
        <v>1.44</v>
      </c>
      <c r="D3010" s="73">
        <f t="shared" si="86"/>
        <v>1.44E-2</v>
      </c>
    </row>
    <row r="3011" spans="2:4">
      <c r="B3011" s="121">
        <v>44382</v>
      </c>
      <c r="C3011" s="123" t="s">
        <v>325</v>
      </c>
      <c r="D3011" s="73">
        <f t="shared" ref="D3011:D3015" si="87">IF( LEN( C3011 ) = 0, #N/A, IF( C3011 = "ND", D3010, C3011 / 100 ) )</f>
        <v>1.44E-2</v>
      </c>
    </row>
    <row r="3012" spans="2:4">
      <c r="B3012" s="121">
        <v>44383</v>
      </c>
      <c r="C3012" s="123">
        <v>1.37</v>
      </c>
      <c r="D3012" s="73">
        <f t="shared" si="87"/>
        <v>1.37E-2</v>
      </c>
    </row>
    <row r="3013" spans="2:4">
      <c r="B3013" s="121">
        <v>44384</v>
      </c>
      <c r="C3013" s="123">
        <v>1.33</v>
      </c>
      <c r="D3013" s="73">
        <f t="shared" si="87"/>
        <v>1.3300000000000001E-2</v>
      </c>
    </row>
    <row r="3014" spans="2:4">
      <c r="B3014" s="121">
        <v>44385</v>
      </c>
      <c r="C3014" s="123">
        <v>1.3</v>
      </c>
      <c r="D3014" s="73">
        <f t="shared" si="87"/>
        <v>1.3000000000000001E-2</v>
      </c>
    </row>
    <row r="3015" spans="2:4">
      <c r="B3015" s="121">
        <v>44386</v>
      </c>
      <c r="C3015" s="123">
        <v>1.37</v>
      </c>
      <c r="D3015" s="73">
        <f t="shared" si="87"/>
        <v>1.37E-2</v>
      </c>
    </row>
    <row r="3016" spans="2:4">
      <c r="B3016" s="121">
        <v>44389</v>
      </c>
      <c r="C3016" s="123">
        <v>1.38</v>
      </c>
      <c r="D3016" s="73">
        <f t="shared" ref="D3016:D3020" si="88">IF( LEN( C3016 ) = 0, #N/A, IF( C3016 = "ND", D3015, C3016 / 100 ) )</f>
        <v>1.38E-2</v>
      </c>
    </row>
    <row r="3017" spans="2:4">
      <c r="B3017" s="121">
        <v>44390</v>
      </c>
      <c r="C3017" s="123">
        <v>1.42</v>
      </c>
      <c r="D3017" s="73">
        <f t="shared" si="88"/>
        <v>1.4199999999999999E-2</v>
      </c>
    </row>
    <row r="3018" spans="2:4">
      <c r="B3018" s="121">
        <v>44391</v>
      </c>
      <c r="C3018" s="123">
        <v>1.37</v>
      </c>
      <c r="D3018" s="73">
        <f t="shared" si="88"/>
        <v>1.37E-2</v>
      </c>
    </row>
    <row r="3019" spans="2:4">
      <c r="B3019" s="121">
        <v>44392</v>
      </c>
      <c r="C3019" s="123">
        <v>1.31</v>
      </c>
      <c r="D3019" s="73">
        <f t="shared" si="88"/>
        <v>1.3100000000000001E-2</v>
      </c>
    </row>
    <row r="3020" spans="2:4">
      <c r="B3020" s="121">
        <v>44393</v>
      </c>
      <c r="C3020" s="123">
        <v>1.31</v>
      </c>
      <c r="D3020" s="73">
        <f t="shared" si="88"/>
        <v>1.3100000000000001E-2</v>
      </c>
    </row>
    <row r="3021" spans="2:4">
      <c r="B3021" s="121">
        <v>44396</v>
      </c>
      <c r="C3021" s="123">
        <v>1.19</v>
      </c>
      <c r="D3021" s="73">
        <f t="shared" ref="D3021:D3025" si="89">IF( LEN( C3021 ) = 0, #N/A, IF( C3021 = "ND", D3020, C3021 / 100 ) )</f>
        <v>1.1899999999999999E-2</v>
      </c>
    </row>
    <row r="3022" spans="2:4">
      <c r="B3022" s="121">
        <v>44397</v>
      </c>
      <c r="C3022" s="123">
        <v>1.23</v>
      </c>
      <c r="D3022" s="73">
        <f t="shared" si="89"/>
        <v>1.23E-2</v>
      </c>
    </row>
    <row r="3023" spans="2:4">
      <c r="B3023" s="121">
        <v>44398</v>
      </c>
      <c r="C3023" s="123">
        <v>1.3</v>
      </c>
      <c r="D3023" s="73">
        <f t="shared" si="89"/>
        <v>1.3000000000000001E-2</v>
      </c>
    </row>
    <row r="3024" spans="2:4">
      <c r="B3024" s="121">
        <v>44399</v>
      </c>
      <c r="C3024" s="123">
        <v>1.27</v>
      </c>
      <c r="D3024" s="73">
        <f t="shared" si="89"/>
        <v>1.2699999999999999E-2</v>
      </c>
    </row>
    <row r="3025" spans="2:4">
      <c r="B3025" s="121">
        <v>44400</v>
      </c>
      <c r="C3025" s="123">
        <v>1.3</v>
      </c>
      <c r="D3025" s="73">
        <f t="shared" si="89"/>
        <v>1.3000000000000001E-2</v>
      </c>
    </row>
    <row r="3026" spans="2:4">
      <c r="B3026" s="121">
        <v>44403</v>
      </c>
      <c r="C3026" s="123">
        <v>1.29</v>
      </c>
      <c r="D3026" s="73">
        <f t="shared" ref="D3026:D3045" si="90">IF( LEN( C3026 ) = 0, #N/A, IF( C3026 = "ND", D3025, C3026 / 100 ) )</f>
        <v>1.29E-2</v>
      </c>
    </row>
    <row r="3027" spans="2:4">
      <c r="B3027" s="121">
        <v>44404</v>
      </c>
      <c r="C3027" s="123">
        <v>1.25</v>
      </c>
      <c r="D3027" s="73">
        <f t="shared" si="90"/>
        <v>1.2500000000000001E-2</v>
      </c>
    </row>
    <row r="3028" spans="2:4">
      <c r="B3028" s="121">
        <v>44405</v>
      </c>
      <c r="C3028" s="123">
        <v>1.26</v>
      </c>
      <c r="D3028" s="73">
        <f t="shared" si="90"/>
        <v>1.26E-2</v>
      </c>
    </row>
    <row r="3029" spans="2:4">
      <c r="B3029" s="121">
        <v>44406</v>
      </c>
      <c r="C3029" s="123">
        <v>1.28</v>
      </c>
      <c r="D3029" s="73">
        <f t="shared" si="90"/>
        <v>1.2800000000000001E-2</v>
      </c>
    </row>
    <row r="3030" spans="2:4">
      <c r="B3030" s="121">
        <v>44407</v>
      </c>
      <c r="C3030" s="123">
        <v>1.24</v>
      </c>
      <c r="D3030" s="73">
        <f t="shared" si="90"/>
        <v>1.24E-2</v>
      </c>
    </row>
    <row r="3031" spans="2:4">
      <c r="B3031" s="121">
        <v>44410</v>
      </c>
      <c r="C3031" s="123">
        <v>1.2</v>
      </c>
      <c r="D3031" s="73">
        <f t="shared" si="90"/>
        <v>1.2E-2</v>
      </c>
    </row>
    <row r="3032" spans="2:4">
      <c r="B3032" s="121">
        <v>44411</v>
      </c>
      <c r="C3032" s="123">
        <v>1.19</v>
      </c>
      <c r="D3032" s="73">
        <f t="shared" si="90"/>
        <v>1.1899999999999999E-2</v>
      </c>
    </row>
    <row r="3033" spans="2:4">
      <c r="B3033" s="121">
        <v>44412</v>
      </c>
      <c r="C3033" s="123">
        <v>1.19</v>
      </c>
      <c r="D3033" s="73">
        <f t="shared" si="90"/>
        <v>1.1899999999999999E-2</v>
      </c>
    </row>
    <row r="3034" spans="2:4">
      <c r="B3034" s="121">
        <v>44413</v>
      </c>
      <c r="C3034" s="123">
        <v>1.23</v>
      </c>
      <c r="D3034" s="73">
        <f t="shared" si="90"/>
        <v>1.23E-2</v>
      </c>
    </row>
    <row r="3035" spans="2:4">
      <c r="B3035" s="121">
        <v>44414</v>
      </c>
      <c r="C3035" s="123">
        <v>1.31</v>
      </c>
      <c r="D3035" s="73">
        <f t="shared" si="90"/>
        <v>1.3100000000000001E-2</v>
      </c>
    </row>
    <row r="3036" spans="2:4">
      <c r="B3036" s="121">
        <v>44417</v>
      </c>
      <c r="C3036" s="123">
        <v>1.33</v>
      </c>
      <c r="D3036" s="73">
        <f t="shared" si="90"/>
        <v>1.3300000000000001E-2</v>
      </c>
    </row>
    <row r="3037" spans="2:4">
      <c r="B3037" s="121">
        <v>44418</v>
      </c>
      <c r="C3037" s="123">
        <v>1.36</v>
      </c>
      <c r="D3037" s="73">
        <f t="shared" si="90"/>
        <v>1.3600000000000001E-2</v>
      </c>
    </row>
    <row r="3038" spans="2:4">
      <c r="B3038" s="121">
        <v>44419</v>
      </c>
      <c r="C3038" s="123">
        <v>1.35</v>
      </c>
      <c r="D3038" s="73">
        <f t="shared" si="90"/>
        <v>1.3500000000000002E-2</v>
      </c>
    </row>
    <row r="3039" spans="2:4">
      <c r="B3039" s="121">
        <v>44420</v>
      </c>
      <c r="C3039" s="123">
        <v>1.36</v>
      </c>
      <c r="D3039" s="73">
        <f t="shared" si="90"/>
        <v>1.3600000000000001E-2</v>
      </c>
    </row>
    <row r="3040" spans="2:4">
      <c r="B3040" s="121">
        <v>44421</v>
      </c>
      <c r="C3040" s="123">
        <v>1.29</v>
      </c>
      <c r="D3040" s="73">
        <f t="shared" si="90"/>
        <v>1.29E-2</v>
      </c>
    </row>
    <row r="3041" spans="2:4">
      <c r="B3041" s="121">
        <v>44424</v>
      </c>
      <c r="C3041" s="123">
        <v>1.26</v>
      </c>
      <c r="D3041" s="73">
        <f t="shared" si="90"/>
        <v>1.26E-2</v>
      </c>
    </row>
    <row r="3042" spans="2:4">
      <c r="B3042" s="121">
        <v>44425</v>
      </c>
      <c r="C3042" s="123">
        <v>1.26</v>
      </c>
      <c r="D3042" s="73">
        <f t="shared" si="90"/>
        <v>1.26E-2</v>
      </c>
    </row>
    <row r="3043" spans="2:4">
      <c r="B3043" s="121">
        <v>44426</v>
      </c>
      <c r="C3043" s="123">
        <v>1.27</v>
      </c>
      <c r="D3043" s="73">
        <f t="shared" si="90"/>
        <v>1.2699999999999999E-2</v>
      </c>
    </row>
    <row r="3044" spans="2:4">
      <c r="B3044" s="121">
        <v>44427</v>
      </c>
      <c r="C3044" s="123">
        <v>1.24</v>
      </c>
      <c r="D3044" s="73">
        <f t="shared" si="90"/>
        <v>1.24E-2</v>
      </c>
    </row>
    <row r="3045" spans="2:4">
      <c r="B3045" s="121">
        <v>44428</v>
      </c>
      <c r="C3045" s="123">
        <v>1.26</v>
      </c>
      <c r="D3045" s="73">
        <f t="shared" si="90"/>
        <v>1.26E-2</v>
      </c>
    </row>
    <row r="3046" spans="2:4">
      <c r="B3046" s="121">
        <v>44431</v>
      </c>
      <c r="C3046" s="123">
        <v>1.25</v>
      </c>
      <c r="D3046" s="73">
        <f t="shared" ref="D3046:D3065" si="91">IF( LEN( C3046 ) = 0, #N/A, IF( C3046 = "ND", D3045, C3046 / 100 ) )</f>
        <v>1.2500000000000001E-2</v>
      </c>
    </row>
    <row r="3047" spans="2:4">
      <c r="B3047" s="121">
        <v>44432</v>
      </c>
      <c r="C3047" s="123">
        <v>1.29</v>
      </c>
      <c r="D3047" s="73">
        <f t="shared" si="91"/>
        <v>1.29E-2</v>
      </c>
    </row>
    <row r="3048" spans="2:4">
      <c r="B3048" s="121">
        <v>44433</v>
      </c>
      <c r="C3048" s="123">
        <v>1.35</v>
      </c>
      <c r="D3048" s="73">
        <f t="shared" si="91"/>
        <v>1.3500000000000002E-2</v>
      </c>
    </row>
    <row r="3049" spans="2:4">
      <c r="B3049" s="121">
        <v>44434</v>
      </c>
      <c r="C3049" s="123">
        <v>1.34</v>
      </c>
      <c r="D3049" s="73">
        <f t="shared" si="91"/>
        <v>1.34E-2</v>
      </c>
    </row>
    <row r="3050" spans="2:4">
      <c r="B3050" s="121">
        <v>44435</v>
      </c>
      <c r="C3050" s="123">
        <v>1.31</v>
      </c>
      <c r="D3050" s="73">
        <f t="shared" si="91"/>
        <v>1.3100000000000001E-2</v>
      </c>
    </row>
    <row r="3051" spans="2:4">
      <c r="B3051" s="121">
        <v>44438</v>
      </c>
      <c r="C3051" s="123">
        <v>1.29</v>
      </c>
      <c r="D3051" s="73">
        <f t="shared" si="91"/>
        <v>1.29E-2</v>
      </c>
    </row>
    <row r="3052" spans="2:4">
      <c r="B3052" s="121">
        <v>44439</v>
      </c>
      <c r="C3052" s="123">
        <v>1.3</v>
      </c>
      <c r="D3052" s="73">
        <f t="shared" si="91"/>
        <v>1.3000000000000001E-2</v>
      </c>
    </row>
    <row r="3053" spans="2:4">
      <c r="B3053" s="121">
        <v>44440</v>
      </c>
      <c r="C3053" s="123">
        <v>1.31</v>
      </c>
      <c r="D3053" s="73">
        <f t="shared" si="91"/>
        <v>1.3100000000000001E-2</v>
      </c>
    </row>
    <row r="3054" spans="2:4">
      <c r="B3054" s="121">
        <v>44441</v>
      </c>
      <c r="C3054" s="123">
        <v>1.29</v>
      </c>
      <c r="D3054" s="73">
        <f t="shared" si="91"/>
        <v>1.29E-2</v>
      </c>
    </row>
    <row r="3055" spans="2:4">
      <c r="B3055" s="121">
        <v>44442</v>
      </c>
      <c r="C3055" s="123">
        <v>1.33</v>
      </c>
      <c r="D3055" s="73">
        <f t="shared" si="91"/>
        <v>1.3300000000000001E-2</v>
      </c>
    </row>
    <row r="3056" spans="2:4">
      <c r="B3056" s="121">
        <v>44445</v>
      </c>
      <c r="C3056" s="123" t="s">
        <v>325</v>
      </c>
      <c r="D3056" s="73">
        <f t="shared" si="91"/>
        <v>1.3300000000000001E-2</v>
      </c>
    </row>
    <row r="3057" spans="2:4">
      <c r="B3057" s="121">
        <v>44446</v>
      </c>
      <c r="C3057" s="123">
        <v>1.38</v>
      </c>
      <c r="D3057" s="73">
        <f t="shared" si="91"/>
        <v>1.38E-2</v>
      </c>
    </row>
    <row r="3058" spans="2:4">
      <c r="B3058" s="121">
        <v>44447</v>
      </c>
      <c r="C3058" s="123">
        <v>1.35</v>
      </c>
      <c r="D3058" s="73">
        <f t="shared" si="91"/>
        <v>1.3500000000000002E-2</v>
      </c>
    </row>
    <row r="3059" spans="2:4">
      <c r="B3059" s="121">
        <v>44448</v>
      </c>
      <c r="C3059" s="123">
        <v>1.3</v>
      </c>
      <c r="D3059" s="73">
        <f t="shared" si="91"/>
        <v>1.3000000000000001E-2</v>
      </c>
    </row>
    <row r="3060" spans="2:4">
      <c r="B3060" s="121">
        <v>44449</v>
      </c>
      <c r="C3060" s="123">
        <v>1.35</v>
      </c>
      <c r="D3060" s="73">
        <f t="shared" si="91"/>
        <v>1.3500000000000002E-2</v>
      </c>
    </row>
    <row r="3061" spans="2:4">
      <c r="B3061" s="121">
        <v>44452</v>
      </c>
      <c r="C3061" s="123">
        <v>1.33</v>
      </c>
      <c r="D3061" s="73">
        <f t="shared" si="91"/>
        <v>1.3300000000000001E-2</v>
      </c>
    </row>
    <row r="3062" spans="2:4">
      <c r="B3062" s="121">
        <v>44453</v>
      </c>
      <c r="C3062" s="123">
        <v>1.28</v>
      </c>
      <c r="D3062" s="73">
        <f t="shared" si="91"/>
        <v>1.2800000000000001E-2</v>
      </c>
    </row>
    <row r="3063" spans="2:4">
      <c r="B3063" s="121">
        <v>44454</v>
      </c>
      <c r="C3063" s="123">
        <v>1.31</v>
      </c>
      <c r="D3063" s="73">
        <f t="shared" si="91"/>
        <v>1.3100000000000001E-2</v>
      </c>
    </row>
    <row r="3064" spans="2:4">
      <c r="B3064" s="121">
        <v>44455</v>
      </c>
      <c r="C3064" s="123">
        <v>1.34</v>
      </c>
      <c r="D3064" s="73">
        <f t="shared" si="91"/>
        <v>1.34E-2</v>
      </c>
    </row>
    <row r="3065" spans="2:4">
      <c r="B3065" s="121">
        <v>44456</v>
      </c>
      <c r="C3065" s="123">
        <v>1.37</v>
      </c>
      <c r="D3065" s="73">
        <f t="shared" si="91"/>
        <v>1.37E-2</v>
      </c>
    </row>
    <row r="3066" spans="2:4">
      <c r="B3066" s="121">
        <v>44459</v>
      </c>
      <c r="C3066" s="123">
        <v>1.31</v>
      </c>
      <c r="D3066" s="73">
        <f t="shared" ref="D3066:D3074" si="92">IF( LEN( C3066 ) = 0, #N/A, IF( C3066 = "ND", D3065, C3066 / 100 ) )</f>
        <v>1.3100000000000001E-2</v>
      </c>
    </row>
    <row r="3067" spans="2:4">
      <c r="B3067" s="121">
        <v>44460</v>
      </c>
      <c r="C3067" s="123">
        <v>1.33</v>
      </c>
      <c r="D3067" s="73">
        <f t="shared" si="92"/>
        <v>1.3300000000000001E-2</v>
      </c>
    </row>
    <row r="3068" spans="2:4">
      <c r="B3068" s="121">
        <v>44461</v>
      </c>
      <c r="C3068" s="123">
        <v>1.32</v>
      </c>
      <c r="D3068" s="73">
        <f t="shared" si="92"/>
        <v>1.32E-2</v>
      </c>
    </row>
    <row r="3069" spans="2:4">
      <c r="B3069" s="121">
        <v>44462</v>
      </c>
      <c r="C3069" s="123">
        <v>1.41</v>
      </c>
      <c r="D3069" s="73">
        <f t="shared" si="92"/>
        <v>1.41E-2</v>
      </c>
    </row>
    <row r="3070" spans="2:4">
      <c r="B3070" s="121">
        <v>44463</v>
      </c>
      <c r="C3070" s="123">
        <v>1.47</v>
      </c>
      <c r="D3070" s="73">
        <f t="shared" si="92"/>
        <v>1.47E-2</v>
      </c>
    </row>
    <row r="3071" spans="2:4">
      <c r="B3071" s="121">
        <v>44466</v>
      </c>
      <c r="C3071" s="123">
        <v>1.48</v>
      </c>
      <c r="D3071" s="73">
        <f t="shared" si="92"/>
        <v>1.4800000000000001E-2</v>
      </c>
    </row>
    <row r="3072" spans="2:4">
      <c r="B3072" s="121">
        <v>44467</v>
      </c>
      <c r="C3072" s="123">
        <v>1.54</v>
      </c>
      <c r="D3072" s="73">
        <f t="shared" si="92"/>
        <v>1.54E-2</v>
      </c>
    </row>
    <row r="3073" spans="2:4">
      <c r="B3073" s="121">
        <v>44468</v>
      </c>
      <c r="C3073" s="123">
        <v>1.55</v>
      </c>
      <c r="D3073" s="73">
        <f t="shared" si="92"/>
        <v>1.55E-2</v>
      </c>
    </row>
    <row r="3074" spans="2:4">
      <c r="B3074" s="121">
        <v>44469</v>
      </c>
      <c r="C3074" s="123">
        <v>1.52</v>
      </c>
      <c r="D3074" s="73">
        <f t="shared" si="92"/>
        <v>1.52E-2</v>
      </c>
    </row>
    <row r="3075" spans="2:4">
      <c r="B3075" s="121">
        <v>44470</v>
      </c>
      <c r="C3075" s="123">
        <v>1.48</v>
      </c>
      <c r="D3075" s="73">
        <f t="shared" ref="D3075:D3079" si="93">IF( LEN( C3075 ) = 0, #N/A, IF( C3075 = "ND", D3074, C3075 / 100 ) )</f>
        <v>1.4800000000000001E-2</v>
      </c>
    </row>
    <row r="3076" spans="2:4">
      <c r="B3076" s="121">
        <v>44473</v>
      </c>
      <c r="C3076" s="123">
        <v>1.49</v>
      </c>
      <c r="D3076" s="73">
        <f t="shared" si="93"/>
        <v>1.49E-2</v>
      </c>
    </row>
    <row r="3077" spans="2:4">
      <c r="B3077" s="121">
        <v>44474</v>
      </c>
      <c r="C3077" s="123">
        <v>1.54</v>
      </c>
      <c r="D3077" s="73">
        <f t="shared" si="93"/>
        <v>1.54E-2</v>
      </c>
    </row>
    <row r="3078" spans="2:4">
      <c r="B3078" s="121">
        <v>44475</v>
      </c>
      <c r="C3078" s="123">
        <v>1.53</v>
      </c>
      <c r="D3078" s="73">
        <f t="shared" si="93"/>
        <v>1.5300000000000001E-2</v>
      </c>
    </row>
    <row r="3079" spans="2:4">
      <c r="B3079" s="121">
        <v>44476</v>
      </c>
      <c r="C3079" s="123">
        <v>1.58</v>
      </c>
      <c r="D3079" s="73">
        <f t="shared" si="93"/>
        <v>1.5800000000000002E-2</v>
      </c>
    </row>
    <row r="3080" spans="2:4">
      <c r="B3080" s="121">
        <v>44477</v>
      </c>
      <c r="C3080" s="123">
        <v>1.61</v>
      </c>
      <c r="D3080" s="73">
        <f t="shared" ref="D3080:D3084" si="94">IF( LEN( C3080 ) = 0, #N/A, IF( C3080 = "ND", D3079, C3080 / 100 ) )</f>
        <v>1.61E-2</v>
      </c>
    </row>
    <row r="3081" spans="2:4">
      <c r="B3081" s="121">
        <v>44480</v>
      </c>
      <c r="C3081" s="123" t="s">
        <v>325</v>
      </c>
      <c r="D3081" s="73">
        <f t="shared" si="94"/>
        <v>1.61E-2</v>
      </c>
    </row>
    <row r="3082" spans="2:4">
      <c r="B3082" s="121">
        <v>44481</v>
      </c>
      <c r="C3082" s="123">
        <v>1.59</v>
      </c>
      <c r="D3082" s="73">
        <f t="shared" si="94"/>
        <v>1.5900000000000001E-2</v>
      </c>
    </row>
    <row r="3083" spans="2:4">
      <c r="B3083" s="121">
        <v>44482</v>
      </c>
      <c r="C3083" s="123">
        <v>1.56</v>
      </c>
      <c r="D3083" s="73">
        <f t="shared" si="94"/>
        <v>1.5600000000000001E-2</v>
      </c>
    </row>
    <row r="3084" spans="2:4">
      <c r="B3084" s="121">
        <v>44483</v>
      </c>
      <c r="C3084" s="123">
        <v>1.52</v>
      </c>
      <c r="D3084" s="73">
        <f t="shared" si="94"/>
        <v>1.52E-2</v>
      </c>
    </row>
    <row r="3085" spans="2:4">
      <c r="B3085" s="121">
        <v>44484</v>
      </c>
      <c r="C3085" s="123">
        <v>1.59</v>
      </c>
      <c r="D3085" s="73">
        <f t="shared" ref="D3085:D3089" si="95">IF( LEN( C3085 ) = 0, #N/A, IF( C3085 = "ND", D3084, C3085 / 100 ) )</f>
        <v>1.5900000000000001E-2</v>
      </c>
    </row>
    <row r="3086" spans="2:4">
      <c r="B3086" s="121">
        <v>44487</v>
      </c>
      <c r="C3086" s="123">
        <v>1.59</v>
      </c>
      <c r="D3086" s="73">
        <f t="shared" si="95"/>
        <v>1.5900000000000001E-2</v>
      </c>
    </row>
    <row r="3087" spans="2:4">
      <c r="B3087" s="121">
        <v>44488</v>
      </c>
      <c r="C3087" s="123">
        <v>1.65</v>
      </c>
      <c r="D3087" s="73">
        <f t="shared" si="95"/>
        <v>1.6500000000000001E-2</v>
      </c>
    </row>
    <row r="3088" spans="2:4">
      <c r="B3088" s="121">
        <v>44489</v>
      </c>
      <c r="C3088" s="123">
        <v>1.65</v>
      </c>
      <c r="D3088" s="73">
        <f t="shared" si="95"/>
        <v>1.6500000000000001E-2</v>
      </c>
    </row>
    <row r="3089" spans="2:4">
      <c r="B3089" s="121">
        <v>44490</v>
      </c>
      <c r="C3089" s="123">
        <v>1.68</v>
      </c>
      <c r="D3089" s="73">
        <f t="shared" si="95"/>
        <v>1.6799999999999999E-2</v>
      </c>
    </row>
    <row r="3090" spans="2:4">
      <c r="B3090" s="121">
        <v>44491</v>
      </c>
      <c r="C3090" s="123">
        <v>1.66</v>
      </c>
      <c r="D3090" s="73">
        <f t="shared" ref="D3090:D3094" si="96">IF( LEN( C3090 ) = 0, #N/A, IF( C3090 = "ND", D3089, C3090 / 100 ) )</f>
        <v>1.66E-2</v>
      </c>
    </row>
    <row r="3091" spans="2:4">
      <c r="B3091" s="121">
        <v>44494</v>
      </c>
      <c r="C3091" s="123">
        <v>1.64</v>
      </c>
      <c r="D3091" s="73">
        <f t="shared" si="96"/>
        <v>1.6399999999999998E-2</v>
      </c>
    </row>
    <row r="3092" spans="2:4">
      <c r="B3092" s="121">
        <v>44495</v>
      </c>
      <c r="C3092" s="123">
        <v>1.63</v>
      </c>
      <c r="D3092" s="73">
        <f t="shared" si="96"/>
        <v>1.6299999999999999E-2</v>
      </c>
    </row>
    <row r="3093" spans="2:4">
      <c r="B3093" s="121">
        <v>44496</v>
      </c>
      <c r="C3093" s="123">
        <v>1.54</v>
      </c>
      <c r="D3093" s="73">
        <f t="shared" si="96"/>
        <v>1.54E-2</v>
      </c>
    </row>
    <row r="3094" spans="2:4">
      <c r="B3094" s="121">
        <v>44497</v>
      </c>
      <c r="C3094" s="123">
        <v>1.57</v>
      </c>
      <c r="D3094" s="73">
        <f t="shared" si="96"/>
        <v>1.5700000000000002E-2</v>
      </c>
    </row>
    <row r="3095" spans="2:4">
      <c r="B3095" s="121">
        <v>44498</v>
      </c>
      <c r="C3095" s="123">
        <v>1.55</v>
      </c>
      <c r="D3095" s="73">
        <f t="shared" ref="D3095:D3119" si="97">IF( LEN( C3095 ) = 0, #N/A, IF( C3095 = "ND", D3094, C3095 / 100 ) )</f>
        <v>1.55E-2</v>
      </c>
    </row>
    <row r="3096" spans="2:4">
      <c r="B3096" s="121">
        <v>44501</v>
      </c>
      <c r="C3096" s="123">
        <v>1.58</v>
      </c>
      <c r="D3096" s="73">
        <f t="shared" si="97"/>
        <v>1.5800000000000002E-2</v>
      </c>
    </row>
    <row r="3097" spans="2:4">
      <c r="B3097" s="121">
        <v>44502</v>
      </c>
      <c r="C3097" s="123">
        <v>1.56</v>
      </c>
      <c r="D3097" s="73">
        <f t="shared" si="97"/>
        <v>1.5600000000000001E-2</v>
      </c>
    </row>
    <row r="3098" spans="2:4">
      <c r="B3098" s="121">
        <v>44503</v>
      </c>
      <c r="C3098" s="123">
        <v>1.6</v>
      </c>
      <c r="D3098" s="73">
        <f t="shared" si="97"/>
        <v>1.6E-2</v>
      </c>
    </row>
    <row r="3099" spans="2:4">
      <c r="B3099" s="121">
        <v>44504</v>
      </c>
      <c r="C3099" s="123">
        <v>1.53</v>
      </c>
      <c r="D3099" s="73">
        <f t="shared" si="97"/>
        <v>1.5300000000000001E-2</v>
      </c>
    </row>
    <row r="3100" spans="2:4">
      <c r="B3100" s="121">
        <v>44505</v>
      </c>
      <c r="C3100" s="123">
        <v>1.45</v>
      </c>
      <c r="D3100" s="73">
        <f t="shared" si="97"/>
        <v>1.4499999999999999E-2</v>
      </c>
    </row>
    <row r="3101" spans="2:4">
      <c r="B3101" s="121">
        <v>44508</v>
      </c>
      <c r="C3101" s="123">
        <v>1.51</v>
      </c>
      <c r="D3101" s="73">
        <f t="shared" si="97"/>
        <v>1.5100000000000001E-2</v>
      </c>
    </row>
    <row r="3102" spans="2:4">
      <c r="B3102" s="121">
        <v>44509</v>
      </c>
      <c r="C3102" s="123">
        <v>1.46</v>
      </c>
      <c r="D3102" s="73">
        <f t="shared" si="97"/>
        <v>1.46E-2</v>
      </c>
    </row>
    <row r="3103" spans="2:4">
      <c r="B3103" s="121">
        <v>44510</v>
      </c>
      <c r="C3103" s="123">
        <v>1.56</v>
      </c>
      <c r="D3103" s="73">
        <f t="shared" si="97"/>
        <v>1.5600000000000001E-2</v>
      </c>
    </row>
    <row r="3104" spans="2:4">
      <c r="B3104" s="121">
        <v>44511</v>
      </c>
      <c r="C3104" s="123" t="s">
        <v>325</v>
      </c>
      <c r="D3104" s="73">
        <f t="shared" si="97"/>
        <v>1.5600000000000001E-2</v>
      </c>
    </row>
    <row r="3105" spans="2:4">
      <c r="B3105" s="121">
        <v>44512</v>
      </c>
      <c r="C3105" s="123">
        <v>1.58</v>
      </c>
      <c r="D3105" s="73">
        <f t="shared" si="97"/>
        <v>1.5800000000000002E-2</v>
      </c>
    </row>
    <row r="3106" spans="2:4">
      <c r="B3106" s="121">
        <v>44515</v>
      </c>
      <c r="C3106" s="123">
        <v>1.63</v>
      </c>
      <c r="D3106" s="73">
        <f t="shared" si="97"/>
        <v>1.6299999999999999E-2</v>
      </c>
    </row>
    <row r="3107" spans="2:4">
      <c r="B3107" s="121">
        <v>44516</v>
      </c>
      <c r="C3107" s="123">
        <v>1.63</v>
      </c>
      <c r="D3107" s="73">
        <f t="shared" si="97"/>
        <v>1.6299999999999999E-2</v>
      </c>
    </row>
    <row r="3108" spans="2:4">
      <c r="B3108" s="121">
        <v>44517</v>
      </c>
      <c r="C3108" s="123">
        <v>1.6</v>
      </c>
      <c r="D3108" s="73">
        <f t="shared" si="97"/>
        <v>1.6E-2</v>
      </c>
    </row>
    <row r="3109" spans="2:4">
      <c r="B3109" s="121">
        <v>44518</v>
      </c>
      <c r="C3109" s="123">
        <v>1.59</v>
      </c>
      <c r="D3109" s="73">
        <f t="shared" si="97"/>
        <v>1.5900000000000001E-2</v>
      </c>
    </row>
    <row r="3110" spans="2:4">
      <c r="B3110" s="121">
        <v>44519</v>
      </c>
      <c r="C3110" s="123">
        <v>1.54</v>
      </c>
      <c r="D3110" s="73">
        <f t="shared" si="97"/>
        <v>1.54E-2</v>
      </c>
    </row>
    <row r="3111" spans="2:4">
      <c r="B3111" s="121">
        <v>44522</v>
      </c>
      <c r="C3111" s="123">
        <v>1.63</v>
      </c>
      <c r="D3111" s="73">
        <f t="shared" si="97"/>
        <v>1.6299999999999999E-2</v>
      </c>
    </row>
    <row r="3112" spans="2:4">
      <c r="B3112" s="121">
        <v>44523</v>
      </c>
      <c r="C3112" s="123">
        <v>1.67</v>
      </c>
      <c r="D3112" s="73">
        <f t="shared" si="97"/>
        <v>1.67E-2</v>
      </c>
    </row>
    <row r="3113" spans="2:4">
      <c r="B3113" s="121">
        <v>44524</v>
      </c>
      <c r="C3113" s="123">
        <v>1.64</v>
      </c>
      <c r="D3113" s="73">
        <f t="shared" si="97"/>
        <v>1.6399999999999998E-2</v>
      </c>
    </row>
    <row r="3114" spans="2:4">
      <c r="B3114" s="121">
        <v>44525</v>
      </c>
      <c r="C3114" s="123" t="s">
        <v>325</v>
      </c>
      <c r="D3114" s="73">
        <f t="shared" si="97"/>
        <v>1.6399999999999998E-2</v>
      </c>
    </row>
    <row r="3115" spans="2:4">
      <c r="B3115" s="121">
        <v>44526</v>
      </c>
      <c r="C3115" s="123">
        <v>1.48</v>
      </c>
      <c r="D3115" s="73">
        <f t="shared" si="97"/>
        <v>1.4800000000000001E-2</v>
      </c>
    </row>
    <row r="3116" spans="2:4">
      <c r="B3116" s="121">
        <v>44529</v>
      </c>
      <c r="C3116" s="123">
        <v>1.52</v>
      </c>
      <c r="D3116" s="73">
        <f t="shared" si="97"/>
        <v>1.52E-2</v>
      </c>
    </row>
    <row r="3117" spans="2:4">
      <c r="B3117" s="121">
        <v>44530</v>
      </c>
      <c r="C3117" s="123">
        <v>1.43</v>
      </c>
      <c r="D3117" s="73">
        <f t="shared" si="97"/>
        <v>1.43E-2</v>
      </c>
    </row>
    <row r="3118" spans="2:4">
      <c r="B3118" s="121">
        <v>44531</v>
      </c>
      <c r="C3118" s="123">
        <v>1.43</v>
      </c>
      <c r="D3118" s="73">
        <f t="shared" si="97"/>
        <v>1.43E-2</v>
      </c>
    </row>
    <row r="3119" spans="2:4">
      <c r="B3119" s="121">
        <v>44532</v>
      </c>
      <c r="C3119" s="123">
        <v>1.44</v>
      </c>
      <c r="D3119" s="73">
        <f t="shared" si="97"/>
        <v>1.44E-2</v>
      </c>
    </row>
    <row r="3120" spans="2:4">
      <c r="B3120" s="121">
        <v>44533</v>
      </c>
      <c r="C3120" s="123">
        <v>1.35</v>
      </c>
      <c r="D3120" s="73">
        <f t="shared" ref="D3120:D3144" si="98">IF( LEN( C3120 ) = 0, #N/A, IF( C3120 = "ND", D3119, C3120 / 100 ) )</f>
        <v>1.3500000000000002E-2</v>
      </c>
    </row>
    <row r="3121" spans="2:4">
      <c r="B3121" s="121">
        <v>44536</v>
      </c>
      <c r="C3121" s="123">
        <v>1.43</v>
      </c>
      <c r="D3121" s="73">
        <f t="shared" si="98"/>
        <v>1.43E-2</v>
      </c>
    </row>
    <row r="3122" spans="2:4">
      <c r="B3122" s="121">
        <v>44537</v>
      </c>
      <c r="C3122" s="123">
        <v>1.48</v>
      </c>
      <c r="D3122" s="73">
        <f t="shared" si="98"/>
        <v>1.4800000000000001E-2</v>
      </c>
    </row>
    <row r="3123" spans="2:4">
      <c r="B3123" s="121">
        <v>44538</v>
      </c>
      <c r="C3123" s="123">
        <v>1.52</v>
      </c>
      <c r="D3123" s="73">
        <f t="shared" si="98"/>
        <v>1.52E-2</v>
      </c>
    </row>
    <row r="3124" spans="2:4">
      <c r="B3124" s="121">
        <v>44539</v>
      </c>
      <c r="C3124" s="123">
        <v>1.49</v>
      </c>
      <c r="D3124" s="73">
        <f t="shared" si="98"/>
        <v>1.49E-2</v>
      </c>
    </row>
    <row r="3125" spans="2:4">
      <c r="B3125" s="121">
        <v>44540</v>
      </c>
      <c r="C3125" s="123">
        <v>1.48</v>
      </c>
      <c r="D3125" s="73">
        <f t="shared" si="98"/>
        <v>1.4800000000000001E-2</v>
      </c>
    </row>
    <row r="3126" spans="2:4">
      <c r="B3126" s="121">
        <v>44543</v>
      </c>
      <c r="C3126" s="123">
        <v>1.42</v>
      </c>
      <c r="D3126" s="73">
        <f t="shared" si="98"/>
        <v>1.4199999999999999E-2</v>
      </c>
    </row>
    <row r="3127" spans="2:4">
      <c r="B3127" s="121">
        <v>44544</v>
      </c>
      <c r="C3127" s="123">
        <v>1.44</v>
      </c>
      <c r="D3127" s="73">
        <f t="shared" si="98"/>
        <v>1.44E-2</v>
      </c>
    </row>
    <row r="3128" spans="2:4">
      <c r="B3128" s="121">
        <v>44545</v>
      </c>
      <c r="C3128" s="123">
        <v>1.47</v>
      </c>
      <c r="D3128" s="73">
        <f t="shared" si="98"/>
        <v>1.47E-2</v>
      </c>
    </row>
    <row r="3129" spans="2:4">
      <c r="B3129" s="121">
        <v>44546</v>
      </c>
      <c r="C3129" s="123">
        <v>1.44</v>
      </c>
      <c r="D3129" s="73">
        <f t="shared" si="98"/>
        <v>1.44E-2</v>
      </c>
    </row>
    <row r="3130" spans="2:4">
      <c r="B3130" s="121">
        <v>44547</v>
      </c>
      <c r="C3130" s="123">
        <v>1.41</v>
      </c>
      <c r="D3130" s="73">
        <f t="shared" si="98"/>
        <v>1.41E-2</v>
      </c>
    </row>
    <row r="3131" spans="2:4">
      <c r="B3131" s="121">
        <v>44550</v>
      </c>
      <c r="C3131" s="123">
        <v>1.43</v>
      </c>
      <c r="D3131" s="73">
        <f t="shared" si="98"/>
        <v>1.43E-2</v>
      </c>
    </row>
    <row r="3132" spans="2:4">
      <c r="B3132" s="121">
        <v>44551</v>
      </c>
      <c r="C3132" s="123">
        <v>1.48</v>
      </c>
      <c r="D3132" s="73">
        <f t="shared" si="98"/>
        <v>1.4800000000000001E-2</v>
      </c>
    </row>
    <row r="3133" spans="2:4">
      <c r="B3133" s="121">
        <v>44552</v>
      </c>
      <c r="C3133" s="123">
        <v>1.46</v>
      </c>
      <c r="D3133" s="73">
        <f t="shared" si="98"/>
        <v>1.46E-2</v>
      </c>
    </row>
    <row r="3134" spans="2:4">
      <c r="B3134" s="121">
        <v>44553</v>
      </c>
      <c r="C3134" s="123">
        <v>1.5</v>
      </c>
      <c r="D3134" s="73">
        <f t="shared" si="98"/>
        <v>1.4999999999999999E-2</v>
      </c>
    </row>
    <row r="3135" spans="2:4">
      <c r="B3135" s="121">
        <v>44554</v>
      </c>
      <c r="C3135" s="123" t="s">
        <v>325</v>
      </c>
      <c r="D3135" s="73">
        <f t="shared" si="98"/>
        <v>1.4999999999999999E-2</v>
      </c>
    </row>
    <row r="3136" spans="2:4">
      <c r="B3136" s="121">
        <v>44557</v>
      </c>
      <c r="C3136" s="123">
        <v>1.48</v>
      </c>
      <c r="D3136" s="73">
        <f t="shared" si="98"/>
        <v>1.4800000000000001E-2</v>
      </c>
    </row>
    <row r="3137" spans="2:4">
      <c r="B3137" s="121">
        <v>44558</v>
      </c>
      <c r="C3137" s="123">
        <v>1.49</v>
      </c>
      <c r="D3137" s="73">
        <f t="shared" si="98"/>
        <v>1.49E-2</v>
      </c>
    </row>
    <row r="3138" spans="2:4">
      <c r="B3138" s="121">
        <v>44559</v>
      </c>
      <c r="C3138" s="123">
        <v>1.55</v>
      </c>
      <c r="D3138" s="73">
        <f t="shared" si="98"/>
        <v>1.55E-2</v>
      </c>
    </row>
    <row r="3139" spans="2:4">
      <c r="B3139" s="121">
        <v>44560</v>
      </c>
      <c r="C3139" s="123">
        <v>1.52</v>
      </c>
      <c r="D3139" s="73">
        <f t="shared" si="98"/>
        <v>1.52E-2</v>
      </c>
    </row>
    <row r="3140" spans="2:4">
      <c r="B3140" s="121">
        <v>44561</v>
      </c>
      <c r="C3140" s="123">
        <v>1.52</v>
      </c>
      <c r="D3140" s="73">
        <f t="shared" si="98"/>
        <v>1.52E-2</v>
      </c>
    </row>
    <row r="3141" spans="2:4">
      <c r="B3141" s="121">
        <v>44564</v>
      </c>
      <c r="C3141" s="123">
        <v>1.63</v>
      </c>
      <c r="D3141" s="73">
        <f t="shared" si="98"/>
        <v>1.6299999999999999E-2</v>
      </c>
    </row>
    <row r="3142" spans="2:4">
      <c r="B3142" s="121">
        <v>44565</v>
      </c>
      <c r="C3142" s="123">
        <v>1.66</v>
      </c>
      <c r="D3142" s="73">
        <f t="shared" si="98"/>
        <v>1.66E-2</v>
      </c>
    </row>
    <row r="3143" spans="2:4">
      <c r="B3143" s="121">
        <v>44566</v>
      </c>
      <c r="C3143" s="123">
        <v>1.71</v>
      </c>
      <c r="D3143" s="73">
        <f t="shared" si="98"/>
        <v>1.7100000000000001E-2</v>
      </c>
    </row>
    <row r="3144" spans="2:4">
      <c r="B3144" s="121">
        <v>44567</v>
      </c>
      <c r="C3144" s="123">
        <v>1.73</v>
      </c>
      <c r="D3144" s="73">
        <f t="shared" si="98"/>
        <v>1.7299999999999999E-2</v>
      </c>
    </row>
    <row r="3145" spans="2:4">
      <c r="B3145" s="121">
        <v>44568</v>
      </c>
      <c r="C3145" s="123">
        <v>1.76</v>
      </c>
      <c r="D3145" s="73">
        <f t="shared" ref="D3145:D3149" si="99">IF( LEN( C3145 ) = 0, #N/A, IF( C3145 = "ND", D3144, C3145 / 100 ) )</f>
        <v>1.7600000000000001E-2</v>
      </c>
    </row>
    <row r="3146" spans="2:4">
      <c r="B3146" s="121">
        <v>44571</v>
      </c>
      <c r="C3146" s="123">
        <v>1.78</v>
      </c>
      <c r="D3146" s="73">
        <f t="shared" si="99"/>
        <v>1.78E-2</v>
      </c>
    </row>
    <row r="3147" spans="2:4">
      <c r="B3147" s="121">
        <v>44572</v>
      </c>
      <c r="C3147" s="123">
        <v>1.75</v>
      </c>
      <c r="D3147" s="73">
        <f t="shared" si="99"/>
        <v>1.7500000000000002E-2</v>
      </c>
    </row>
    <row r="3148" spans="2:4">
      <c r="B3148" s="121">
        <v>44573</v>
      </c>
      <c r="C3148" s="123">
        <v>1.74</v>
      </c>
      <c r="D3148" s="73">
        <f t="shared" si="99"/>
        <v>1.7399999999999999E-2</v>
      </c>
    </row>
    <row r="3149" spans="2:4">
      <c r="B3149" s="121">
        <v>44574</v>
      </c>
      <c r="C3149" s="123">
        <v>1.7</v>
      </c>
      <c r="D3149" s="73">
        <f t="shared" si="99"/>
        <v>1.7000000000000001E-2</v>
      </c>
    </row>
    <row r="3150" spans="2:4">
      <c r="B3150" s="121">
        <v>44575</v>
      </c>
      <c r="C3150" s="123">
        <v>1.78</v>
      </c>
      <c r="D3150" s="73">
        <f t="shared" ref="D3150:D3154" si="100">IF( LEN( C3150 ) = 0, #N/A, IF( C3150 = "ND", D3149, C3150 / 100 ) )</f>
        <v>1.78E-2</v>
      </c>
    </row>
    <row r="3151" spans="2:4">
      <c r="B3151" s="121">
        <v>44578</v>
      </c>
      <c r="C3151" s="123" t="s">
        <v>325</v>
      </c>
      <c r="D3151" s="73">
        <f t="shared" si="100"/>
        <v>1.78E-2</v>
      </c>
    </row>
    <row r="3152" spans="2:4">
      <c r="B3152" s="121">
        <v>44579</v>
      </c>
      <c r="C3152" s="123">
        <v>1.87</v>
      </c>
      <c r="D3152" s="73">
        <f t="shared" si="100"/>
        <v>1.8700000000000001E-2</v>
      </c>
    </row>
    <row r="3153" spans="2:4">
      <c r="B3153" s="121">
        <v>44580</v>
      </c>
      <c r="C3153" s="123">
        <v>1.83</v>
      </c>
      <c r="D3153" s="73">
        <f t="shared" si="100"/>
        <v>1.83E-2</v>
      </c>
    </row>
    <row r="3154" spans="2:4">
      <c r="B3154" s="121">
        <v>44581</v>
      </c>
      <c r="C3154" s="123">
        <v>1.83</v>
      </c>
      <c r="D3154" s="73">
        <f t="shared" si="100"/>
        <v>1.83E-2</v>
      </c>
    </row>
    <row r="3155" spans="2:4">
      <c r="B3155" s="121">
        <v>44582</v>
      </c>
      <c r="C3155" s="123">
        <v>1.75</v>
      </c>
      <c r="D3155" s="73">
        <f t="shared" ref="D3155:D3165" si="101">IF( LEN( C3155 ) = 0, #N/A, IF( C3155 = "ND", D3154, C3155 / 100 ) )</f>
        <v>1.7500000000000002E-2</v>
      </c>
    </row>
    <row r="3156" spans="2:4">
      <c r="B3156" s="121">
        <v>44585</v>
      </c>
      <c r="C3156" s="123">
        <v>1.75</v>
      </c>
      <c r="D3156" s="73">
        <f t="shared" si="101"/>
        <v>1.7500000000000002E-2</v>
      </c>
    </row>
    <row r="3157" spans="2:4">
      <c r="B3157" s="121">
        <v>44586</v>
      </c>
      <c r="C3157" s="123">
        <v>1.78</v>
      </c>
      <c r="D3157" s="73">
        <f t="shared" si="101"/>
        <v>1.78E-2</v>
      </c>
    </row>
    <row r="3158" spans="2:4">
      <c r="B3158" s="121">
        <v>44587</v>
      </c>
      <c r="C3158" s="123">
        <v>1.85</v>
      </c>
      <c r="D3158" s="73">
        <f t="shared" si="101"/>
        <v>1.8500000000000003E-2</v>
      </c>
    </row>
    <row r="3159" spans="2:4">
      <c r="B3159" s="121">
        <v>44588</v>
      </c>
      <c r="C3159" s="123">
        <v>1.81</v>
      </c>
      <c r="D3159" s="73">
        <f t="shared" si="101"/>
        <v>1.8100000000000002E-2</v>
      </c>
    </row>
    <row r="3160" spans="2:4">
      <c r="B3160" s="121">
        <v>44589</v>
      </c>
      <c r="C3160" s="123">
        <v>1.78</v>
      </c>
      <c r="D3160" s="73">
        <f t="shared" si="101"/>
        <v>1.78E-2</v>
      </c>
    </row>
    <row r="3161" spans="2:4">
      <c r="B3161" s="121">
        <v>44592</v>
      </c>
      <c r="C3161" s="123">
        <v>1.79</v>
      </c>
      <c r="D3161" s="73">
        <f t="shared" si="101"/>
        <v>1.7899999999999999E-2</v>
      </c>
    </row>
    <row r="3162" spans="2:4">
      <c r="B3162" s="121">
        <v>44593</v>
      </c>
      <c r="C3162" s="123">
        <v>1.81</v>
      </c>
      <c r="D3162" s="73">
        <f t="shared" si="101"/>
        <v>1.8100000000000002E-2</v>
      </c>
    </row>
    <row r="3163" spans="2:4">
      <c r="B3163" s="121">
        <v>44594</v>
      </c>
      <c r="C3163" s="123">
        <v>1.78</v>
      </c>
      <c r="D3163" s="73">
        <f t="shared" si="101"/>
        <v>1.78E-2</v>
      </c>
    </row>
    <row r="3164" spans="2:4">
      <c r="B3164" s="121">
        <v>44595</v>
      </c>
      <c r="C3164" s="123">
        <v>1.82</v>
      </c>
      <c r="D3164" s="73">
        <f t="shared" si="101"/>
        <v>1.8200000000000001E-2</v>
      </c>
    </row>
    <row r="3165" spans="2:4">
      <c r="B3165" s="121">
        <v>44596</v>
      </c>
      <c r="C3165" s="123">
        <v>1.93</v>
      </c>
      <c r="D3165" s="73">
        <f t="shared" si="101"/>
        <v>1.9299999999999998E-2</v>
      </c>
    </row>
    <row r="3166" spans="2:4">
      <c r="B3166" s="121">
        <v>44599</v>
      </c>
      <c r="C3166" s="123">
        <v>1.92</v>
      </c>
      <c r="D3166" s="73">
        <f t="shared" ref="D3166:D3170" si="102">IF( LEN( C3166 ) = 0, #N/A, IF( C3166 = "ND", D3165, C3166 / 100 ) )</f>
        <v>1.9199999999999998E-2</v>
      </c>
    </row>
    <row r="3167" spans="2:4">
      <c r="B3167" s="121">
        <v>44600</v>
      </c>
      <c r="C3167" s="123">
        <v>1.96</v>
      </c>
      <c r="D3167" s="73">
        <f t="shared" si="102"/>
        <v>1.9599999999999999E-2</v>
      </c>
    </row>
    <row r="3168" spans="2:4">
      <c r="B3168" s="121">
        <v>44601</v>
      </c>
      <c r="C3168" s="123">
        <v>1.94</v>
      </c>
      <c r="D3168" s="73">
        <f t="shared" si="102"/>
        <v>1.9400000000000001E-2</v>
      </c>
    </row>
    <row r="3169" spans="2:4">
      <c r="B3169" s="121">
        <v>44602</v>
      </c>
      <c r="C3169" s="123">
        <v>2.0299999999999998</v>
      </c>
      <c r="D3169" s="73">
        <f t="shared" si="102"/>
        <v>2.0299999999999999E-2</v>
      </c>
    </row>
    <row r="3170" spans="2:4">
      <c r="B3170" s="121">
        <v>44603</v>
      </c>
      <c r="C3170" s="123">
        <v>1.92</v>
      </c>
      <c r="D3170" s="73">
        <f t="shared" si="102"/>
        <v>1.9199999999999998E-2</v>
      </c>
    </row>
    <row r="3171" spans="2:4">
      <c r="B3171" s="121">
        <v>44606</v>
      </c>
      <c r="C3171" s="123">
        <v>1.98</v>
      </c>
      <c r="D3171" s="73">
        <f t="shared" ref="D3171:D3175" si="103">IF( LEN( C3171 ) = 0, #N/A, IF( C3171 = "ND", D3170, C3171 / 100 ) )</f>
        <v>1.9799999999999998E-2</v>
      </c>
    </row>
    <row r="3172" spans="2:4">
      <c r="B3172" s="121">
        <v>44607</v>
      </c>
      <c r="C3172" s="123">
        <v>2.0499999999999998</v>
      </c>
      <c r="D3172" s="73">
        <f t="shared" si="103"/>
        <v>2.0499999999999997E-2</v>
      </c>
    </row>
    <row r="3173" spans="2:4">
      <c r="B3173" s="121">
        <v>44608</v>
      </c>
      <c r="C3173" s="123">
        <v>2.0299999999999998</v>
      </c>
      <c r="D3173" s="73">
        <f t="shared" si="103"/>
        <v>2.0299999999999999E-2</v>
      </c>
    </row>
    <row r="3174" spans="2:4">
      <c r="B3174" s="121">
        <v>44609</v>
      </c>
      <c r="C3174" s="123">
        <v>1.97</v>
      </c>
      <c r="D3174" s="73">
        <f t="shared" si="103"/>
        <v>1.9699999999999999E-2</v>
      </c>
    </row>
    <row r="3175" spans="2:4">
      <c r="B3175" s="121">
        <v>44610</v>
      </c>
      <c r="C3175" s="123">
        <v>1.92</v>
      </c>
      <c r="D3175" s="73">
        <f t="shared" si="103"/>
        <v>1.9199999999999998E-2</v>
      </c>
    </row>
    <row r="3176" spans="2:4">
      <c r="B3176" s="121">
        <v>44613</v>
      </c>
      <c r="C3176" s="123" t="s">
        <v>325</v>
      </c>
      <c r="D3176" s="73">
        <f t="shared" ref="D3176:D3180" si="104">IF( LEN( C3176 ) = 0, #N/A, IF( C3176 = "ND", D3175, C3176 / 100 ) )</f>
        <v>1.9199999999999998E-2</v>
      </c>
    </row>
    <row r="3177" spans="2:4">
      <c r="B3177" s="121">
        <v>44614</v>
      </c>
      <c r="C3177" s="123">
        <v>1.94</v>
      </c>
      <c r="D3177" s="73">
        <f t="shared" si="104"/>
        <v>1.9400000000000001E-2</v>
      </c>
    </row>
    <row r="3178" spans="2:4">
      <c r="B3178" s="121">
        <v>44615</v>
      </c>
      <c r="C3178" s="123">
        <v>1.99</v>
      </c>
      <c r="D3178" s="73">
        <f t="shared" si="104"/>
        <v>1.9900000000000001E-2</v>
      </c>
    </row>
    <row r="3179" spans="2:4">
      <c r="B3179" s="121">
        <v>44616</v>
      </c>
      <c r="C3179" s="123">
        <v>1.96</v>
      </c>
      <c r="D3179" s="73">
        <f t="shared" si="104"/>
        <v>1.9599999999999999E-2</v>
      </c>
    </row>
    <row r="3180" spans="2:4">
      <c r="B3180" s="121">
        <v>44617</v>
      </c>
      <c r="C3180" s="123">
        <v>1.97</v>
      </c>
      <c r="D3180" s="73">
        <f t="shared" si="104"/>
        <v>1.9699999999999999E-2</v>
      </c>
    </row>
    <row r="3181" spans="2:4">
      <c r="B3181" s="121">
        <v>44620</v>
      </c>
      <c r="C3181" s="123">
        <v>1.83</v>
      </c>
      <c r="D3181" s="73">
        <f t="shared" ref="D3181:D3185" si="105">IF( LEN( C3181 ) = 0, #N/A, IF( C3181 = "ND", D3180, C3181 / 100 ) )</f>
        <v>1.83E-2</v>
      </c>
    </row>
    <row r="3182" spans="2:4">
      <c r="B3182" s="121">
        <v>44621</v>
      </c>
      <c r="C3182" s="123">
        <v>1.72</v>
      </c>
      <c r="D3182" s="73">
        <f t="shared" si="105"/>
        <v>1.72E-2</v>
      </c>
    </row>
    <row r="3183" spans="2:4">
      <c r="B3183" s="121">
        <v>44622</v>
      </c>
      <c r="C3183" s="123">
        <v>1.86</v>
      </c>
      <c r="D3183" s="73">
        <f t="shared" si="105"/>
        <v>1.8600000000000002E-2</v>
      </c>
    </row>
    <row r="3184" spans="2:4">
      <c r="B3184" s="121">
        <v>44623</v>
      </c>
      <c r="C3184" s="123">
        <v>1.86</v>
      </c>
      <c r="D3184" s="73">
        <f t="shared" si="105"/>
        <v>1.8600000000000002E-2</v>
      </c>
    </row>
    <row r="3185" spans="2:4">
      <c r="B3185" s="121">
        <v>44624</v>
      </c>
      <c r="C3185" s="123">
        <v>1.74</v>
      </c>
      <c r="D3185" s="73">
        <f t="shared" si="105"/>
        <v>1.7399999999999999E-2</v>
      </c>
    </row>
    <row r="3186" spans="2:4">
      <c r="B3186" s="121">
        <v>44627</v>
      </c>
      <c r="C3186" s="123">
        <v>1.78</v>
      </c>
      <c r="D3186" s="73">
        <f t="shared" ref="D3186:D3190" si="106">IF( LEN( C3186 ) = 0, #N/A, IF( C3186 = "ND", D3185, C3186 / 100 ) )</f>
        <v>1.78E-2</v>
      </c>
    </row>
    <row r="3187" spans="2:4">
      <c r="B3187" s="121">
        <v>44628</v>
      </c>
      <c r="C3187" s="123">
        <v>1.86</v>
      </c>
      <c r="D3187" s="73">
        <f t="shared" si="106"/>
        <v>1.8600000000000002E-2</v>
      </c>
    </row>
    <row r="3188" spans="2:4">
      <c r="B3188" s="121">
        <v>44629</v>
      </c>
      <c r="C3188" s="123">
        <v>1.94</v>
      </c>
      <c r="D3188" s="73">
        <f t="shared" si="106"/>
        <v>1.9400000000000001E-2</v>
      </c>
    </row>
    <row r="3189" spans="2:4">
      <c r="B3189" s="121">
        <v>44630</v>
      </c>
      <c r="C3189" s="123">
        <v>1.98</v>
      </c>
      <c r="D3189" s="73">
        <f t="shared" si="106"/>
        <v>1.9799999999999998E-2</v>
      </c>
    </row>
    <row r="3190" spans="2:4">
      <c r="B3190" s="121">
        <v>44631</v>
      </c>
      <c r="C3190" s="123">
        <v>2</v>
      </c>
      <c r="D3190" s="73">
        <f t="shared" si="106"/>
        <v>0.02</v>
      </c>
    </row>
    <row r="3191" spans="2:4">
      <c r="B3191" s="121">
        <v>44634</v>
      </c>
      <c r="C3191" s="123">
        <v>2.14</v>
      </c>
      <c r="D3191" s="73">
        <f t="shared" ref="D3191:D3195" si="107">IF( LEN( C3191 ) = 0, #N/A, IF( C3191 = "ND", D3190, C3191 / 100 ) )</f>
        <v>2.1400000000000002E-2</v>
      </c>
    </row>
    <row r="3192" spans="2:4">
      <c r="B3192" s="121">
        <v>44635</v>
      </c>
      <c r="C3192" s="123">
        <v>2.15</v>
      </c>
      <c r="D3192" s="73">
        <f t="shared" si="107"/>
        <v>2.1499999999999998E-2</v>
      </c>
    </row>
    <row r="3193" spans="2:4">
      <c r="B3193" s="121">
        <v>44636</v>
      </c>
      <c r="C3193" s="123">
        <v>2.19</v>
      </c>
      <c r="D3193" s="73">
        <f t="shared" si="107"/>
        <v>2.1899999999999999E-2</v>
      </c>
    </row>
    <row r="3194" spans="2:4">
      <c r="B3194" s="121">
        <v>44637</v>
      </c>
      <c r="C3194" s="123">
        <v>2.2000000000000002</v>
      </c>
      <c r="D3194" s="73">
        <f t="shared" si="107"/>
        <v>2.2000000000000002E-2</v>
      </c>
    </row>
    <row r="3195" spans="2:4">
      <c r="B3195" s="121">
        <v>44638</v>
      </c>
      <c r="C3195" s="123">
        <v>2.14</v>
      </c>
      <c r="D3195" s="73">
        <f t="shared" si="107"/>
        <v>2.1400000000000002E-2</v>
      </c>
    </row>
    <row r="3196" spans="2:4">
      <c r="B3196" s="121">
        <v>44641</v>
      </c>
      <c r="C3196" s="123">
        <v>2.3199999999999998</v>
      </c>
      <c r="D3196" s="73">
        <f t="shared" ref="D3196:D3200" si="108">IF( LEN( C3196 ) = 0, #N/A, IF( C3196 = "ND", D3195, C3196 / 100 ) )</f>
        <v>2.3199999999999998E-2</v>
      </c>
    </row>
    <row r="3197" spans="2:4">
      <c r="B3197" s="121">
        <v>44642</v>
      </c>
      <c r="C3197" s="123">
        <v>2.38</v>
      </c>
      <c r="D3197" s="73">
        <f t="shared" si="108"/>
        <v>2.3799999999999998E-2</v>
      </c>
    </row>
    <row r="3198" spans="2:4">
      <c r="B3198" s="121">
        <v>44643</v>
      </c>
      <c r="C3198" s="123">
        <v>2.3199999999999998</v>
      </c>
      <c r="D3198" s="73">
        <f t="shared" si="108"/>
        <v>2.3199999999999998E-2</v>
      </c>
    </row>
    <row r="3199" spans="2:4">
      <c r="B3199" s="121">
        <v>44644</v>
      </c>
      <c r="C3199" s="123">
        <v>2.34</v>
      </c>
      <c r="D3199" s="73">
        <f t="shared" si="108"/>
        <v>2.3399999999999997E-2</v>
      </c>
    </row>
    <row r="3200" spans="2:4">
      <c r="B3200" s="121">
        <v>44645</v>
      </c>
      <c r="C3200" s="123">
        <v>2.48</v>
      </c>
      <c r="D3200" s="73">
        <f t="shared" si="108"/>
        <v>2.4799999999999999E-2</v>
      </c>
    </row>
    <row r="3201" spans="2:4">
      <c r="B3201" s="121">
        <v>44648</v>
      </c>
      <c r="C3201" s="123">
        <v>2.46</v>
      </c>
      <c r="D3201" s="73">
        <f t="shared" ref="D3201:D3205" si="109">IF( LEN( C3201 ) = 0, #N/A, IF( C3201 = "ND", D3200, C3201 / 100 ) )</f>
        <v>2.46E-2</v>
      </c>
    </row>
    <row r="3202" spans="2:4">
      <c r="B3202" s="121">
        <v>44649</v>
      </c>
      <c r="C3202" s="123">
        <v>2.41</v>
      </c>
      <c r="D3202" s="73">
        <f t="shared" si="109"/>
        <v>2.41E-2</v>
      </c>
    </row>
    <row r="3203" spans="2:4">
      <c r="B3203" s="121">
        <v>44650</v>
      </c>
      <c r="C3203" s="123">
        <v>2.35</v>
      </c>
      <c r="D3203" s="73">
        <f t="shared" si="109"/>
        <v>2.35E-2</v>
      </c>
    </row>
    <row r="3204" spans="2:4">
      <c r="B3204" s="121">
        <v>44651</v>
      </c>
      <c r="C3204" s="123">
        <v>2.3199999999999998</v>
      </c>
      <c r="D3204" s="73">
        <f t="shared" si="109"/>
        <v>2.3199999999999998E-2</v>
      </c>
    </row>
    <row r="3205" spans="2:4">
      <c r="B3205" s="121">
        <v>44652</v>
      </c>
      <c r="C3205" s="123">
        <v>2.39</v>
      </c>
      <c r="D3205" s="73">
        <f t="shared" si="109"/>
        <v>2.3900000000000001E-2</v>
      </c>
    </row>
    <row r="3206" spans="2:4">
      <c r="B3206" s="121">
        <v>44655</v>
      </c>
      <c r="C3206" s="123">
        <v>2.42</v>
      </c>
      <c r="D3206" s="73">
        <f t="shared" ref="D3206:D3210" si="110">IF( LEN( C3206 ) = 0, #N/A, IF( C3206 = "ND", D3205, C3206 / 100 ) )</f>
        <v>2.4199999999999999E-2</v>
      </c>
    </row>
    <row r="3207" spans="2:4">
      <c r="B3207" s="121">
        <v>44656</v>
      </c>
      <c r="C3207" s="123">
        <v>2.54</v>
      </c>
      <c r="D3207" s="73">
        <f t="shared" si="110"/>
        <v>2.5399999999999999E-2</v>
      </c>
    </row>
    <row r="3208" spans="2:4">
      <c r="B3208" s="121">
        <v>44657</v>
      </c>
      <c r="C3208" s="123">
        <v>2.61</v>
      </c>
      <c r="D3208" s="73">
        <f t="shared" si="110"/>
        <v>2.6099999999999998E-2</v>
      </c>
    </row>
    <row r="3209" spans="2:4">
      <c r="B3209" s="121">
        <v>44658</v>
      </c>
      <c r="C3209" s="123">
        <v>2.66</v>
      </c>
      <c r="D3209" s="73">
        <f t="shared" si="110"/>
        <v>2.6600000000000002E-2</v>
      </c>
    </row>
    <row r="3210" spans="2:4">
      <c r="B3210" s="121">
        <v>44659</v>
      </c>
      <c r="C3210" s="123">
        <v>2.72</v>
      </c>
      <c r="D3210" s="73">
        <f t="shared" si="110"/>
        <v>2.7200000000000002E-2</v>
      </c>
    </row>
    <row r="3211" spans="2:4">
      <c r="B3211" s="121">
        <v>44662</v>
      </c>
      <c r="C3211" s="123">
        <v>2.79</v>
      </c>
      <c r="D3211" s="73">
        <f t="shared" ref="D3211:D3215" si="111">IF( LEN( C3211 ) = 0, #N/A, IF( C3211 = "ND", D3210, C3211 / 100 ) )</f>
        <v>2.7900000000000001E-2</v>
      </c>
    </row>
    <row r="3212" spans="2:4">
      <c r="B3212" s="121">
        <v>44663</v>
      </c>
      <c r="C3212" s="123">
        <v>2.72</v>
      </c>
      <c r="D3212" s="73">
        <f t="shared" si="111"/>
        <v>2.7200000000000002E-2</v>
      </c>
    </row>
    <row r="3213" spans="2:4">
      <c r="B3213" s="121">
        <v>44664</v>
      </c>
      <c r="C3213" s="123">
        <v>2.7</v>
      </c>
      <c r="D3213" s="73">
        <f t="shared" si="111"/>
        <v>2.7000000000000003E-2</v>
      </c>
    </row>
    <row r="3214" spans="2:4">
      <c r="B3214" s="121">
        <v>44665</v>
      </c>
      <c r="C3214" s="123">
        <v>2.83</v>
      </c>
      <c r="D3214" s="73">
        <f t="shared" si="111"/>
        <v>2.8300000000000002E-2</v>
      </c>
    </row>
    <row r="3215" spans="2:4">
      <c r="B3215" s="121">
        <v>44666</v>
      </c>
      <c r="C3215" s="123" t="s">
        <v>325</v>
      </c>
      <c r="D3215" s="73">
        <f t="shared" si="111"/>
        <v>2.8300000000000002E-2</v>
      </c>
    </row>
    <row r="3216" spans="2:4">
      <c r="B3216" s="121">
        <v>44669</v>
      </c>
      <c r="C3216" s="123">
        <v>2.85</v>
      </c>
      <c r="D3216" s="73">
        <f t="shared" ref="D3216:D3220" si="112">IF( LEN( C3216 ) = 0, #N/A, IF( C3216 = "ND", D3215, C3216 / 100 ) )</f>
        <v>2.8500000000000001E-2</v>
      </c>
    </row>
    <row r="3217" spans="2:4">
      <c r="B3217" s="121">
        <v>44670</v>
      </c>
      <c r="C3217" s="123">
        <v>2.93</v>
      </c>
      <c r="D3217" s="73">
        <f t="shared" si="112"/>
        <v>2.9300000000000003E-2</v>
      </c>
    </row>
    <row r="3218" spans="2:4">
      <c r="B3218" s="121">
        <v>44671</v>
      </c>
      <c r="C3218" s="123">
        <v>2.85</v>
      </c>
      <c r="D3218" s="73">
        <f t="shared" si="112"/>
        <v>2.8500000000000001E-2</v>
      </c>
    </row>
    <row r="3219" spans="2:4">
      <c r="B3219" s="121">
        <v>44672</v>
      </c>
      <c r="C3219" s="123">
        <v>2.9</v>
      </c>
      <c r="D3219" s="73">
        <f t="shared" si="112"/>
        <v>2.8999999999999998E-2</v>
      </c>
    </row>
    <row r="3220" spans="2:4">
      <c r="B3220" s="121">
        <v>44673</v>
      </c>
      <c r="C3220" s="123">
        <v>2.9</v>
      </c>
      <c r="D3220" s="73">
        <f t="shared" si="112"/>
        <v>2.8999999999999998E-2</v>
      </c>
    </row>
    <row r="3221" spans="2:4">
      <c r="B3221" s="121">
        <v>44676</v>
      </c>
      <c r="C3221" s="123">
        <v>2.81</v>
      </c>
      <c r="D3221" s="73">
        <f t="shared" ref="D3221:D3225" si="113">IF( LEN( C3221 ) = 0, #N/A, IF( C3221 = "ND", D3220, C3221 / 100 ) )</f>
        <v>2.81E-2</v>
      </c>
    </row>
    <row r="3222" spans="2:4">
      <c r="B3222" s="121">
        <v>44677</v>
      </c>
      <c r="C3222" s="123">
        <v>2.77</v>
      </c>
      <c r="D3222" s="73">
        <f t="shared" si="113"/>
        <v>2.7699999999999999E-2</v>
      </c>
    </row>
    <row r="3223" spans="2:4">
      <c r="B3223" s="121">
        <v>44678</v>
      </c>
      <c r="C3223" s="123">
        <v>2.82</v>
      </c>
      <c r="D3223" s="73">
        <f t="shared" si="113"/>
        <v>2.8199999999999999E-2</v>
      </c>
    </row>
    <row r="3224" spans="2:4">
      <c r="B3224" s="121">
        <v>44679</v>
      </c>
      <c r="C3224" s="123">
        <v>2.85</v>
      </c>
      <c r="D3224" s="73">
        <f t="shared" si="113"/>
        <v>2.8500000000000001E-2</v>
      </c>
    </row>
    <row r="3225" spans="2:4">
      <c r="B3225" s="121">
        <v>44680</v>
      </c>
      <c r="C3225" s="123">
        <v>2.89</v>
      </c>
      <c r="D3225" s="73">
        <f t="shared" si="113"/>
        <v>2.8900000000000002E-2</v>
      </c>
    </row>
    <row r="3226" spans="2:4">
      <c r="B3226" s="121">
        <v>44683</v>
      </c>
      <c r="C3226" s="123">
        <v>2.99</v>
      </c>
      <c r="D3226" s="73">
        <f t="shared" ref="D3226:D3230" si="114">IF( LEN( C3226 ) = 0, #N/A, IF( C3226 = "ND", D3225, C3226 / 100 ) )</f>
        <v>2.9900000000000003E-2</v>
      </c>
    </row>
    <row r="3227" spans="2:4">
      <c r="B3227" s="121">
        <v>44684</v>
      </c>
      <c r="C3227" s="123">
        <v>2.97</v>
      </c>
      <c r="D3227" s="73">
        <f t="shared" si="114"/>
        <v>2.9700000000000001E-2</v>
      </c>
    </row>
    <row r="3228" spans="2:4">
      <c r="B3228" s="121">
        <v>44685</v>
      </c>
      <c r="C3228" s="123">
        <v>2.93</v>
      </c>
      <c r="D3228" s="73">
        <f t="shared" si="114"/>
        <v>2.9300000000000003E-2</v>
      </c>
    </row>
    <row r="3229" spans="2:4">
      <c r="B3229" s="121">
        <v>44686</v>
      </c>
      <c r="C3229" s="123">
        <v>3.05</v>
      </c>
      <c r="D3229" s="73">
        <f t="shared" si="114"/>
        <v>3.0499999999999999E-2</v>
      </c>
    </row>
    <row r="3230" spans="2:4">
      <c r="B3230" s="121">
        <v>44687</v>
      </c>
      <c r="C3230" s="123">
        <v>3.12</v>
      </c>
      <c r="D3230" s="73">
        <f t="shared" si="114"/>
        <v>3.1200000000000002E-2</v>
      </c>
    </row>
    <row r="3231" spans="2:4">
      <c r="B3231" s="121">
        <v>44690</v>
      </c>
      <c r="C3231" s="123">
        <v>3.05</v>
      </c>
      <c r="D3231" s="73">
        <f t="shared" ref="D3231:D3235" si="115">IF( LEN( C3231 ) = 0, #N/A, IF( C3231 = "ND", D3230, C3231 / 100 ) )</f>
        <v>3.0499999999999999E-2</v>
      </c>
    </row>
    <row r="3232" spans="2:4">
      <c r="B3232" s="121">
        <v>44691</v>
      </c>
      <c r="C3232" s="123">
        <v>2.99</v>
      </c>
      <c r="D3232" s="73">
        <f t="shared" si="115"/>
        <v>2.9900000000000003E-2</v>
      </c>
    </row>
    <row r="3233" spans="2:4">
      <c r="B3233" s="121">
        <v>44692</v>
      </c>
      <c r="C3233" s="123">
        <v>2.91</v>
      </c>
      <c r="D3233" s="73">
        <f t="shared" si="115"/>
        <v>2.9100000000000001E-2</v>
      </c>
    </row>
    <row r="3234" spans="2:4">
      <c r="B3234" s="121">
        <v>44693</v>
      </c>
      <c r="C3234" s="123">
        <v>2.84</v>
      </c>
      <c r="D3234" s="73">
        <f t="shared" si="115"/>
        <v>2.8399999999999998E-2</v>
      </c>
    </row>
    <row r="3235" spans="2:4">
      <c r="B3235" s="121">
        <v>44694</v>
      </c>
      <c r="C3235" s="123">
        <v>2.93</v>
      </c>
      <c r="D3235" s="73">
        <f t="shared" si="115"/>
        <v>2.9300000000000003E-2</v>
      </c>
    </row>
    <row r="3236" spans="2:4">
      <c r="B3236" s="121">
        <v>44697</v>
      </c>
      <c r="C3236" s="123">
        <v>2.88</v>
      </c>
      <c r="D3236" s="73">
        <f t="shared" ref="D3236:D3240" si="116">IF( LEN( C3236 ) = 0, #N/A, IF( C3236 = "ND", D3235, C3236 / 100 ) )</f>
        <v>2.8799999999999999E-2</v>
      </c>
    </row>
    <row r="3237" spans="2:4">
      <c r="B3237" s="121">
        <v>44698</v>
      </c>
      <c r="C3237" s="123">
        <v>2.98</v>
      </c>
      <c r="D3237" s="73">
        <f t="shared" si="116"/>
        <v>2.98E-2</v>
      </c>
    </row>
    <row r="3238" spans="2:4">
      <c r="B3238" s="121">
        <v>44699</v>
      </c>
      <c r="C3238" s="123">
        <v>2.89</v>
      </c>
      <c r="D3238" s="73">
        <f t="shared" si="116"/>
        <v>2.8900000000000002E-2</v>
      </c>
    </row>
    <row r="3239" spans="2:4">
      <c r="B3239" s="121">
        <v>44700</v>
      </c>
      <c r="C3239" s="123">
        <v>2.84</v>
      </c>
      <c r="D3239" s="73">
        <f t="shared" si="116"/>
        <v>2.8399999999999998E-2</v>
      </c>
    </row>
    <row r="3240" spans="2:4">
      <c r="B3240" s="121">
        <v>44701</v>
      </c>
      <c r="C3240" s="123">
        <v>2.78</v>
      </c>
      <c r="D3240" s="73">
        <f t="shared" si="116"/>
        <v>2.7799999999999998E-2</v>
      </c>
    </row>
    <row r="3241" spans="2:4">
      <c r="B3241" s="121">
        <v>44704</v>
      </c>
      <c r="C3241" s="123">
        <v>2.86</v>
      </c>
      <c r="D3241" s="73">
        <f t="shared" ref="D3241:D3245" si="117">IF( LEN( C3241 ) = 0, #N/A, IF( C3241 = "ND", D3240, C3241 / 100 ) )</f>
        <v>2.86E-2</v>
      </c>
    </row>
    <row r="3242" spans="2:4">
      <c r="B3242" s="121">
        <v>44705</v>
      </c>
      <c r="C3242" s="123">
        <v>2.76</v>
      </c>
      <c r="D3242" s="73">
        <f t="shared" si="117"/>
        <v>2.76E-2</v>
      </c>
    </row>
    <row r="3243" spans="2:4">
      <c r="B3243" s="121">
        <v>44706</v>
      </c>
      <c r="C3243" s="123">
        <v>2.75</v>
      </c>
      <c r="D3243" s="73">
        <f t="shared" si="117"/>
        <v>2.75E-2</v>
      </c>
    </row>
    <row r="3244" spans="2:4">
      <c r="B3244" s="121">
        <v>44707</v>
      </c>
      <c r="C3244" s="123">
        <v>2.75</v>
      </c>
      <c r="D3244" s="73">
        <f t="shared" si="117"/>
        <v>2.75E-2</v>
      </c>
    </row>
    <row r="3245" spans="2:4">
      <c r="B3245" s="121">
        <v>44708</v>
      </c>
      <c r="C3245" s="123">
        <v>2.74</v>
      </c>
      <c r="D3245" s="73">
        <f t="shared" si="117"/>
        <v>2.7400000000000001E-2</v>
      </c>
    </row>
    <row r="3246" spans="2:4">
      <c r="B3246" s="121">
        <v>44711</v>
      </c>
      <c r="C3246" s="123" t="s">
        <v>325</v>
      </c>
      <c r="D3246" s="73">
        <f t="shared" ref="D3246:D3250" si="118">IF( LEN( C3246 ) = 0, #N/A, IF( C3246 = "ND", D3245, C3246 / 100 ) )</f>
        <v>2.7400000000000001E-2</v>
      </c>
    </row>
    <row r="3247" spans="2:4">
      <c r="B3247" s="121">
        <v>44712</v>
      </c>
      <c r="C3247" s="123">
        <v>2.85</v>
      </c>
      <c r="D3247" s="73">
        <f t="shared" si="118"/>
        <v>2.8500000000000001E-2</v>
      </c>
    </row>
    <row r="3248" spans="2:4">
      <c r="B3248" s="121">
        <v>44713</v>
      </c>
      <c r="C3248" s="123">
        <v>2.94</v>
      </c>
      <c r="D3248" s="73">
        <f t="shared" si="118"/>
        <v>2.9399999999999999E-2</v>
      </c>
    </row>
    <row r="3249" spans="2:4">
      <c r="B3249" s="121">
        <v>44714</v>
      </c>
      <c r="C3249" s="123">
        <v>2.92</v>
      </c>
      <c r="D3249" s="73">
        <f t="shared" si="118"/>
        <v>2.92E-2</v>
      </c>
    </row>
    <row r="3250" spans="2:4">
      <c r="B3250" s="121">
        <v>44715</v>
      </c>
      <c r="C3250" s="123">
        <v>2.96</v>
      </c>
      <c r="D3250" s="73">
        <f t="shared" si="118"/>
        <v>2.9600000000000001E-2</v>
      </c>
    </row>
    <row r="3251" spans="2:4">
      <c r="B3251" s="121">
        <v>44718</v>
      </c>
      <c r="C3251" s="123">
        <v>3.04</v>
      </c>
      <c r="D3251" s="73">
        <f t="shared" ref="D3251:D3255" si="119">IF( LEN( C3251 ) = 0, #N/A, IF( C3251 = "ND", D3250, C3251 / 100 ) )</f>
        <v>3.04E-2</v>
      </c>
    </row>
    <row r="3252" spans="2:4">
      <c r="B3252" s="121">
        <v>44719</v>
      </c>
      <c r="C3252" s="123">
        <v>2.98</v>
      </c>
      <c r="D3252" s="73">
        <f t="shared" si="119"/>
        <v>2.98E-2</v>
      </c>
    </row>
    <row r="3253" spans="2:4">
      <c r="B3253" s="121">
        <v>44720</v>
      </c>
      <c r="C3253" s="123">
        <v>3.03</v>
      </c>
      <c r="D3253" s="73">
        <f t="shared" si="119"/>
        <v>3.0299999999999997E-2</v>
      </c>
    </row>
    <row r="3254" spans="2:4">
      <c r="B3254" s="121">
        <v>44721</v>
      </c>
      <c r="C3254" s="123">
        <v>3.04</v>
      </c>
      <c r="D3254" s="73">
        <f t="shared" si="119"/>
        <v>3.04E-2</v>
      </c>
    </row>
    <row r="3255" spans="2:4">
      <c r="B3255" s="121">
        <v>44722</v>
      </c>
      <c r="C3255" s="123">
        <v>3.15</v>
      </c>
      <c r="D3255" s="73">
        <f t="shared" si="119"/>
        <v>3.15E-2</v>
      </c>
    </row>
    <row r="3256" spans="2:4">
      <c r="B3256" s="121">
        <v>44725</v>
      </c>
      <c r="C3256" s="123">
        <v>3.43</v>
      </c>
      <c r="D3256" s="73">
        <f t="shared" ref="D3256:D3260" si="120">IF( LEN( C3256 ) = 0, #N/A, IF( C3256 = "ND", D3255, C3256 / 100 ) )</f>
        <v>3.4300000000000004E-2</v>
      </c>
    </row>
    <row r="3257" spans="2:4">
      <c r="B3257" s="121">
        <v>44726</v>
      </c>
      <c r="C3257" s="123">
        <v>3.49</v>
      </c>
      <c r="D3257" s="73">
        <f t="shared" si="120"/>
        <v>3.49E-2</v>
      </c>
    </row>
    <row r="3258" spans="2:4">
      <c r="B3258" s="121">
        <v>44727</v>
      </c>
      <c r="C3258" s="123">
        <v>3.33</v>
      </c>
      <c r="D3258" s="73">
        <f t="shared" si="120"/>
        <v>3.3300000000000003E-2</v>
      </c>
    </row>
    <row r="3259" spans="2:4">
      <c r="B3259" s="121">
        <v>44728</v>
      </c>
      <c r="C3259" s="123">
        <v>3.28</v>
      </c>
      <c r="D3259" s="73">
        <f t="shared" si="120"/>
        <v>3.2799999999999996E-2</v>
      </c>
    </row>
    <row r="3260" spans="2:4">
      <c r="B3260" s="121">
        <v>44729</v>
      </c>
      <c r="C3260" s="123">
        <v>3.25</v>
      </c>
      <c r="D3260" s="73">
        <f t="shared" si="120"/>
        <v>3.2500000000000001E-2</v>
      </c>
    </row>
    <row r="3261" spans="2:4">
      <c r="B3261" s="121">
        <v>44732</v>
      </c>
      <c r="C3261" s="123" t="s">
        <v>325</v>
      </c>
      <c r="D3261" s="73">
        <f t="shared" ref="D3261:D3265" si="121">IF( LEN( C3261 ) = 0, #N/A, IF( C3261 = "ND", D3260, C3261 / 100 ) )</f>
        <v>3.2500000000000001E-2</v>
      </c>
    </row>
    <row r="3262" spans="2:4">
      <c r="B3262" s="121">
        <v>44733</v>
      </c>
      <c r="C3262" s="123">
        <v>3.31</v>
      </c>
      <c r="D3262" s="73">
        <f t="shared" si="121"/>
        <v>3.3099999999999997E-2</v>
      </c>
    </row>
    <row r="3263" spans="2:4">
      <c r="B3263" s="121">
        <v>44734</v>
      </c>
      <c r="C3263" s="123">
        <v>3.16</v>
      </c>
      <c r="D3263" s="73">
        <f t="shared" si="121"/>
        <v>3.1600000000000003E-2</v>
      </c>
    </row>
    <row r="3264" spans="2:4">
      <c r="B3264" s="121">
        <v>44735</v>
      </c>
      <c r="C3264" s="123">
        <v>3.09</v>
      </c>
      <c r="D3264" s="73">
        <f t="shared" si="121"/>
        <v>3.0899999999999997E-2</v>
      </c>
    </row>
    <row r="3265" spans="2:4">
      <c r="B3265" s="121">
        <v>44736</v>
      </c>
      <c r="C3265" s="123">
        <v>3.13</v>
      </c>
      <c r="D3265" s="73">
        <f t="shared" si="121"/>
        <v>3.1300000000000001E-2</v>
      </c>
    </row>
    <row r="3266" spans="2:4">
      <c r="B3266" s="121">
        <v>44739</v>
      </c>
      <c r="C3266" s="123">
        <v>3.2</v>
      </c>
      <c r="D3266" s="73">
        <f t="shared" ref="D3266:D3270" si="122">IF( LEN( C3266 ) = 0, #N/A, IF( C3266 = "ND", D3265, C3266 / 100 ) )</f>
        <v>3.2000000000000001E-2</v>
      </c>
    </row>
    <row r="3267" spans="2:4">
      <c r="B3267" s="121">
        <v>44740</v>
      </c>
      <c r="C3267" s="123">
        <v>3.2</v>
      </c>
      <c r="D3267" s="73">
        <f t="shared" si="122"/>
        <v>3.2000000000000001E-2</v>
      </c>
    </row>
    <row r="3268" spans="2:4">
      <c r="B3268" s="121">
        <v>44741</v>
      </c>
      <c r="C3268" s="123">
        <v>3.1</v>
      </c>
      <c r="D3268" s="73">
        <f t="shared" si="122"/>
        <v>3.1E-2</v>
      </c>
    </row>
    <row r="3269" spans="2:4">
      <c r="B3269" s="121">
        <v>44742</v>
      </c>
      <c r="C3269" s="123">
        <v>2.98</v>
      </c>
      <c r="D3269" s="73">
        <f t="shared" si="122"/>
        <v>2.98E-2</v>
      </c>
    </row>
    <row r="3270" spans="2:4">
      <c r="B3270" s="121">
        <v>44743</v>
      </c>
      <c r="C3270" s="123">
        <v>2.88</v>
      </c>
      <c r="D3270" s="73">
        <f t="shared" si="122"/>
        <v>2.8799999999999999E-2</v>
      </c>
    </row>
    <row r="3271" spans="2:4">
      <c r="B3271" s="121">
        <v>44746</v>
      </c>
      <c r="C3271" s="123" t="s">
        <v>325</v>
      </c>
      <c r="D3271" s="73">
        <f t="shared" ref="D3271:D3275" si="123">IF( LEN( C3271 ) = 0, #N/A, IF( C3271 = "ND", D3270, C3271 / 100 ) )</f>
        <v>2.8799999999999999E-2</v>
      </c>
    </row>
    <row r="3272" spans="2:4">
      <c r="B3272" s="121">
        <v>44747</v>
      </c>
      <c r="C3272" s="123">
        <v>2.82</v>
      </c>
      <c r="D3272" s="73">
        <f t="shared" si="123"/>
        <v>2.8199999999999999E-2</v>
      </c>
    </row>
    <row r="3273" spans="2:4">
      <c r="B3273" s="121">
        <v>44748</v>
      </c>
      <c r="C3273" s="123">
        <v>2.93</v>
      </c>
      <c r="D3273" s="73">
        <f t="shared" si="123"/>
        <v>2.9300000000000003E-2</v>
      </c>
    </row>
    <row r="3274" spans="2:4">
      <c r="B3274" s="121">
        <v>44749</v>
      </c>
      <c r="C3274" s="123">
        <v>3.01</v>
      </c>
      <c r="D3274" s="73">
        <f t="shared" si="123"/>
        <v>3.0099999999999998E-2</v>
      </c>
    </row>
    <row r="3275" spans="2:4">
      <c r="B3275" s="121">
        <v>44750</v>
      </c>
      <c r="C3275" s="123">
        <v>3.09</v>
      </c>
      <c r="D3275" s="73">
        <f t="shared" si="123"/>
        <v>3.0899999999999997E-2</v>
      </c>
    </row>
    <row r="3276" spans="2:4">
      <c r="B3276" s="121">
        <v>44753</v>
      </c>
      <c r="C3276" s="123">
        <v>2.99</v>
      </c>
      <c r="D3276" s="73">
        <f t="shared" ref="D3276:D3280" si="124">IF( LEN( C3276 ) = 0, #N/A, IF( C3276 = "ND", D3275, C3276 / 100 ) )</f>
        <v>2.9900000000000003E-2</v>
      </c>
    </row>
    <row r="3277" spans="2:4">
      <c r="B3277" s="121">
        <v>44754</v>
      </c>
      <c r="C3277" s="123">
        <v>2.96</v>
      </c>
      <c r="D3277" s="73">
        <f t="shared" si="124"/>
        <v>2.9600000000000001E-2</v>
      </c>
    </row>
    <row r="3278" spans="2:4">
      <c r="B3278" s="121">
        <v>44755</v>
      </c>
      <c r="C3278" s="123">
        <v>2.91</v>
      </c>
      <c r="D3278" s="73">
        <f t="shared" si="124"/>
        <v>2.9100000000000001E-2</v>
      </c>
    </row>
    <row r="3279" spans="2:4">
      <c r="B3279" s="121">
        <v>44756</v>
      </c>
      <c r="C3279" s="123">
        <v>2.96</v>
      </c>
      <c r="D3279" s="73">
        <f t="shared" si="124"/>
        <v>2.9600000000000001E-2</v>
      </c>
    </row>
    <row r="3280" spans="2:4">
      <c r="B3280" s="121">
        <v>44757</v>
      </c>
      <c r="C3280" s="123">
        <v>2.93</v>
      </c>
      <c r="D3280" s="73">
        <f t="shared" si="124"/>
        <v>2.9300000000000003E-2</v>
      </c>
    </row>
    <row r="3281" spans="2:4">
      <c r="B3281" s="121">
        <v>44760</v>
      </c>
      <c r="C3281" s="123">
        <v>2.96</v>
      </c>
      <c r="D3281" s="73">
        <f t="shared" ref="D3281:D3285" si="125">IF( LEN( C3281 ) = 0, #N/A, IF( C3281 = "ND", D3280, C3281 / 100 ) )</f>
        <v>2.9600000000000001E-2</v>
      </c>
    </row>
    <row r="3282" spans="2:4">
      <c r="B3282" s="121">
        <v>44761</v>
      </c>
      <c r="C3282" s="123">
        <v>3.01</v>
      </c>
      <c r="D3282" s="73">
        <f t="shared" si="125"/>
        <v>3.0099999999999998E-2</v>
      </c>
    </row>
    <row r="3283" spans="2:4">
      <c r="B3283" s="121">
        <v>44762</v>
      </c>
      <c r="C3283" s="123">
        <v>3.04</v>
      </c>
      <c r="D3283" s="73">
        <f t="shared" si="125"/>
        <v>3.04E-2</v>
      </c>
    </row>
    <row r="3284" spans="2:4">
      <c r="B3284" s="121">
        <v>44763</v>
      </c>
      <c r="C3284" s="123">
        <v>2.91</v>
      </c>
      <c r="D3284" s="73">
        <f t="shared" si="125"/>
        <v>2.9100000000000001E-2</v>
      </c>
    </row>
    <row r="3285" spans="2:4">
      <c r="B3285" s="121">
        <v>44764</v>
      </c>
      <c r="C3285" s="123">
        <v>2.77</v>
      </c>
      <c r="D3285" s="73">
        <f t="shared" si="125"/>
        <v>2.7699999999999999E-2</v>
      </c>
    </row>
    <row r="3286" spans="2:4">
      <c r="B3286" s="121">
        <v>44767</v>
      </c>
      <c r="C3286" s="123">
        <v>2.81</v>
      </c>
      <c r="D3286" s="73">
        <f t="shared" ref="D3286:D3290" si="126">IF( LEN( C3286 ) = 0, #N/A, IF( C3286 = "ND", D3285, C3286 / 100 ) )</f>
        <v>2.81E-2</v>
      </c>
    </row>
    <row r="3287" spans="2:4">
      <c r="B3287" s="121">
        <v>44768</v>
      </c>
      <c r="C3287" s="123">
        <v>2.81</v>
      </c>
      <c r="D3287" s="73">
        <f t="shared" si="126"/>
        <v>2.81E-2</v>
      </c>
    </row>
    <row r="3288" spans="2:4">
      <c r="B3288" s="121">
        <v>44769</v>
      </c>
      <c r="C3288" s="123">
        <v>2.78</v>
      </c>
      <c r="D3288" s="73">
        <f t="shared" si="126"/>
        <v>2.7799999999999998E-2</v>
      </c>
    </row>
    <row r="3289" spans="2:4">
      <c r="B3289" s="121">
        <v>44770</v>
      </c>
      <c r="C3289" s="123">
        <v>2.68</v>
      </c>
      <c r="D3289" s="73">
        <f t="shared" si="126"/>
        <v>2.6800000000000001E-2</v>
      </c>
    </row>
    <row r="3290" spans="2:4">
      <c r="B3290" s="121">
        <v>44771</v>
      </c>
      <c r="C3290" s="123">
        <v>2.67</v>
      </c>
      <c r="D3290" s="73">
        <f t="shared" si="126"/>
        <v>2.6699999999999998E-2</v>
      </c>
    </row>
    <row r="3291" spans="2:4">
      <c r="B3291" s="121">
        <v>44774</v>
      </c>
      <c r="C3291" s="123">
        <v>2.6</v>
      </c>
      <c r="D3291" s="73">
        <f t="shared" ref="D3291:D3295" si="127">IF( LEN( C3291 ) = 0, #N/A, IF( C3291 = "ND", D3290, C3291 / 100 ) )</f>
        <v>2.6000000000000002E-2</v>
      </c>
    </row>
    <row r="3292" spans="2:4">
      <c r="B3292" s="121">
        <v>44775</v>
      </c>
      <c r="C3292" s="123">
        <v>2.75</v>
      </c>
      <c r="D3292" s="73">
        <f t="shared" si="127"/>
        <v>2.75E-2</v>
      </c>
    </row>
    <row r="3293" spans="2:4">
      <c r="B3293" s="121">
        <v>44776</v>
      </c>
      <c r="C3293" s="123">
        <v>2.73</v>
      </c>
      <c r="D3293" s="73">
        <f t="shared" si="127"/>
        <v>2.7300000000000001E-2</v>
      </c>
    </row>
    <row r="3294" spans="2:4">
      <c r="B3294" s="121">
        <v>44777</v>
      </c>
      <c r="C3294" s="123">
        <v>2.68</v>
      </c>
      <c r="D3294" s="73">
        <f t="shared" si="127"/>
        <v>2.6800000000000001E-2</v>
      </c>
    </row>
    <row r="3295" spans="2:4">
      <c r="B3295" s="121">
        <v>44778</v>
      </c>
      <c r="C3295" s="123">
        <v>2.83</v>
      </c>
      <c r="D3295" s="73">
        <f t="shared" si="127"/>
        <v>2.8300000000000002E-2</v>
      </c>
    </row>
    <row r="3296" spans="2:4">
      <c r="B3296" s="121">
        <v>44781</v>
      </c>
      <c r="C3296" s="123">
        <v>2.77</v>
      </c>
      <c r="D3296" s="73">
        <f t="shared" ref="D3296:D3300" si="128">IF( LEN( C3296 ) = 0, #N/A, IF( C3296 = "ND", D3295, C3296 / 100 ) )</f>
        <v>2.7699999999999999E-2</v>
      </c>
    </row>
    <row r="3297" spans="2:4">
      <c r="B3297" s="121">
        <v>44782</v>
      </c>
      <c r="C3297" s="123">
        <v>2.8</v>
      </c>
      <c r="D3297" s="73">
        <f t="shared" si="128"/>
        <v>2.7999999999999997E-2</v>
      </c>
    </row>
    <row r="3298" spans="2:4">
      <c r="B3298" s="121">
        <v>44783</v>
      </c>
      <c r="C3298" s="123">
        <v>2.78</v>
      </c>
      <c r="D3298" s="73">
        <f t="shared" si="128"/>
        <v>2.7799999999999998E-2</v>
      </c>
    </row>
    <row r="3299" spans="2:4">
      <c r="B3299" s="121">
        <v>44784</v>
      </c>
      <c r="C3299" s="123">
        <v>2.87</v>
      </c>
      <c r="D3299" s="73">
        <f t="shared" si="128"/>
        <v>2.87E-2</v>
      </c>
    </row>
    <row r="3300" spans="2:4">
      <c r="B3300" s="121">
        <v>44785</v>
      </c>
      <c r="C3300" s="123">
        <v>2.84</v>
      </c>
      <c r="D3300" s="73">
        <f t="shared" si="128"/>
        <v>2.8399999999999998E-2</v>
      </c>
    </row>
    <row r="3301" spans="2:4">
      <c r="B3301" s="121">
        <v>44788</v>
      </c>
      <c r="C3301" s="123">
        <v>2.79</v>
      </c>
      <c r="D3301" s="73">
        <f t="shared" ref="D3301:D3305" si="129">IF( LEN( C3301 ) = 0, #N/A, IF( C3301 = "ND", D3300, C3301 / 100 ) )</f>
        <v>2.7900000000000001E-2</v>
      </c>
    </row>
    <row r="3302" spans="2:4">
      <c r="B3302" s="121">
        <v>44789</v>
      </c>
      <c r="C3302" s="123">
        <v>2.82</v>
      </c>
      <c r="D3302" s="73">
        <f t="shared" si="129"/>
        <v>2.8199999999999999E-2</v>
      </c>
    </row>
    <row r="3303" spans="2:4">
      <c r="B3303" s="121">
        <v>44790</v>
      </c>
      <c r="C3303" s="123">
        <v>2.89</v>
      </c>
      <c r="D3303" s="73">
        <f t="shared" si="129"/>
        <v>2.8900000000000002E-2</v>
      </c>
    </row>
    <row r="3304" spans="2:4">
      <c r="B3304" s="121">
        <v>44791</v>
      </c>
      <c r="C3304" s="123">
        <v>2.88</v>
      </c>
      <c r="D3304" s="73">
        <f t="shared" si="129"/>
        <v>2.8799999999999999E-2</v>
      </c>
    </row>
    <row r="3305" spans="2:4">
      <c r="B3305" s="121">
        <v>44792</v>
      </c>
      <c r="C3305" s="123">
        <v>2.98</v>
      </c>
      <c r="D3305" s="73">
        <f t="shared" si="129"/>
        <v>2.98E-2</v>
      </c>
    </row>
    <row r="3306" spans="2:4">
      <c r="B3306" s="121">
        <v>44795</v>
      </c>
      <c r="C3306" s="123">
        <v>3.03</v>
      </c>
      <c r="D3306" s="73">
        <f t="shared" ref="D3306:D3310" si="130">IF( LEN( C3306 ) = 0, #N/A, IF( C3306 = "ND", D3305, C3306 / 100 ) )</f>
        <v>3.0299999999999997E-2</v>
      </c>
    </row>
    <row r="3307" spans="2:4">
      <c r="B3307" s="121">
        <v>44796</v>
      </c>
      <c r="C3307" s="123">
        <v>3.05</v>
      </c>
      <c r="D3307" s="73">
        <f t="shared" si="130"/>
        <v>3.0499999999999999E-2</v>
      </c>
    </row>
    <row r="3308" spans="2:4">
      <c r="B3308" s="121">
        <v>44797</v>
      </c>
      <c r="C3308" s="123">
        <v>3.11</v>
      </c>
      <c r="D3308" s="73">
        <f t="shared" si="130"/>
        <v>3.1099999999999999E-2</v>
      </c>
    </row>
    <row r="3309" spans="2:4">
      <c r="B3309" s="121">
        <v>44798</v>
      </c>
      <c r="C3309" s="123">
        <v>3.03</v>
      </c>
      <c r="D3309" s="73">
        <f t="shared" si="130"/>
        <v>3.0299999999999997E-2</v>
      </c>
    </row>
    <row r="3310" spans="2:4">
      <c r="B3310" s="121">
        <v>44799</v>
      </c>
      <c r="C3310" s="123">
        <v>3.04</v>
      </c>
      <c r="D3310" s="73">
        <f t="shared" si="130"/>
        <v>3.04E-2</v>
      </c>
    </row>
    <row r="3311" spans="2:4">
      <c r="B3311" s="121">
        <v>44802</v>
      </c>
      <c r="C3311" s="123">
        <v>3.12</v>
      </c>
      <c r="D3311" s="73">
        <f t="shared" ref="D3311:D3315" si="131">IF( LEN( C3311 ) = 0, #N/A, IF( C3311 = "ND", D3310, C3311 / 100 ) )</f>
        <v>3.1200000000000002E-2</v>
      </c>
    </row>
    <row r="3312" spans="2:4">
      <c r="B3312" s="121">
        <v>44803</v>
      </c>
      <c r="C3312" s="123">
        <v>3.11</v>
      </c>
      <c r="D3312" s="73">
        <f t="shared" si="131"/>
        <v>3.1099999999999999E-2</v>
      </c>
    </row>
    <row r="3313" spans="2:4">
      <c r="B3313" s="121">
        <v>44804</v>
      </c>
      <c r="C3313" s="123">
        <v>3.15</v>
      </c>
      <c r="D3313" s="73">
        <f t="shared" si="131"/>
        <v>3.15E-2</v>
      </c>
    </row>
    <row r="3314" spans="2:4">
      <c r="B3314" s="121">
        <v>44805</v>
      </c>
      <c r="C3314" s="123">
        <v>3.26</v>
      </c>
      <c r="D3314" s="73">
        <f t="shared" si="131"/>
        <v>3.2599999999999997E-2</v>
      </c>
    </row>
    <row r="3315" spans="2:4">
      <c r="B3315" s="121">
        <v>44806</v>
      </c>
      <c r="C3315" s="123">
        <v>3.2</v>
      </c>
      <c r="D3315" s="73">
        <f t="shared" si="131"/>
        <v>3.2000000000000001E-2</v>
      </c>
    </row>
    <row r="3316" spans="2:4">
      <c r="B3316" s="121">
        <v>44809</v>
      </c>
      <c r="C3316" s="123" t="s">
        <v>325</v>
      </c>
      <c r="D3316" s="73">
        <f t="shared" ref="D3316:D3320" si="132">IF( LEN( C3316 ) = 0, #N/A, IF( C3316 = "ND", D3315, C3316 / 100 ) )</f>
        <v>3.2000000000000001E-2</v>
      </c>
    </row>
    <row r="3317" spans="2:4">
      <c r="B3317" s="121">
        <v>44810</v>
      </c>
      <c r="C3317" s="123">
        <v>3.33</v>
      </c>
      <c r="D3317" s="73">
        <f t="shared" si="132"/>
        <v>3.3300000000000003E-2</v>
      </c>
    </row>
    <row r="3318" spans="2:4">
      <c r="B3318" s="121">
        <v>44811</v>
      </c>
      <c r="C3318" s="123">
        <v>3.27</v>
      </c>
      <c r="D3318" s="73">
        <f t="shared" si="132"/>
        <v>3.27E-2</v>
      </c>
    </row>
    <row r="3319" spans="2:4">
      <c r="B3319" s="121">
        <v>44812</v>
      </c>
      <c r="C3319" s="123">
        <v>3.29</v>
      </c>
      <c r="D3319" s="73">
        <f t="shared" si="132"/>
        <v>3.2899999999999999E-2</v>
      </c>
    </row>
    <row r="3320" spans="2:4">
      <c r="B3320" s="121">
        <v>44813</v>
      </c>
      <c r="C3320" s="123">
        <v>3.33</v>
      </c>
      <c r="D3320" s="73">
        <f t="shared" si="132"/>
        <v>3.3300000000000003E-2</v>
      </c>
    </row>
    <row r="3321" spans="2:4">
      <c r="B3321" s="121">
        <v>44816</v>
      </c>
      <c r="C3321" s="123">
        <v>3.37</v>
      </c>
      <c r="D3321" s="73">
        <f t="shared" ref="D3321:D3325" si="133">IF( LEN( C3321 ) = 0, #N/A, IF( C3321 = "ND", D3320, C3321 / 100 ) )</f>
        <v>3.3700000000000001E-2</v>
      </c>
    </row>
    <row r="3322" spans="2:4">
      <c r="B3322" s="121">
        <v>44817</v>
      </c>
      <c r="C3322" s="123">
        <v>3.42</v>
      </c>
      <c r="D3322" s="73">
        <f t="shared" si="133"/>
        <v>3.4200000000000001E-2</v>
      </c>
    </row>
    <row r="3323" spans="2:4">
      <c r="B3323" s="121">
        <v>44818</v>
      </c>
      <c r="C3323" s="123">
        <v>3.41</v>
      </c>
      <c r="D3323" s="73">
        <f t="shared" si="133"/>
        <v>3.4099999999999998E-2</v>
      </c>
    </row>
    <row r="3324" spans="2:4">
      <c r="B3324" s="121">
        <v>44819</v>
      </c>
      <c r="C3324" s="123">
        <v>3.45</v>
      </c>
      <c r="D3324" s="73">
        <f t="shared" si="133"/>
        <v>3.4500000000000003E-2</v>
      </c>
    </row>
    <row r="3325" spans="2:4">
      <c r="B3325" s="121">
        <v>44820</v>
      </c>
      <c r="C3325" s="123">
        <v>3.45</v>
      </c>
      <c r="D3325" s="73">
        <f t="shared" si="133"/>
        <v>3.4500000000000003E-2</v>
      </c>
    </row>
    <row r="3326" spans="2:4">
      <c r="B3326" s="121">
        <v>44823</v>
      </c>
      <c r="C3326" s="123">
        <v>3.49</v>
      </c>
      <c r="D3326" s="73">
        <f t="shared" ref="D3326:D3330" si="134">IF( LEN( C3326 ) = 0, #N/A, IF( C3326 = "ND", D3325, C3326 / 100 ) )</f>
        <v>3.49E-2</v>
      </c>
    </row>
    <row r="3327" spans="2:4">
      <c r="B3327" s="121">
        <v>44824</v>
      </c>
      <c r="C3327" s="123">
        <v>3.57</v>
      </c>
      <c r="D3327" s="73">
        <f t="shared" si="134"/>
        <v>3.5699999999999996E-2</v>
      </c>
    </row>
    <row r="3328" spans="2:4">
      <c r="B3328" s="121">
        <v>44825</v>
      </c>
      <c r="C3328" s="123">
        <v>3.51</v>
      </c>
      <c r="D3328" s="73">
        <f t="shared" si="134"/>
        <v>3.5099999999999999E-2</v>
      </c>
    </row>
    <row r="3329" spans="2:4">
      <c r="B3329" s="121">
        <v>44826</v>
      </c>
      <c r="C3329" s="123">
        <v>3.7</v>
      </c>
      <c r="D3329" s="73">
        <f t="shared" si="134"/>
        <v>3.7000000000000005E-2</v>
      </c>
    </row>
    <row r="3330" spans="2:4">
      <c r="B3330" s="121">
        <v>44827</v>
      </c>
      <c r="C3330" s="123">
        <v>3.69</v>
      </c>
      <c r="D3330" s="73">
        <f t="shared" si="134"/>
        <v>3.6900000000000002E-2</v>
      </c>
    </row>
    <row r="3331" spans="2:4">
      <c r="B3331" s="121">
        <v>44830</v>
      </c>
      <c r="C3331" s="123">
        <v>3.88</v>
      </c>
      <c r="D3331" s="73">
        <f t="shared" ref="D3331:D3335" si="135">IF( LEN( C3331 ) = 0, #N/A, IF( C3331 = "ND", D3330, C3331 / 100 ) )</f>
        <v>3.8800000000000001E-2</v>
      </c>
    </row>
    <row r="3332" spans="2:4">
      <c r="B3332" s="121">
        <v>44831</v>
      </c>
      <c r="C3332" s="123">
        <v>3.97</v>
      </c>
      <c r="D3332" s="73">
        <f t="shared" si="135"/>
        <v>3.9699999999999999E-2</v>
      </c>
    </row>
    <row r="3333" spans="2:4">
      <c r="B3333" s="121">
        <v>44832</v>
      </c>
      <c r="C3333" s="123">
        <v>3.72</v>
      </c>
      <c r="D3333" s="73">
        <f t="shared" si="135"/>
        <v>3.7200000000000004E-2</v>
      </c>
    </row>
    <row r="3334" spans="2:4">
      <c r="B3334" s="121">
        <v>44833</v>
      </c>
      <c r="C3334" s="123">
        <v>3.76</v>
      </c>
      <c r="D3334" s="73">
        <f t="shared" si="135"/>
        <v>3.7599999999999995E-2</v>
      </c>
    </row>
    <row r="3335" spans="2:4">
      <c r="B3335" s="121">
        <v>44834</v>
      </c>
      <c r="C3335" s="123">
        <v>3.83</v>
      </c>
      <c r="D3335" s="73">
        <f t="shared" si="135"/>
        <v>3.8300000000000001E-2</v>
      </c>
    </row>
    <row r="3336" spans="2:4">
      <c r="B3336" s="121">
        <v>44837</v>
      </c>
      <c r="C3336" s="123">
        <v>3.67</v>
      </c>
      <c r="D3336" s="73">
        <f t="shared" ref="D3336:D3340" si="136">IF( LEN( C3336 ) = 0, #N/A, IF( C3336 = "ND", D3335, C3336 / 100 ) )</f>
        <v>3.6699999999999997E-2</v>
      </c>
    </row>
    <row r="3337" spans="2:4">
      <c r="B3337" s="121">
        <v>44838</v>
      </c>
      <c r="C3337" s="123">
        <v>3.62</v>
      </c>
      <c r="D3337" s="73">
        <f t="shared" si="136"/>
        <v>3.6200000000000003E-2</v>
      </c>
    </row>
    <row r="3338" spans="2:4">
      <c r="B3338" s="121">
        <v>44839</v>
      </c>
      <c r="C3338" s="123">
        <v>3.76</v>
      </c>
      <c r="D3338" s="73">
        <f t="shared" si="136"/>
        <v>3.7599999999999995E-2</v>
      </c>
    </row>
    <row r="3339" spans="2:4">
      <c r="B3339" s="121">
        <v>44840</v>
      </c>
      <c r="C3339" s="123">
        <v>3.83</v>
      </c>
      <c r="D3339" s="73">
        <f t="shared" si="136"/>
        <v>3.8300000000000001E-2</v>
      </c>
    </row>
    <row r="3340" spans="2:4">
      <c r="B3340" s="121">
        <v>44841</v>
      </c>
      <c r="C3340" s="123">
        <v>3.89</v>
      </c>
      <c r="D3340" s="73">
        <f t="shared" si="136"/>
        <v>3.8900000000000004E-2</v>
      </c>
    </row>
    <row r="3341" spans="2:4">
      <c r="B3341" s="121">
        <v>44844</v>
      </c>
      <c r="C3341" s="123" t="s">
        <v>325</v>
      </c>
      <c r="D3341" s="73">
        <f t="shared" ref="D3341:D3345" si="137">IF( LEN( C3341 ) = 0, #N/A, IF( C3341 = "ND", D3340, C3341 / 100 ) )</f>
        <v>3.8900000000000004E-2</v>
      </c>
    </row>
    <row r="3342" spans="2:4">
      <c r="B3342" s="121">
        <v>44845</v>
      </c>
      <c r="C3342" s="123">
        <v>3.93</v>
      </c>
      <c r="D3342" s="73">
        <f t="shared" si="137"/>
        <v>3.9300000000000002E-2</v>
      </c>
    </row>
    <row r="3343" spans="2:4">
      <c r="B3343" s="121">
        <v>44846</v>
      </c>
      <c r="C3343" s="123">
        <v>3.91</v>
      </c>
      <c r="D3343" s="73">
        <f t="shared" si="137"/>
        <v>3.9100000000000003E-2</v>
      </c>
    </row>
    <row r="3344" spans="2:4">
      <c r="B3344" s="121">
        <v>44847</v>
      </c>
      <c r="C3344" s="123">
        <v>3.97</v>
      </c>
      <c r="D3344" s="73">
        <f t="shared" si="137"/>
        <v>3.9699999999999999E-2</v>
      </c>
    </row>
    <row r="3345" spans="2:4">
      <c r="B3345" s="121">
        <v>44848</v>
      </c>
      <c r="C3345" s="123">
        <v>4</v>
      </c>
      <c r="D3345" s="73">
        <f t="shared" si="137"/>
        <v>0.04</v>
      </c>
    </row>
    <row r="3346" spans="2:4">
      <c r="B3346" s="121">
        <v>44851</v>
      </c>
      <c r="C3346" s="123">
        <v>4.0199999999999996</v>
      </c>
      <c r="D3346" s="73">
        <f t="shared" ref="D3346:D3350" si="138">IF( LEN( C3346 ) = 0, #N/A, IF( C3346 = "ND", D3345, C3346 / 100 ) )</f>
        <v>4.0199999999999993E-2</v>
      </c>
    </row>
    <row r="3347" spans="2:4">
      <c r="B3347" s="121">
        <v>44852</v>
      </c>
      <c r="C3347" s="123">
        <v>4.01</v>
      </c>
      <c r="D3347" s="73">
        <f t="shared" si="138"/>
        <v>4.0099999999999997E-2</v>
      </c>
    </row>
    <row r="3348" spans="2:4">
      <c r="B3348" s="121">
        <v>44853</v>
      </c>
      <c r="C3348" s="123">
        <v>4.1399999999999997</v>
      </c>
      <c r="D3348" s="73">
        <f t="shared" si="138"/>
        <v>4.1399999999999999E-2</v>
      </c>
    </row>
    <row r="3349" spans="2:4">
      <c r="B3349" s="121">
        <v>44854</v>
      </c>
      <c r="C3349" s="123">
        <v>4.24</v>
      </c>
      <c r="D3349" s="73">
        <f t="shared" si="138"/>
        <v>4.24E-2</v>
      </c>
    </row>
    <row r="3350" spans="2:4">
      <c r="B3350" s="121">
        <v>44855</v>
      </c>
      <c r="C3350" s="123">
        <v>4.21</v>
      </c>
      <c r="D3350" s="73">
        <f t="shared" si="138"/>
        <v>4.2099999999999999E-2</v>
      </c>
    </row>
    <row r="3351" spans="2:4">
      <c r="B3351" s="121">
        <v>44858</v>
      </c>
      <c r="C3351" s="123">
        <v>4.25</v>
      </c>
      <c r="D3351" s="73">
        <f t="shared" ref="D3351:D3355" si="139">IF( LEN( C3351 ) = 0, #N/A, IF( C3351 = "ND", D3350, C3351 / 100 ) )</f>
        <v>4.2500000000000003E-2</v>
      </c>
    </row>
    <row r="3352" spans="2:4">
      <c r="B3352" s="121">
        <v>44859</v>
      </c>
      <c r="C3352" s="123">
        <v>4.0999999999999996</v>
      </c>
      <c r="D3352" s="73">
        <f t="shared" si="139"/>
        <v>4.0999999999999995E-2</v>
      </c>
    </row>
    <row r="3353" spans="2:4">
      <c r="B3353" s="121">
        <v>44860</v>
      </c>
      <c r="C3353" s="123">
        <v>4.04</v>
      </c>
      <c r="D3353" s="73">
        <f t="shared" si="139"/>
        <v>4.0399999999999998E-2</v>
      </c>
    </row>
    <row r="3354" spans="2:4">
      <c r="B3354" s="121">
        <v>44861</v>
      </c>
      <c r="C3354" s="123">
        <v>3.96</v>
      </c>
      <c r="D3354" s="73">
        <f t="shared" si="139"/>
        <v>3.9599999999999996E-2</v>
      </c>
    </row>
    <row r="3355" spans="2:4">
      <c r="B3355" s="121">
        <v>44862</v>
      </c>
      <c r="C3355" s="123">
        <v>4.0199999999999996</v>
      </c>
      <c r="D3355" s="73">
        <f t="shared" si="139"/>
        <v>4.0199999999999993E-2</v>
      </c>
    </row>
    <row r="3356" spans="2:4">
      <c r="B3356" s="121">
        <v>44865</v>
      </c>
      <c r="C3356" s="123">
        <v>4.0999999999999996</v>
      </c>
      <c r="D3356" s="73">
        <f t="shared" ref="D3356:D3360" si="140">IF( LEN( C3356 ) = 0, #N/A, IF( C3356 = "ND", D3355, C3356 / 100 ) )</f>
        <v>4.0999999999999995E-2</v>
      </c>
    </row>
    <row r="3357" spans="2:4">
      <c r="B3357" s="121">
        <v>44866</v>
      </c>
      <c r="C3357" s="123">
        <v>4.07</v>
      </c>
      <c r="D3357" s="73">
        <f t="shared" si="140"/>
        <v>4.07E-2</v>
      </c>
    </row>
    <row r="3358" spans="2:4">
      <c r="B3358" s="121">
        <v>44867</v>
      </c>
      <c r="C3358" s="123">
        <v>4.0999999999999996</v>
      </c>
      <c r="D3358" s="73">
        <f t="shared" si="140"/>
        <v>4.0999999999999995E-2</v>
      </c>
    </row>
    <row r="3359" spans="2:4">
      <c r="B3359" s="121">
        <v>44868</v>
      </c>
      <c r="C3359" s="123">
        <v>4.1399999999999997</v>
      </c>
      <c r="D3359" s="73">
        <f t="shared" si="140"/>
        <v>4.1399999999999999E-2</v>
      </c>
    </row>
    <row r="3360" spans="2:4">
      <c r="B3360" s="121">
        <v>44869</v>
      </c>
      <c r="C3360" s="123">
        <v>4.17</v>
      </c>
      <c r="D3360" s="73">
        <f t="shared" si="140"/>
        <v>4.1700000000000001E-2</v>
      </c>
    </row>
    <row r="3361" spans="2:4">
      <c r="B3361" s="121">
        <v>44872</v>
      </c>
      <c r="C3361" s="123">
        <v>4.22</v>
      </c>
      <c r="D3361" s="73">
        <f t="shared" ref="D3361:D3370" si="141">IF( LEN( C3361 ) = 0, #N/A, IF( C3361 = "ND", D3360, C3361 / 100 ) )</f>
        <v>4.2199999999999994E-2</v>
      </c>
    </row>
    <row r="3362" spans="2:4">
      <c r="B3362" s="121">
        <v>44873</v>
      </c>
      <c r="C3362" s="123">
        <v>4.1399999999999997</v>
      </c>
      <c r="D3362" s="73">
        <f t="shared" si="141"/>
        <v>4.1399999999999999E-2</v>
      </c>
    </row>
    <row r="3363" spans="2:4">
      <c r="B3363" s="121">
        <v>44874</v>
      </c>
      <c r="C3363" s="123">
        <v>4.12</v>
      </c>
      <c r="D3363" s="73">
        <f t="shared" si="141"/>
        <v>4.1200000000000001E-2</v>
      </c>
    </row>
    <row r="3364" spans="2:4">
      <c r="B3364" s="121">
        <v>44875</v>
      </c>
      <c r="C3364" s="123">
        <v>3.82</v>
      </c>
      <c r="D3364" s="73">
        <f t="shared" si="141"/>
        <v>3.8199999999999998E-2</v>
      </c>
    </row>
    <row r="3365" spans="2:4">
      <c r="B3365" s="121">
        <v>44876</v>
      </c>
      <c r="C3365" s="123" t="s">
        <v>325</v>
      </c>
      <c r="D3365" s="73">
        <f t="shared" si="141"/>
        <v>3.8199999999999998E-2</v>
      </c>
    </row>
    <row r="3366" spans="2:4">
      <c r="B3366" s="121">
        <v>44879</v>
      </c>
      <c r="C3366" s="123">
        <v>3.88</v>
      </c>
      <c r="D3366" s="73">
        <f t="shared" si="141"/>
        <v>3.8800000000000001E-2</v>
      </c>
    </row>
    <row r="3367" spans="2:4">
      <c r="B3367" s="121">
        <v>44880</v>
      </c>
      <c r="C3367" s="123">
        <v>3.8</v>
      </c>
      <c r="D3367" s="73">
        <f t="shared" si="141"/>
        <v>3.7999999999999999E-2</v>
      </c>
    </row>
    <row r="3368" spans="2:4">
      <c r="B3368" s="121">
        <v>44881</v>
      </c>
      <c r="C3368" s="123">
        <v>3.67</v>
      </c>
      <c r="D3368" s="73">
        <f t="shared" si="141"/>
        <v>3.6699999999999997E-2</v>
      </c>
    </row>
    <row r="3369" spans="2:4">
      <c r="B3369" s="121">
        <v>44882</v>
      </c>
      <c r="C3369" s="123">
        <v>3.77</v>
      </c>
      <c r="D3369" s="73">
        <f t="shared" si="141"/>
        <v>3.7699999999999997E-2</v>
      </c>
    </row>
    <row r="3370" spans="2:4">
      <c r="B3370" s="121">
        <v>44883</v>
      </c>
      <c r="C3370" s="123">
        <v>3.82</v>
      </c>
      <c r="D3370" s="73">
        <f t="shared" si="141"/>
        <v>3.8199999999999998E-2</v>
      </c>
    </row>
    <row r="3371" spans="2:4">
      <c r="B3371" s="121">
        <v>44886</v>
      </c>
      <c r="C3371" s="123">
        <v>3.83</v>
      </c>
      <c r="D3371" s="73">
        <f t="shared" ref="D3371:D3434" si="142">IF( LEN( C3371 ) = 0, #N/A, IF( C3371 = "ND", D3370, C3371 / 100 ) )</f>
        <v>3.8300000000000001E-2</v>
      </c>
    </row>
    <row r="3372" spans="2:4">
      <c r="B3372" s="121">
        <v>44887</v>
      </c>
      <c r="C3372" s="123">
        <v>3.76</v>
      </c>
      <c r="D3372" s="73">
        <f t="shared" si="142"/>
        <v>3.7599999999999995E-2</v>
      </c>
    </row>
    <row r="3373" spans="2:4">
      <c r="B3373" s="121">
        <v>44888</v>
      </c>
      <c r="C3373" s="123">
        <v>3.71</v>
      </c>
      <c r="D3373" s="73">
        <f t="shared" si="142"/>
        <v>3.7100000000000001E-2</v>
      </c>
    </row>
    <row r="3374" spans="2:4">
      <c r="B3374" s="121">
        <v>44889</v>
      </c>
      <c r="C3374" s="123" t="s">
        <v>325</v>
      </c>
      <c r="D3374" s="73">
        <f t="shared" si="142"/>
        <v>3.7100000000000001E-2</v>
      </c>
    </row>
    <row r="3375" spans="2:4">
      <c r="B3375" s="121">
        <v>44890</v>
      </c>
      <c r="C3375" s="123">
        <v>3.68</v>
      </c>
      <c r="D3375" s="73">
        <f t="shared" si="142"/>
        <v>3.6799999999999999E-2</v>
      </c>
    </row>
    <row r="3376" spans="2:4">
      <c r="B3376" s="121">
        <v>44893</v>
      </c>
      <c r="C3376" s="123">
        <v>3.69</v>
      </c>
      <c r="D3376" s="73">
        <f t="shared" si="142"/>
        <v>3.6900000000000002E-2</v>
      </c>
    </row>
    <row r="3377" spans="2:4">
      <c r="B3377" s="121">
        <v>44894</v>
      </c>
      <c r="C3377" s="123">
        <v>3.75</v>
      </c>
      <c r="D3377" s="73">
        <f t="shared" si="142"/>
        <v>3.7499999999999999E-2</v>
      </c>
    </row>
    <row r="3378" spans="2:4">
      <c r="B3378" s="121">
        <v>44895</v>
      </c>
      <c r="C3378" s="123">
        <v>3.68</v>
      </c>
      <c r="D3378" s="73">
        <f t="shared" si="142"/>
        <v>3.6799999999999999E-2</v>
      </c>
    </row>
    <row r="3379" spans="2:4">
      <c r="B3379" s="121">
        <v>44896</v>
      </c>
      <c r="C3379" s="123">
        <v>3.53</v>
      </c>
      <c r="D3379" s="73">
        <f t="shared" si="142"/>
        <v>3.5299999999999998E-2</v>
      </c>
    </row>
    <row r="3380" spans="2:4">
      <c r="B3380" s="121">
        <v>44897</v>
      </c>
      <c r="C3380" s="123">
        <v>3.51</v>
      </c>
      <c r="D3380" s="73">
        <f t="shared" si="142"/>
        <v>3.5099999999999999E-2</v>
      </c>
    </row>
    <row r="3381" spans="2:4">
      <c r="B3381" s="121">
        <v>44900</v>
      </c>
      <c r="C3381" s="123">
        <v>3.6</v>
      </c>
      <c r="D3381" s="73">
        <f t="shared" si="142"/>
        <v>3.6000000000000004E-2</v>
      </c>
    </row>
    <row r="3382" spans="2:4">
      <c r="B3382" s="121">
        <v>44901</v>
      </c>
      <c r="C3382" s="123">
        <v>3.51</v>
      </c>
      <c r="D3382" s="73">
        <f t="shared" si="142"/>
        <v>3.5099999999999999E-2</v>
      </c>
    </row>
    <row r="3383" spans="2:4">
      <c r="B3383" s="121">
        <v>44902</v>
      </c>
      <c r="C3383" s="123">
        <v>3.42</v>
      </c>
      <c r="D3383" s="73">
        <f t="shared" si="142"/>
        <v>3.4200000000000001E-2</v>
      </c>
    </row>
    <row r="3384" spans="2:4">
      <c r="B3384" s="121">
        <v>44903</v>
      </c>
      <c r="C3384" s="123">
        <v>3.48</v>
      </c>
      <c r="D3384" s="73">
        <f t="shared" si="142"/>
        <v>3.4799999999999998E-2</v>
      </c>
    </row>
    <row r="3385" spans="2:4">
      <c r="B3385" s="121">
        <v>44904</v>
      </c>
      <c r="C3385" s="123">
        <v>3.57</v>
      </c>
      <c r="D3385" s="73">
        <f t="shared" si="142"/>
        <v>3.5699999999999996E-2</v>
      </c>
    </row>
    <row r="3386" spans="2:4">
      <c r="B3386" s="121">
        <v>44907</v>
      </c>
      <c r="C3386" s="123">
        <v>3.61</v>
      </c>
      <c r="D3386" s="73">
        <f t="shared" si="142"/>
        <v>3.61E-2</v>
      </c>
    </row>
    <row r="3387" spans="2:4">
      <c r="B3387" s="121">
        <v>44908</v>
      </c>
      <c r="C3387" s="123">
        <v>3.51</v>
      </c>
      <c r="D3387" s="73">
        <f t="shared" si="142"/>
        <v>3.5099999999999999E-2</v>
      </c>
    </row>
    <row r="3388" spans="2:4">
      <c r="B3388" s="121">
        <v>44909</v>
      </c>
      <c r="C3388" s="123">
        <v>3.49</v>
      </c>
      <c r="D3388" s="73">
        <f t="shared" si="142"/>
        <v>3.49E-2</v>
      </c>
    </row>
    <row r="3389" spans="2:4">
      <c r="B3389" s="121">
        <v>44910</v>
      </c>
      <c r="C3389" s="123">
        <v>3.44</v>
      </c>
      <c r="D3389" s="73">
        <f t="shared" si="142"/>
        <v>3.44E-2</v>
      </c>
    </row>
    <row r="3390" spans="2:4">
      <c r="B3390" s="121">
        <v>44911</v>
      </c>
      <c r="C3390" s="123">
        <v>3.48</v>
      </c>
      <c r="D3390" s="73">
        <f t="shared" si="142"/>
        <v>3.4799999999999998E-2</v>
      </c>
    </row>
    <row r="3391" spans="2:4">
      <c r="B3391" s="121">
        <v>44914</v>
      </c>
      <c r="C3391" s="123">
        <v>3.57</v>
      </c>
      <c r="D3391" s="73">
        <f t="shared" si="142"/>
        <v>3.5699999999999996E-2</v>
      </c>
    </row>
    <row r="3392" spans="2:4">
      <c r="B3392" s="121">
        <v>44915</v>
      </c>
      <c r="C3392" s="123">
        <v>3.69</v>
      </c>
      <c r="D3392" s="73">
        <f t="shared" si="142"/>
        <v>3.6900000000000002E-2</v>
      </c>
    </row>
    <row r="3393" spans="2:4">
      <c r="B3393" s="121">
        <v>44916</v>
      </c>
      <c r="C3393" s="123">
        <v>3.68</v>
      </c>
      <c r="D3393" s="73">
        <f t="shared" si="142"/>
        <v>3.6799999999999999E-2</v>
      </c>
    </row>
    <row r="3394" spans="2:4">
      <c r="B3394" s="121">
        <v>44917</v>
      </c>
      <c r="C3394" s="123">
        <v>3.67</v>
      </c>
      <c r="D3394" s="73">
        <f t="shared" si="142"/>
        <v>3.6699999999999997E-2</v>
      </c>
    </row>
    <row r="3395" spans="2:4">
      <c r="B3395" s="121">
        <v>44918</v>
      </c>
      <c r="C3395" s="123">
        <v>3.75</v>
      </c>
      <c r="D3395" s="73">
        <f t="shared" si="142"/>
        <v>3.7499999999999999E-2</v>
      </c>
    </row>
    <row r="3396" spans="2:4">
      <c r="B3396" s="121">
        <v>44921</v>
      </c>
      <c r="C3396" s="123" t="s">
        <v>325</v>
      </c>
      <c r="D3396" s="73">
        <f t="shared" si="142"/>
        <v>3.7499999999999999E-2</v>
      </c>
    </row>
    <row r="3397" spans="2:4">
      <c r="B3397" s="121">
        <v>44922</v>
      </c>
      <c r="C3397" s="123">
        <v>3.84</v>
      </c>
      <c r="D3397" s="73">
        <f t="shared" si="142"/>
        <v>3.8399999999999997E-2</v>
      </c>
    </row>
    <row r="3398" spans="2:4">
      <c r="B3398" s="121">
        <v>44923</v>
      </c>
      <c r="C3398" s="123">
        <v>3.88</v>
      </c>
      <c r="D3398" s="73">
        <f t="shared" si="142"/>
        <v>3.8800000000000001E-2</v>
      </c>
    </row>
    <row r="3399" spans="2:4">
      <c r="B3399" s="121">
        <v>44924</v>
      </c>
      <c r="C3399" s="123">
        <v>3.83</v>
      </c>
      <c r="D3399" s="73">
        <f t="shared" si="142"/>
        <v>3.8300000000000001E-2</v>
      </c>
    </row>
    <row r="3400" spans="2:4">
      <c r="B3400" s="121">
        <v>44925</v>
      </c>
      <c r="C3400" s="123">
        <v>3.88</v>
      </c>
      <c r="D3400" s="73">
        <f t="shared" si="142"/>
        <v>3.8800000000000001E-2</v>
      </c>
    </row>
    <row r="3401" spans="2:4">
      <c r="B3401" s="121">
        <v>44928</v>
      </c>
      <c r="C3401" s="123" t="s">
        <v>325</v>
      </c>
      <c r="D3401" s="73">
        <f t="shared" si="142"/>
        <v>3.8800000000000001E-2</v>
      </c>
    </row>
    <row r="3402" spans="2:4">
      <c r="B3402" s="121">
        <v>44929</v>
      </c>
      <c r="C3402" s="123">
        <v>3.79</v>
      </c>
      <c r="D3402" s="73">
        <f t="shared" si="142"/>
        <v>3.7900000000000003E-2</v>
      </c>
    </row>
    <row r="3403" spans="2:4">
      <c r="B3403" s="121">
        <v>44930</v>
      </c>
      <c r="C3403" s="123">
        <v>3.69</v>
      </c>
      <c r="D3403" s="73">
        <f t="shared" si="142"/>
        <v>3.6900000000000002E-2</v>
      </c>
    </row>
    <row r="3404" spans="2:4">
      <c r="B3404" s="121">
        <v>44931</v>
      </c>
      <c r="C3404" s="123">
        <v>3.71</v>
      </c>
      <c r="D3404" s="73">
        <f t="shared" si="142"/>
        <v>3.7100000000000001E-2</v>
      </c>
    </row>
    <row r="3405" spans="2:4">
      <c r="B3405" s="121">
        <v>44932</v>
      </c>
      <c r="C3405" s="123">
        <v>3.55</v>
      </c>
      <c r="D3405" s="73">
        <f t="shared" si="142"/>
        <v>3.5499999999999997E-2</v>
      </c>
    </row>
    <row r="3406" spans="2:4">
      <c r="B3406" s="121">
        <v>44935</v>
      </c>
      <c r="C3406" s="123">
        <v>3.53</v>
      </c>
      <c r="D3406" s="73">
        <f t="shared" si="142"/>
        <v>3.5299999999999998E-2</v>
      </c>
    </row>
    <row r="3407" spans="2:4">
      <c r="B3407" s="121">
        <v>44936</v>
      </c>
      <c r="C3407" s="123">
        <v>3.61</v>
      </c>
      <c r="D3407" s="73">
        <f t="shared" si="142"/>
        <v>3.61E-2</v>
      </c>
    </row>
    <row r="3408" spans="2:4">
      <c r="B3408" s="121">
        <v>44937</v>
      </c>
      <c r="C3408" s="123">
        <v>3.54</v>
      </c>
      <c r="D3408" s="73">
        <f t="shared" si="142"/>
        <v>3.5400000000000001E-2</v>
      </c>
    </row>
    <row r="3409" spans="2:4">
      <c r="B3409" s="121">
        <v>44938</v>
      </c>
      <c r="C3409" s="123">
        <v>3.43</v>
      </c>
      <c r="D3409" s="73">
        <f t="shared" si="142"/>
        <v>3.4300000000000004E-2</v>
      </c>
    </row>
    <row r="3410" spans="2:4">
      <c r="B3410" s="121">
        <v>44939</v>
      </c>
      <c r="C3410" s="123">
        <v>3.49</v>
      </c>
      <c r="D3410" s="73">
        <f t="shared" si="142"/>
        <v>3.49E-2</v>
      </c>
    </row>
    <row r="3411" spans="2:4">
      <c r="B3411" s="121">
        <v>44942</v>
      </c>
      <c r="C3411" s="123" t="s">
        <v>325</v>
      </c>
      <c r="D3411" s="73">
        <f t="shared" si="142"/>
        <v>3.49E-2</v>
      </c>
    </row>
    <row r="3412" spans="2:4">
      <c r="B3412" s="121">
        <v>44943</v>
      </c>
      <c r="C3412" s="123">
        <v>3.53</v>
      </c>
      <c r="D3412" s="73">
        <f t="shared" si="142"/>
        <v>3.5299999999999998E-2</v>
      </c>
    </row>
    <row r="3413" spans="2:4">
      <c r="B3413" s="121">
        <v>44944</v>
      </c>
      <c r="C3413" s="123">
        <v>3.37</v>
      </c>
      <c r="D3413" s="73">
        <f t="shared" si="142"/>
        <v>3.3700000000000001E-2</v>
      </c>
    </row>
    <row r="3414" spans="2:4">
      <c r="B3414" s="121">
        <v>44945</v>
      </c>
      <c r="C3414" s="123">
        <v>3.39</v>
      </c>
      <c r="D3414" s="73">
        <f t="shared" si="142"/>
        <v>3.39E-2</v>
      </c>
    </row>
    <row r="3415" spans="2:4">
      <c r="B3415" s="121">
        <v>44946</v>
      </c>
      <c r="C3415" s="123">
        <v>3.48</v>
      </c>
      <c r="D3415" s="73">
        <f t="shared" si="142"/>
        <v>3.4799999999999998E-2</v>
      </c>
    </row>
    <row r="3416" spans="2:4">
      <c r="B3416" s="121">
        <v>44949</v>
      </c>
      <c r="C3416" s="123">
        <v>3.52</v>
      </c>
      <c r="D3416" s="73">
        <f t="shared" si="142"/>
        <v>3.5200000000000002E-2</v>
      </c>
    </row>
    <row r="3417" spans="2:4">
      <c r="B3417" s="121">
        <v>44950</v>
      </c>
      <c r="C3417" s="123">
        <v>3.46</v>
      </c>
      <c r="D3417" s="73">
        <f t="shared" si="142"/>
        <v>3.4599999999999999E-2</v>
      </c>
    </row>
    <row r="3418" spans="2:4">
      <c r="B3418" s="121">
        <v>44951</v>
      </c>
      <c r="C3418" s="123">
        <v>3.46</v>
      </c>
      <c r="D3418" s="73">
        <f t="shared" si="142"/>
        <v>3.4599999999999999E-2</v>
      </c>
    </row>
    <row r="3419" spans="2:4">
      <c r="B3419" s="121">
        <v>44952</v>
      </c>
      <c r="C3419" s="123">
        <v>3.49</v>
      </c>
      <c r="D3419" s="73">
        <f t="shared" si="142"/>
        <v>3.49E-2</v>
      </c>
    </row>
    <row r="3420" spans="2:4">
      <c r="B3420" s="121">
        <v>44953</v>
      </c>
      <c r="C3420" s="123">
        <v>3.52</v>
      </c>
      <c r="D3420" s="73">
        <f t="shared" si="142"/>
        <v>3.5200000000000002E-2</v>
      </c>
    </row>
    <row r="3421" spans="2:4">
      <c r="B3421" s="121">
        <v>44956</v>
      </c>
      <c r="C3421" s="123">
        <v>3.55</v>
      </c>
      <c r="D3421" s="73">
        <f t="shared" si="142"/>
        <v>3.5499999999999997E-2</v>
      </c>
    </row>
    <row r="3422" spans="2:4">
      <c r="B3422" s="121">
        <v>44957</v>
      </c>
      <c r="C3422" s="123">
        <v>3.52</v>
      </c>
      <c r="D3422" s="73">
        <f t="shared" si="142"/>
        <v>3.5200000000000002E-2</v>
      </c>
    </row>
    <row r="3423" spans="2:4">
      <c r="B3423" s="121">
        <v>44958</v>
      </c>
      <c r="C3423" s="123">
        <v>3.39</v>
      </c>
      <c r="D3423" s="73">
        <f t="shared" si="142"/>
        <v>3.39E-2</v>
      </c>
    </row>
    <row r="3424" spans="2:4">
      <c r="B3424" s="121">
        <v>44959</v>
      </c>
      <c r="C3424" s="123">
        <v>3.4</v>
      </c>
      <c r="D3424" s="73">
        <f t="shared" si="142"/>
        <v>3.4000000000000002E-2</v>
      </c>
    </row>
    <row r="3425" spans="2:4">
      <c r="B3425" s="121">
        <v>44960</v>
      </c>
      <c r="C3425" s="123">
        <v>3.53</v>
      </c>
      <c r="D3425" s="73">
        <f t="shared" si="142"/>
        <v>3.5299999999999998E-2</v>
      </c>
    </row>
    <row r="3426" spans="2:4">
      <c r="B3426" s="121">
        <v>44963</v>
      </c>
      <c r="C3426" s="123">
        <v>3.63</v>
      </c>
      <c r="D3426" s="73">
        <f t="shared" si="142"/>
        <v>3.6299999999999999E-2</v>
      </c>
    </row>
    <row r="3427" spans="2:4">
      <c r="B3427" s="121">
        <v>44964</v>
      </c>
      <c r="C3427" s="123">
        <v>3.67</v>
      </c>
      <c r="D3427" s="73">
        <f t="shared" si="142"/>
        <v>3.6699999999999997E-2</v>
      </c>
    </row>
    <row r="3428" spans="2:4">
      <c r="B3428" s="121">
        <v>44965</v>
      </c>
      <c r="C3428" s="123">
        <v>3.63</v>
      </c>
      <c r="D3428" s="73">
        <f t="shared" si="142"/>
        <v>3.6299999999999999E-2</v>
      </c>
    </row>
    <row r="3429" spans="2:4">
      <c r="B3429" s="121">
        <v>44966</v>
      </c>
      <c r="C3429" s="123">
        <v>3.67</v>
      </c>
      <c r="D3429" s="73">
        <f t="shared" si="142"/>
        <v>3.6699999999999997E-2</v>
      </c>
    </row>
    <row r="3430" spans="2:4">
      <c r="B3430" s="121">
        <v>44967</v>
      </c>
      <c r="C3430" s="123">
        <v>3.74</v>
      </c>
      <c r="D3430" s="73">
        <f t="shared" si="142"/>
        <v>3.7400000000000003E-2</v>
      </c>
    </row>
    <row r="3431" spans="2:4">
      <c r="B3431" s="121">
        <v>44970</v>
      </c>
      <c r="C3431" s="123">
        <v>3.72</v>
      </c>
      <c r="D3431" s="73">
        <f t="shared" si="142"/>
        <v>3.7200000000000004E-2</v>
      </c>
    </row>
    <row r="3432" spans="2:4">
      <c r="B3432" s="121">
        <v>44971</v>
      </c>
      <c r="C3432" s="123">
        <v>3.77</v>
      </c>
      <c r="D3432" s="73">
        <f t="shared" si="142"/>
        <v>3.7699999999999997E-2</v>
      </c>
    </row>
    <row r="3433" spans="2:4">
      <c r="B3433" s="121">
        <v>44972</v>
      </c>
      <c r="C3433" s="123">
        <v>3.81</v>
      </c>
      <c r="D3433" s="73">
        <f t="shared" si="142"/>
        <v>3.8100000000000002E-2</v>
      </c>
    </row>
    <row r="3434" spans="2:4">
      <c r="B3434" s="121">
        <v>44973</v>
      </c>
      <c r="C3434" s="123">
        <v>3.86</v>
      </c>
      <c r="D3434" s="73">
        <f t="shared" si="142"/>
        <v>3.8599999999999995E-2</v>
      </c>
    </row>
    <row r="3435" spans="2:4">
      <c r="B3435" s="121">
        <v>44974</v>
      </c>
      <c r="C3435" s="123">
        <v>3.82</v>
      </c>
      <c r="D3435" s="73">
        <f t="shared" ref="D3435:D3498" si="143">IF( LEN( C3435 ) = 0, #N/A, IF( C3435 = "ND", D3434, C3435 / 100 ) )</f>
        <v>3.8199999999999998E-2</v>
      </c>
    </row>
    <row r="3436" spans="2:4">
      <c r="B3436" s="121">
        <v>44977</v>
      </c>
      <c r="C3436" s="123" t="s">
        <v>325</v>
      </c>
      <c r="D3436" s="73">
        <f t="shared" si="143"/>
        <v>3.8199999999999998E-2</v>
      </c>
    </row>
    <row r="3437" spans="2:4">
      <c r="B3437" s="121">
        <v>44978</v>
      </c>
      <c r="C3437" s="123">
        <v>3.95</v>
      </c>
      <c r="D3437" s="73">
        <f t="shared" si="143"/>
        <v>3.95E-2</v>
      </c>
    </row>
    <row r="3438" spans="2:4">
      <c r="B3438" s="121">
        <v>44979</v>
      </c>
      <c r="C3438" s="123">
        <v>3.93</v>
      </c>
      <c r="D3438" s="73">
        <f t="shared" si="143"/>
        <v>3.9300000000000002E-2</v>
      </c>
    </row>
    <row r="3439" spans="2:4">
      <c r="B3439" s="121">
        <v>44980</v>
      </c>
      <c r="C3439" s="123">
        <v>3.88</v>
      </c>
      <c r="D3439" s="73">
        <f t="shared" si="143"/>
        <v>3.8800000000000001E-2</v>
      </c>
    </row>
    <row r="3440" spans="2:4">
      <c r="B3440" s="121">
        <v>44981</v>
      </c>
      <c r="C3440" s="123">
        <v>3.95</v>
      </c>
      <c r="D3440" s="73">
        <f t="shared" si="143"/>
        <v>3.95E-2</v>
      </c>
    </row>
    <row r="3441" spans="2:4">
      <c r="B3441" s="121">
        <v>44984</v>
      </c>
      <c r="C3441" s="123">
        <v>3.92</v>
      </c>
      <c r="D3441" s="73">
        <f t="shared" si="143"/>
        <v>3.9199999999999999E-2</v>
      </c>
    </row>
    <row r="3442" spans="2:4">
      <c r="B3442" s="121">
        <v>44985</v>
      </c>
      <c r="C3442" s="123">
        <v>3.92</v>
      </c>
      <c r="D3442" s="73">
        <f t="shared" si="143"/>
        <v>3.9199999999999999E-2</v>
      </c>
    </row>
    <row r="3443" spans="2:4">
      <c r="B3443" s="121">
        <v>44986</v>
      </c>
      <c r="C3443" s="123">
        <v>4.01</v>
      </c>
      <c r="D3443" s="73">
        <f t="shared" si="143"/>
        <v>4.0099999999999997E-2</v>
      </c>
    </row>
    <row r="3444" spans="2:4">
      <c r="B3444" s="121">
        <v>44987</v>
      </c>
      <c r="C3444" s="123">
        <v>4.08</v>
      </c>
      <c r="D3444" s="73">
        <f t="shared" si="143"/>
        <v>4.0800000000000003E-2</v>
      </c>
    </row>
    <row r="3445" spans="2:4">
      <c r="B3445" s="121">
        <v>44988</v>
      </c>
      <c r="C3445" s="123">
        <v>3.97</v>
      </c>
      <c r="D3445" s="73">
        <f t="shared" si="143"/>
        <v>3.9699999999999999E-2</v>
      </c>
    </row>
    <row r="3446" spans="2:4">
      <c r="B3446" s="121">
        <v>44991</v>
      </c>
      <c r="C3446" s="123">
        <v>3.98</v>
      </c>
      <c r="D3446" s="73">
        <f t="shared" si="143"/>
        <v>3.9800000000000002E-2</v>
      </c>
    </row>
    <row r="3447" spans="2:4">
      <c r="B3447" s="121">
        <v>44992</v>
      </c>
      <c r="C3447" s="123">
        <v>3.97</v>
      </c>
      <c r="D3447" s="73">
        <f t="shared" si="143"/>
        <v>3.9699999999999999E-2</v>
      </c>
    </row>
    <row r="3448" spans="2:4">
      <c r="B3448" s="121">
        <v>44993</v>
      </c>
      <c r="C3448" s="123">
        <v>3.98</v>
      </c>
      <c r="D3448" s="73">
        <f t="shared" si="143"/>
        <v>3.9800000000000002E-2</v>
      </c>
    </row>
    <row r="3449" spans="2:4">
      <c r="B3449" s="121">
        <v>44994</v>
      </c>
      <c r="C3449" s="123">
        <v>3.93</v>
      </c>
      <c r="D3449" s="73">
        <f t="shared" si="143"/>
        <v>3.9300000000000002E-2</v>
      </c>
    </row>
    <row r="3450" spans="2:4">
      <c r="B3450" s="121">
        <v>44995</v>
      </c>
      <c r="C3450" s="123">
        <v>3.7</v>
      </c>
      <c r="D3450" s="73">
        <f t="shared" si="143"/>
        <v>3.7000000000000005E-2</v>
      </c>
    </row>
    <row r="3451" spans="2:4">
      <c r="B3451" s="121">
        <v>44998</v>
      </c>
      <c r="C3451" s="123">
        <v>3.55</v>
      </c>
      <c r="D3451" s="73">
        <f t="shared" si="143"/>
        <v>3.5499999999999997E-2</v>
      </c>
    </row>
    <row r="3452" spans="2:4">
      <c r="B3452" s="121">
        <v>44999</v>
      </c>
      <c r="C3452" s="123">
        <v>3.64</v>
      </c>
      <c r="D3452" s="73">
        <f t="shared" si="143"/>
        <v>3.6400000000000002E-2</v>
      </c>
    </row>
    <row r="3453" spans="2:4">
      <c r="B3453" s="121">
        <v>45000</v>
      </c>
      <c r="C3453" s="123">
        <v>3.51</v>
      </c>
      <c r="D3453" s="73">
        <f t="shared" si="143"/>
        <v>3.5099999999999999E-2</v>
      </c>
    </row>
    <row r="3454" spans="2:4">
      <c r="B3454" s="121">
        <v>45001</v>
      </c>
      <c r="C3454" s="123">
        <v>3.56</v>
      </c>
      <c r="D3454" s="73">
        <f t="shared" si="143"/>
        <v>3.56E-2</v>
      </c>
    </row>
    <row r="3455" spans="2:4">
      <c r="B3455" s="121">
        <v>45002</v>
      </c>
      <c r="C3455" s="123">
        <v>3.39</v>
      </c>
      <c r="D3455" s="73">
        <f t="shared" si="143"/>
        <v>3.39E-2</v>
      </c>
    </row>
    <row r="3456" spans="2:4">
      <c r="B3456" s="121">
        <v>45005</v>
      </c>
      <c r="C3456" s="123">
        <v>3.47</v>
      </c>
      <c r="D3456" s="73">
        <f t="shared" si="143"/>
        <v>3.4700000000000002E-2</v>
      </c>
    </row>
    <row r="3457" spans="2:4">
      <c r="B3457" s="121">
        <v>45006</v>
      </c>
      <c r="C3457" s="123">
        <v>3.59</v>
      </c>
      <c r="D3457" s="73">
        <f t="shared" si="143"/>
        <v>3.5900000000000001E-2</v>
      </c>
    </row>
    <row r="3458" spans="2:4">
      <c r="B3458" s="121">
        <v>45007</v>
      </c>
      <c r="C3458" s="123">
        <v>3.48</v>
      </c>
      <c r="D3458" s="73">
        <f t="shared" si="143"/>
        <v>3.4799999999999998E-2</v>
      </c>
    </row>
    <row r="3459" spans="2:4">
      <c r="B3459" s="121">
        <v>45008</v>
      </c>
      <c r="C3459" s="123">
        <v>3.38</v>
      </c>
      <c r="D3459" s="73">
        <f t="shared" si="143"/>
        <v>3.3799999999999997E-2</v>
      </c>
    </row>
    <row r="3460" spans="2:4">
      <c r="B3460" s="121">
        <v>45009</v>
      </c>
      <c r="C3460" s="123">
        <v>3.38</v>
      </c>
      <c r="D3460" s="73">
        <f t="shared" si="143"/>
        <v>3.3799999999999997E-2</v>
      </c>
    </row>
    <row r="3461" spans="2:4">
      <c r="B3461" s="121">
        <v>45012</v>
      </c>
      <c r="C3461" s="123">
        <v>3.53</v>
      </c>
      <c r="D3461" s="73">
        <f t="shared" si="143"/>
        <v>3.5299999999999998E-2</v>
      </c>
    </row>
    <row r="3462" spans="2:4">
      <c r="B3462" s="121">
        <v>45013</v>
      </c>
      <c r="C3462" s="123">
        <v>3.55</v>
      </c>
      <c r="D3462" s="73">
        <f t="shared" si="143"/>
        <v>3.5499999999999997E-2</v>
      </c>
    </row>
    <row r="3463" spans="2:4">
      <c r="B3463" s="121">
        <v>45014</v>
      </c>
      <c r="C3463" s="123">
        <v>3.57</v>
      </c>
      <c r="D3463" s="73">
        <f t="shared" si="143"/>
        <v>3.5699999999999996E-2</v>
      </c>
    </row>
    <row r="3464" spans="2:4">
      <c r="B3464" s="121">
        <v>45015</v>
      </c>
      <c r="C3464" s="123">
        <v>3.55</v>
      </c>
      <c r="D3464" s="73">
        <f t="shared" si="143"/>
        <v>3.5499999999999997E-2</v>
      </c>
    </row>
    <row r="3465" spans="2:4">
      <c r="B3465" s="121">
        <v>45016</v>
      </c>
      <c r="C3465" s="123">
        <v>3.48</v>
      </c>
      <c r="D3465" s="73">
        <f t="shared" si="143"/>
        <v>3.4799999999999998E-2</v>
      </c>
    </row>
    <row r="3466" spans="2:4">
      <c r="B3466" s="121">
        <v>45019</v>
      </c>
      <c r="C3466" s="123">
        <v>3.43</v>
      </c>
      <c r="D3466" s="73">
        <f t="shared" si="143"/>
        <v>3.4300000000000004E-2</v>
      </c>
    </row>
    <row r="3467" spans="2:4">
      <c r="B3467" s="121">
        <v>45020</v>
      </c>
      <c r="C3467" s="123">
        <v>3.35</v>
      </c>
      <c r="D3467" s="73">
        <f t="shared" si="143"/>
        <v>3.3500000000000002E-2</v>
      </c>
    </row>
    <row r="3468" spans="2:4">
      <c r="B3468" s="121">
        <v>45021</v>
      </c>
      <c r="C3468" s="123">
        <v>3.3</v>
      </c>
      <c r="D3468" s="73">
        <f t="shared" si="143"/>
        <v>3.3000000000000002E-2</v>
      </c>
    </row>
    <row r="3469" spans="2:4">
      <c r="B3469" s="121">
        <v>45022</v>
      </c>
      <c r="C3469" s="123">
        <v>3.3</v>
      </c>
      <c r="D3469" s="73">
        <f t="shared" si="143"/>
        <v>3.3000000000000002E-2</v>
      </c>
    </row>
    <row r="3470" spans="2:4">
      <c r="B3470" s="121">
        <v>45023</v>
      </c>
      <c r="C3470" s="123">
        <v>3.39</v>
      </c>
      <c r="D3470" s="73">
        <f t="shared" si="143"/>
        <v>3.39E-2</v>
      </c>
    </row>
    <row r="3471" spans="2:4">
      <c r="B3471" s="121">
        <v>45026</v>
      </c>
      <c r="C3471" s="123">
        <v>3.41</v>
      </c>
      <c r="D3471" s="73">
        <f t="shared" si="143"/>
        <v>3.4099999999999998E-2</v>
      </c>
    </row>
    <row r="3472" spans="2:4">
      <c r="B3472" s="121">
        <v>45027</v>
      </c>
      <c r="C3472" s="123">
        <v>3.43</v>
      </c>
      <c r="D3472" s="73">
        <f t="shared" si="143"/>
        <v>3.4300000000000004E-2</v>
      </c>
    </row>
    <row r="3473" spans="2:4">
      <c r="B3473" s="121">
        <v>45028</v>
      </c>
      <c r="C3473" s="123">
        <v>3.41</v>
      </c>
      <c r="D3473" s="73">
        <f t="shared" si="143"/>
        <v>3.4099999999999998E-2</v>
      </c>
    </row>
    <row r="3474" spans="2:4">
      <c r="B3474" s="121">
        <v>45029</v>
      </c>
      <c r="C3474" s="123">
        <v>3.45</v>
      </c>
      <c r="D3474" s="73">
        <f t="shared" si="143"/>
        <v>3.4500000000000003E-2</v>
      </c>
    </row>
    <row r="3475" spans="2:4">
      <c r="B3475" s="121">
        <v>45030</v>
      </c>
      <c r="C3475" s="123">
        <v>3.52</v>
      </c>
      <c r="D3475" s="73">
        <f t="shared" si="143"/>
        <v>3.5200000000000002E-2</v>
      </c>
    </row>
    <row r="3476" spans="2:4">
      <c r="B3476" s="121">
        <v>45033</v>
      </c>
      <c r="C3476" s="123">
        <v>3.6</v>
      </c>
      <c r="D3476" s="73">
        <f t="shared" si="143"/>
        <v>3.6000000000000004E-2</v>
      </c>
    </row>
    <row r="3477" spans="2:4">
      <c r="B3477" s="121">
        <v>45034</v>
      </c>
      <c r="C3477" s="123">
        <v>3.58</v>
      </c>
      <c r="D3477" s="73">
        <f t="shared" si="143"/>
        <v>3.5799999999999998E-2</v>
      </c>
    </row>
    <row r="3478" spans="2:4">
      <c r="B3478" s="121">
        <v>45035</v>
      </c>
      <c r="C3478" s="123">
        <v>3.6</v>
      </c>
      <c r="D3478" s="73">
        <f t="shared" si="143"/>
        <v>3.6000000000000004E-2</v>
      </c>
    </row>
    <row r="3479" spans="2:4">
      <c r="B3479" s="121">
        <v>45036</v>
      </c>
      <c r="C3479" s="123">
        <v>3.54</v>
      </c>
      <c r="D3479" s="73">
        <f t="shared" si="143"/>
        <v>3.5400000000000001E-2</v>
      </c>
    </row>
    <row r="3480" spans="2:4">
      <c r="B3480" s="121">
        <v>45037</v>
      </c>
      <c r="C3480" s="123">
        <v>3.57</v>
      </c>
      <c r="D3480" s="73">
        <f t="shared" si="143"/>
        <v>3.5699999999999996E-2</v>
      </c>
    </row>
    <row r="3481" spans="2:4">
      <c r="B3481" s="121">
        <v>45040</v>
      </c>
      <c r="C3481" s="123">
        <v>3.52</v>
      </c>
      <c r="D3481" s="73">
        <f t="shared" si="143"/>
        <v>3.5200000000000002E-2</v>
      </c>
    </row>
    <row r="3482" spans="2:4">
      <c r="B3482" s="121">
        <v>45041</v>
      </c>
      <c r="C3482" s="123">
        <v>3.4</v>
      </c>
      <c r="D3482" s="73">
        <f t="shared" si="143"/>
        <v>3.4000000000000002E-2</v>
      </c>
    </row>
    <row r="3483" spans="2:4">
      <c r="B3483" s="121">
        <v>45042</v>
      </c>
      <c r="C3483" s="123">
        <v>3.43</v>
      </c>
      <c r="D3483" s="73">
        <f t="shared" si="143"/>
        <v>3.4300000000000004E-2</v>
      </c>
    </row>
    <row r="3484" spans="2:4">
      <c r="B3484" s="121">
        <v>45043</v>
      </c>
      <c r="C3484" s="123">
        <v>3.53</v>
      </c>
      <c r="D3484" s="73">
        <f t="shared" si="143"/>
        <v>3.5299999999999998E-2</v>
      </c>
    </row>
    <row r="3485" spans="2:4">
      <c r="B3485" s="121">
        <v>45044</v>
      </c>
      <c r="C3485" s="123">
        <v>3.44</v>
      </c>
      <c r="D3485" s="73">
        <f t="shared" si="143"/>
        <v>3.44E-2</v>
      </c>
    </row>
    <row r="3486" spans="2:4">
      <c r="B3486" s="121">
        <v>45047</v>
      </c>
      <c r="C3486" s="123">
        <v>3.59</v>
      </c>
      <c r="D3486" s="73">
        <f t="shared" si="143"/>
        <v>3.5900000000000001E-2</v>
      </c>
    </row>
    <row r="3487" spans="2:4">
      <c r="B3487" s="121">
        <v>45048</v>
      </c>
      <c r="C3487" s="123">
        <v>3.44</v>
      </c>
      <c r="D3487" s="73">
        <f t="shared" si="143"/>
        <v>3.44E-2</v>
      </c>
    </row>
    <row r="3488" spans="2:4">
      <c r="B3488" s="121">
        <v>45049</v>
      </c>
      <c r="C3488" s="123">
        <v>3.38</v>
      </c>
      <c r="D3488" s="73">
        <f t="shared" si="143"/>
        <v>3.3799999999999997E-2</v>
      </c>
    </row>
    <row r="3489" spans="2:4">
      <c r="B3489" s="121">
        <v>45050</v>
      </c>
      <c r="C3489" s="123">
        <v>3.37</v>
      </c>
      <c r="D3489" s="73">
        <f t="shared" si="143"/>
        <v>3.3700000000000001E-2</v>
      </c>
    </row>
    <row r="3490" spans="2:4">
      <c r="B3490" s="121">
        <v>45051</v>
      </c>
      <c r="C3490" s="123">
        <v>3.44</v>
      </c>
      <c r="D3490" s="73">
        <f t="shared" si="143"/>
        <v>3.44E-2</v>
      </c>
    </row>
    <row r="3491" spans="2:4">
      <c r="B3491" s="121">
        <v>45054</v>
      </c>
      <c r="C3491" s="123">
        <v>3.52</v>
      </c>
      <c r="D3491" s="73">
        <f t="shared" si="143"/>
        <v>3.5200000000000002E-2</v>
      </c>
    </row>
    <row r="3492" spans="2:4">
      <c r="B3492" s="121">
        <v>45055</v>
      </c>
      <c r="C3492" s="123">
        <v>3.53</v>
      </c>
      <c r="D3492" s="73">
        <f t="shared" si="143"/>
        <v>3.5299999999999998E-2</v>
      </c>
    </row>
    <row r="3493" spans="2:4">
      <c r="B3493" s="121">
        <v>45056</v>
      </c>
      <c r="C3493" s="123">
        <v>3.43</v>
      </c>
      <c r="D3493" s="73">
        <f t="shared" si="143"/>
        <v>3.4300000000000004E-2</v>
      </c>
    </row>
    <row r="3494" spans="2:4">
      <c r="B3494" s="121">
        <v>45057</v>
      </c>
      <c r="C3494" s="123">
        <v>3.39</v>
      </c>
      <c r="D3494" s="73">
        <f t="shared" si="143"/>
        <v>3.39E-2</v>
      </c>
    </row>
    <row r="3495" spans="2:4">
      <c r="B3495" s="121">
        <v>45058</v>
      </c>
      <c r="C3495" s="123">
        <v>3.46</v>
      </c>
      <c r="D3495" s="73">
        <f t="shared" si="143"/>
        <v>3.4599999999999999E-2</v>
      </c>
    </row>
    <row r="3496" spans="2:4">
      <c r="B3496" s="121">
        <v>45061</v>
      </c>
      <c r="C3496" s="123">
        <v>3.5</v>
      </c>
      <c r="D3496" s="73">
        <f t="shared" si="143"/>
        <v>3.5000000000000003E-2</v>
      </c>
    </row>
    <row r="3497" spans="2:4">
      <c r="B3497" s="121">
        <v>45062</v>
      </c>
      <c r="C3497" s="123">
        <v>3.54</v>
      </c>
      <c r="D3497" s="73">
        <f t="shared" si="143"/>
        <v>3.5400000000000001E-2</v>
      </c>
    </row>
    <row r="3498" spans="2:4">
      <c r="B3498" s="121">
        <v>45063</v>
      </c>
      <c r="C3498" s="123">
        <v>3.57</v>
      </c>
      <c r="D3498" s="73">
        <f t="shared" si="143"/>
        <v>3.5699999999999996E-2</v>
      </c>
    </row>
    <row r="3499" spans="2:4">
      <c r="B3499" s="121">
        <v>45064</v>
      </c>
      <c r="C3499" s="123">
        <v>3.65</v>
      </c>
      <c r="D3499" s="73">
        <f t="shared" ref="D3499:D3529" si="144">IF( LEN( C3499 ) = 0, #N/A, IF( C3499 = "ND", D3498, C3499 / 100 ) )</f>
        <v>3.6499999999999998E-2</v>
      </c>
    </row>
    <row r="3500" spans="2:4">
      <c r="B3500" s="121">
        <v>45065</v>
      </c>
      <c r="C3500" s="123">
        <v>3.7</v>
      </c>
      <c r="D3500" s="73">
        <f t="shared" si="144"/>
        <v>3.7000000000000005E-2</v>
      </c>
    </row>
    <row r="3501" spans="2:4">
      <c r="B3501" s="121">
        <v>45068</v>
      </c>
      <c r="C3501" s="123">
        <v>3.72</v>
      </c>
      <c r="D3501" s="73">
        <f t="shared" si="144"/>
        <v>3.7200000000000004E-2</v>
      </c>
    </row>
    <row r="3502" spans="2:4">
      <c r="B3502" s="121">
        <v>45069</v>
      </c>
      <c r="C3502" s="123">
        <v>3.7</v>
      </c>
      <c r="D3502" s="73">
        <f t="shared" si="144"/>
        <v>3.7000000000000005E-2</v>
      </c>
    </row>
    <row r="3503" spans="2:4">
      <c r="B3503" s="121">
        <v>45070</v>
      </c>
      <c r="C3503" s="123">
        <v>3.73</v>
      </c>
      <c r="D3503" s="73">
        <f t="shared" si="144"/>
        <v>3.73E-2</v>
      </c>
    </row>
    <row r="3504" spans="2:4">
      <c r="B3504" s="121">
        <v>45071</v>
      </c>
      <c r="C3504" s="123">
        <v>3.83</v>
      </c>
      <c r="D3504" s="73">
        <f t="shared" si="144"/>
        <v>3.8300000000000001E-2</v>
      </c>
    </row>
    <row r="3505" spans="2:4">
      <c r="B3505" s="121">
        <v>45072</v>
      </c>
      <c r="C3505" s="123">
        <v>3.8</v>
      </c>
      <c r="D3505" s="73">
        <f t="shared" si="144"/>
        <v>3.7999999999999999E-2</v>
      </c>
    </row>
    <row r="3506" spans="2:4">
      <c r="B3506" s="121">
        <v>45075</v>
      </c>
      <c r="C3506" s="123" t="s">
        <v>325</v>
      </c>
      <c r="D3506" s="73">
        <f t="shared" si="144"/>
        <v>3.7999999999999999E-2</v>
      </c>
    </row>
    <row r="3507" spans="2:4">
      <c r="B3507" s="121">
        <v>45076</v>
      </c>
      <c r="C3507" s="123">
        <v>3.69</v>
      </c>
      <c r="D3507" s="73">
        <f t="shared" si="144"/>
        <v>3.6900000000000002E-2</v>
      </c>
    </row>
    <row r="3508" spans="2:4">
      <c r="B3508" s="121">
        <v>45077</v>
      </c>
      <c r="C3508" s="123">
        <v>3.64</v>
      </c>
      <c r="D3508" s="73">
        <f t="shared" si="144"/>
        <v>3.6400000000000002E-2</v>
      </c>
    </row>
    <row r="3509" spans="2:4">
      <c r="B3509" s="121">
        <v>45078</v>
      </c>
      <c r="C3509" s="123">
        <v>3.61</v>
      </c>
      <c r="D3509" s="73">
        <f t="shared" si="144"/>
        <v>3.61E-2</v>
      </c>
    </row>
    <row r="3510" spans="2:4">
      <c r="B3510" s="121">
        <v>45079</v>
      </c>
      <c r="C3510" s="123">
        <v>3.69</v>
      </c>
      <c r="D3510" s="73">
        <f t="shared" si="144"/>
        <v>3.6900000000000002E-2</v>
      </c>
    </row>
    <row r="3511" spans="2:4">
      <c r="B3511" s="121">
        <v>45082</v>
      </c>
      <c r="C3511" s="123">
        <v>3.69</v>
      </c>
      <c r="D3511" s="73">
        <f t="shared" si="144"/>
        <v>3.6900000000000002E-2</v>
      </c>
    </row>
    <row r="3512" spans="2:4">
      <c r="B3512" s="121">
        <v>45083</v>
      </c>
      <c r="C3512" s="123">
        <v>3.7</v>
      </c>
      <c r="D3512" s="73">
        <f t="shared" si="144"/>
        <v>3.7000000000000005E-2</v>
      </c>
    </row>
    <row r="3513" spans="2:4">
      <c r="B3513" s="121">
        <v>45084</v>
      </c>
      <c r="C3513" s="123">
        <v>3.79</v>
      </c>
      <c r="D3513" s="73">
        <f t="shared" si="144"/>
        <v>3.7900000000000003E-2</v>
      </c>
    </row>
    <row r="3514" spans="2:4">
      <c r="B3514" s="121">
        <v>45085</v>
      </c>
      <c r="C3514" s="123">
        <v>3.73</v>
      </c>
      <c r="D3514" s="73">
        <f t="shared" si="144"/>
        <v>3.73E-2</v>
      </c>
    </row>
    <row r="3515" spans="2:4">
      <c r="B3515" s="121">
        <v>45086</v>
      </c>
      <c r="C3515" s="123">
        <v>3.75</v>
      </c>
      <c r="D3515" s="73">
        <f t="shared" si="144"/>
        <v>3.7499999999999999E-2</v>
      </c>
    </row>
    <row r="3516" spans="2:4">
      <c r="B3516" s="121">
        <v>45089</v>
      </c>
      <c r="C3516" s="123">
        <v>3.73</v>
      </c>
      <c r="D3516" s="73">
        <f t="shared" si="144"/>
        <v>3.73E-2</v>
      </c>
    </row>
    <row r="3517" spans="2:4">
      <c r="B3517" s="121">
        <v>45090</v>
      </c>
      <c r="C3517" s="123">
        <v>3.84</v>
      </c>
      <c r="D3517" s="73">
        <f t="shared" si="144"/>
        <v>3.8399999999999997E-2</v>
      </c>
    </row>
    <row r="3518" spans="2:4">
      <c r="B3518" s="121">
        <v>45091</v>
      </c>
      <c r="C3518" s="123">
        <v>3.83</v>
      </c>
      <c r="D3518" s="73">
        <f t="shared" si="144"/>
        <v>3.8300000000000001E-2</v>
      </c>
    </row>
    <row r="3519" spans="2:4">
      <c r="B3519" s="121">
        <v>45092</v>
      </c>
      <c r="C3519" s="123">
        <v>3.72</v>
      </c>
      <c r="D3519" s="73">
        <f t="shared" si="144"/>
        <v>3.7200000000000004E-2</v>
      </c>
    </row>
    <row r="3520" spans="2:4">
      <c r="B3520" s="121">
        <v>45093</v>
      </c>
      <c r="C3520" s="123">
        <v>3.77</v>
      </c>
      <c r="D3520" s="73">
        <f t="shared" si="144"/>
        <v>3.7699999999999997E-2</v>
      </c>
    </row>
    <row r="3521" spans="2:4">
      <c r="B3521" s="121">
        <v>45096</v>
      </c>
      <c r="C3521" s="123" t="s">
        <v>325</v>
      </c>
      <c r="D3521" s="73">
        <f t="shared" si="144"/>
        <v>3.7699999999999997E-2</v>
      </c>
    </row>
    <row r="3522" spans="2:4">
      <c r="B3522" s="121">
        <v>45097</v>
      </c>
      <c r="C3522" s="123">
        <v>3.74</v>
      </c>
      <c r="D3522" s="73">
        <f t="shared" si="144"/>
        <v>3.7400000000000003E-2</v>
      </c>
    </row>
    <row r="3523" spans="2:4">
      <c r="B3523" s="121">
        <v>45098</v>
      </c>
      <c r="C3523" s="123">
        <v>3.72</v>
      </c>
      <c r="D3523" s="73">
        <f t="shared" si="144"/>
        <v>3.7200000000000004E-2</v>
      </c>
    </row>
    <row r="3524" spans="2:4">
      <c r="B3524" s="121">
        <v>45099</v>
      </c>
      <c r="C3524" s="123">
        <v>3.8</v>
      </c>
      <c r="D3524" s="73">
        <f t="shared" si="144"/>
        <v>3.7999999999999999E-2</v>
      </c>
    </row>
    <row r="3525" spans="2:4">
      <c r="B3525" s="121">
        <v>45100</v>
      </c>
      <c r="C3525" s="123">
        <v>3.74</v>
      </c>
      <c r="D3525" s="73">
        <f t="shared" si="144"/>
        <v>3.7400000000000003E-2</v>
      </c>
    </row>
    <row r="3526" spans="2:4">
      <c r="B3526" s="121">
        <v>45103</v>
      </c>
      <c r="C3526" s="123">
        <v>3.72</v>
      </c>
      <c r="D3526" s="73">
        <f t="shared" si="144"/>
        <v>3.7200000000000004E-2</v>
      </c>
    </row>
    <row r="3527" spans="2:4">
      <c r="B3527" s="121">
        <v>45104</v>
      </c>
      <c r="C3527" s="123">
        <v>3.77</v>
      </c>
      <c r="D3527" s="73">
        <f t="shared" si="144"/>
        <v>3.7699999999999997E-2</v>
      </c>
    </row>
    <row r="3528" spans="2:4">
      <c r="B3528" s="121">
        <v>45105</v>
      </c>
      <c r="C3528" s="123">
        <v>3.71</v>
      </c>
      <c r="D3528" s="73">
        <f t="shared" si="144"/>
        <v>3.7100000000000001E-2</v>
      </c>
    </row>
    <row r="3529" spans="2:4">
      <c r="B3529" s="121">
        <v>45106</v>
      </c>
      <c r="C3529" s="123">
        <v>3.85</v>
      </c>
      <c r="D3529" s="73">
        <f t="shared" si="144"/>
        <v>3.85E-2</v>
      </c>
    </row>
    <row r="3530" spans="2:4">
      <c r="B3530" s="121">
        <v>45107</v>
      </c>
      <c r="C3530" s="123">
        <v>3.81</v>
      </c>
      <c r="D3530" s="73">
        <f>IF(LEN(C3530)=0,#N/A,IF(C3530="ND",D3529,C3530/100))</f>
        <v>3.8100000000000002E-2</v>
      </c>
    </row>
    <row r="3531" spans="2:4">
      <c r="B3531" s="121">
        <v>45110</v>
      </c>
      <c r="C3531" s="123">
        <v>3.86</v>
      </c>
      <c r="D3531" s="73">
        <f t="shared" ref="D3531:D3594" si="145">IF(LEN(C3531)=0,#N/A,IF(C3531="ND",D3530,C3531/100))</f>
        <v>3.8599999999999995E-2</v>
      </c>
    </row>
    <row r="3532" spans="2:4">
      <c r="B3532" s="121">
        <v>45111</v>
      </c>
      <c r="C3532" s="123" t="s">
        <v>325</v>
      </c>
      <c r="D3532" s="73">
        <f t="shared" si="145"/>
        <v>3.8599999999999995E-2</v>
      </c>
    </row>
    <row r="3533" spans="2:4">
      <c r="B3533" s="121">
        <v>45112</v>
      </c>
      <c r="C3533" s="123">
        <v>3.95</v>
      </c>
      <c r="D3533" s="73">
        <f t="shared" si="145"/>
        <v>3.95E-2</v>
      </c>
    </row>
    <row r="3534" spans="2:4">
      <c r="B3534" s="121">
        <v>45113</v>
      </c>
      <c r="C3534" s="123">
        <v>4.05</v>
      </c>
      <c r="D3534" s="73">
        <f t="shared" si="145"/>
        <v>4.0500000000000001E-2</v>
      </c>
    </row>
    <row r="3535" spans="2:4">
      <c r="B3535" s="121">
        <v>45114</v>
      </c>
      <c r="C3535" s="123">
        <v>4.0599999999999996</v>
      </c>
      <c r="D3535" s="73">
        <f t="shared" si="145"/>
        <v>4.0599999999999997E-2</v>
      </c>
    </row>
    <row r="3536" spans="2:4">
      <c r="B3536" s="121">
        <v>45117</v>
      </c>
      <c r="C3536" s="123">
        <v>4.01</v>
      </c>
      <c r="D3536" s="73">
        <f t="shared" si="145"/>
        <v>4.0099999999999997E-2</v>
      </c>
    </row>
    <row r="3537" spans="2:4">
      <c r="B3537" s="121">
        <v>45118</v>
      </c>
      <c r="C3537" s="123">
        <v>3.99</v>
      </c>
      <c r="D3537" s="73">
        <f t="shared" si="145"/>
        <v>3.9900000000000005E-2</v>
      </c>
    </row>
    <row r="3538" spans="2:4">
      <c r="B3538" s="121">
        <v>45119</v>
      </c>
      <c r="C3538" s="123">
        <v>3.86</v>
      </c>
      <c r="D3538" s="73">
        <f t="shared" si="145"/>
        <v>3.8599999999999995E-2</v>
      </c>
    </row>
    <row r="3539" spans="2:4">
      <c r="B3539" s="121">
        <v>45120</v>
      </c>
      <c r="C3539" s="123">
        <v>3.76</v>
      </c>
      <c r="D3539" s="73">
        <f t="shared" si="145"/>
        <v>3.7599999999999995E-2</v>
      </c>
    </row>
    <row r="3540" spans="2:4">
      <c r="B3540" s="121">
        <v>45121</v>
      </c>
      <c r="C3540" s="123">
        <v>3.83</v>
      </c>
      <c r="D3540" s="73">
        <f t="shared" si="145"/>
        <v>3.8300000000000001E-2</v>
      </c>
    </row>
    <row r="3541" spans="2:4">
      <c r="B3541" s="121">
        <v>45124</v>
      </c>
      <c r="C3541" s="123">
        <v>3.81</v>
      </c>
      <c r="D3541" s="73">
        <f t="shared" si="145"/>
        <v>3.8100000000000002E-2</v>
      </c>
    </row>
    <row r="3542" spans="2:4">
      <c r="B3542" s="121">
        <v>45125</v>
      </c>
      <c r="C3542" s="123">
        <v>3.8</v>
      </c>
      <c r="D3542" s="73">
        <f t="shared" si="145"/>
        <v>3.7999999999999999E-2</v>
      </c>
    </row>
    <row r="3543" spans="2:4">
      <c r="B3543" s="121">
        <v>45126</v>
      </c>
      <c r="C3543" s="123">
        <v>3.75</v>
      </c>
      <c r="D3543" s="73">
        <f t="shared" si="145"/>
        <v>3.7499999999999999E-2</v>
      </c>
    </row>
    <row r="3544" spans="2:4">
      <c r="B3544" s="121">
        <v>45127</v>
      </c>
      <c r="C3544" s="123">
        <v>3.85</v>
      </c>
      <c r="D3544" s="73">
        <f t="shared" si="145"/>
        <v>3.85E-2</v>
      </c>
    </row>
    <row r="3545" spans="2:4">
      <c r="B3545" s="121">
        <v>45128</v>
      </c>
      <c r="C3545" s="123">
        <v>3.84</v>
      </c>
      <c r="D3545" s="73">
        <f t="shared" si="145"/>
        <v>3.8399999999999997E-2</v>
      </c>
    </row>
    <row r="3546" spans="2:4">
      <c r="B3546" s="121">
        <v>45131</v>
      </c>
      <c r="C3546" s="123">
        <v>3.86</v>
      </c>
      <c r="D3546" s="73">
        <f t="shared" si="145"/>
        <v>3.8599999999999995E-2</v>
      </c>
    </row>
    <row r="3547" spans="2:4">
      <c r="B3547" s="121">
        <v>45132</v>
      </c>
      <c r="C3547" s="123">
        <v>3.91</v>
      </c>
      <c r="D3547" s="73">
        <f t="shared" si="145"/>
        <v>3.9100000000000003E-2</v>
      </c>
    </row>
    <row r="3548" spans="2:4">
      <c r="B3548" s="121">
        <v>45133</v>
      </c>
      <c r="C3548" s="123">
        <v>3.86</v>
      </c>
      <c r="D3548" s="73">
        <f t="shared" si="145"/>
        <v>3.8599999999999995E-2</v>
      </c>
    </row>
    <row r="3549" spans="2:4">
      <c r="B3549" s="121">
        <v>45134</v>
      </c>
      <c r="C3549" s="123">
        <v>4.01</v>
      </c>
      <c r="D3549" s="73">
        <f t="shared" si="145"/>
        <v>4.0099999999999997E-2</v>
      </c>
    </row>
    <row r="3550" spans="2:4">
      <c r="B3550" s="121">
        <v>45135</v>
      </c>
      <c r="C3550" s="123">
        <v>3.96</v>
      </c>
      <c r="D3550" s="73">
        <f t="shared" si="145"/>
        <v>3.9599999999999996E-2</v>
      </c>
    </row>
    <row r="3551" spans="2:4">
      <c r="B3551" s="121">
        <v>45138</v>
      </c>
      <c r="C3551" s="123">
        <v>3.97</v>
      </c>
      <c r="D3551" s="73">
        <f t="shared" si="145"/>
        <v>3.9699999999999999E-2</v>
      </c>
    </row>
    <row r="3552" spans="2:4">
      <c r="B3552" s="121">
        <v>45139</v>
      </c>
      <c r="C3552" s="123">
        <v>4.05</v>
      </c>
      <c r="D3552" s="73">
        <f t="shared" si="145"/>
        <v>4.0500000000000001E-2</v>
      </c>
    </row>
    <row r="3553" spans="2:4">
      <c r="B3553" s="121">
        <v>45140</v>
      </c>
      <c r="C3553" s="123">
        <v>4.08</v>
      </c>
      <c r="D3553" s="73">
        <f t="shared" si="145"/>
        <v>4.0800000000000003E-2</v>
      </c>
    </row>
    <row r="3554" spans="2:4">
      <c r="B3554" s="121">
        <v>45141</v>
      </c>
      <c r="C3554" s="123">
        <v>4.2</v>
      </c>
      <c r="D3554" s="73">
        <f t="shared" si="145"/>
        <v>4.2000000000000003E-2</v>
      </c>
    </row>
    <row r="3555" spans="2:4">
      <c r="B3555" s="121">
        <v>45142</v>
      </c>
      <c r="C3555" s="123">
        <v>4.05</v>
      </c>
      <c r="D3555" s="73">
        <f t="shared" si="145"/>
        <v>4.0500000000000001E-2</v>
      </c>
    </row>
    <row r="3556" spans="2:4">
      <c r="B3556" s="121">
        <v>45145</v>
      </c>
      <c r="C3556" s="123">
        <v>4.09</v>
      </c>
      <c r="D3556" s="73">
        <f t="shared" si="145"/>
        <v>4.0899999999999999E-2</v>
      </c>
    </row>
    <row r="3557" spans="2:4">
      <c r="B3557" s="121">
        <v>45146</v>
      </c>
      <c r="C3557" s="123">
        <v>4.0199999999999996</v>
      </c>
      <c r="D3557" s="73">
        <f t="shared" si="145"/>
        <v>4.0199999999999993E-2</v>
      </c>
    </row>
    <row r="3558" spans="2:4">
      <c r="B3558" s="121">
        <v>45147</v>
      </c>
      <c r="C3558" s="123">
        <v>4</v>
      </c>
      <c r="D3558" s="73">
        <f t="shared" si="145"/>
        <v>0.04</v>
      </c>
    </row>
    <row r="3559" spans="2:4">
      <c r="B3559" s="121">
        <v>45148</v>
      </c>
      <c r="C3559" s="123">
        <v>4.09</v>
      </c>
      <c r="D3559" s="73">
        <f t="shared" si="145"/>
        <v>4.0899999999999999E-2</v>
      </c>
    </row>
    <row r="3560" spans="2:4">
      <c r="B3560" s="121">
        <v>45149</v>
      </c>
      <c r="C3560" s="123">
        <v>4.16</v>
      </c>
      <c r="D3560" s="73">
        <f t="shared" si="145"/>
        <v>4.1599999999999998E-2</v>
      </c>
    </row>
    <row r="3561" spans="2:4">
      <c r="B3561" s="121">
        <v>45152</v>
      </c>
      <c r="C3561" s="123">
        <v>4.1900000000000004</v>
      </c>
      <c r="D3561" s="73">
        <f t="shared" si="145"/>
        <v>4.1900000000000007E-2</v>
      </c>
    </row>
    <row r="3562" spans="2:4">
      <c r="B3562" s="121">
        <v>45153</v>
      </c>
      <c r="C3562" s="123">
        <v>4.21</v>
      </c>
      <c r="D3562" s="73">
        <f t="shared" si="145"/>
        <v>4.2099999999999999E-2</v>
      </c>
    </row>
    <row r="3563" spans="2:4">
      <c r="B3563" s="121">
        <v>45154</v>
      </c>
      <c r="C3563" s="123">
        <v>4.28</v>
      </c>
      <c r="D3563" s="73">
        <f t="shared" si="145"/>
        <v>4.2800000000000005E-2</v>
      </c>
    </row>
    <row r="3564" spans="2:4">
      <c r="B3564" s="121">
        <v>45155</v>
      </c>
      <c r="C3564" s="123">
        <v>4.3</v>
      </c>
      <c r="D3564" s="73">
        <f t="shared" si="145"/>
        <v>4.2999999999999997E-2</v>
      </c>
    </row>
    <row r="3565" spans="2:4">
      <c r="B3565" s="121">
        <v>45156</v>
      </c>
      <c r="C3565" s="123">
        <v>4.26</v>
      </c>
      <c r="D3565" s="73">
        <f t="shared" si="145"/>
        <v>4.2599999999999999E-2</v>
      </c>
    </row>
    <row r="3566" spans="2:4">
      <c r="B3566" s="121">
        <v>45159</v>
      </c>
      <c r="C3566" s="123">
        <v>4.34</v>
      </c>
      <c r="D3566" s="73">
        <f t="shared" si="145"/>
        <v>4.3400000000000001E-2</v>
      </c>
    </row>
    <row r="3567" spans="2:4">
      <c r="B3567" s="121">
        <v>45160</v>
      </c>
      <c r="C3567" s="123">
        <v>4.34</v>
      </c>
      <c r="D3567" s="73">
        <f t="shared" si="145"/>
        <v>4.3400000000000001E-2</v>
      </c>
    </row>
    <row r="3568" spans="2:4">
      <c r="B3568" s="121">
        <v>45161</v>
      </c>
      <c r="C3568" s="123">
        <v>4.1900000000000004</v>
      </c>
      <c r="D3568" s="73">
        <f t="shared" si="145"/>
        <v>4.1900000000000007E-2</v>
      </c>
    </row>
    <row r="3569" spans="2:4">
      <c r="B3569" s="121">
        <v>45162</v>
      </c>
      <c r="C3569" s="123">
        <v>4.2300000000000004</v>
      </c>
      <c r="D3569" s="73">
        <f t="shared" si="145"/>
        <v>4.2300000000000004E-2</v>
      </c>
    </row>
    <row r="3570" spans="2:4">
      <c r="B3570" s="121">
        <v>45163</v>
      </c>
      <c r="C3570" s="123">
        <v>4.25</v>
      </c>
      <c r="D3570" s="73">
        <f t="shared" si="145"/>
        <v>4.2500000000000003E-2</v>
      </c>
    </row>
    <row r="3571" spans="2:4">
      <c r="B3571" s="121">
        <v>45166</v>
      </c>
      <c r="C3571" s="123">
        <v>4.2</v>
      </c>
      <c r="D3571" s="73">
        <f t="shared" si="145"/>
        <v>4.2000000000000003E-2</v>
      </c>
    </row>
    <row r="3572" spans="2:4">
      <c r="B3572" s="121">
        <v>45167</v>
      </c>
      <c r="C3572" s="123">
        <v>4.12</v>
      </c>
      <c r="D3572" s="73">
        <f t="shared" si="145"/>
        <v>4.1200000000000001E-2</v>
      </c>
    </row>
    <row r="3573" spans="2:4">
      <c r="B3573" s="121">
        <v>45168</v>
      </c>
      <c r="C3573" s="123">
        <v>4.12</v>
      </c>
      <c r="D3573" s="73">
        <f t="shared" si="145"/>
        <v>4.1200000000000001E-2</v>
      </c>
    </row>
    <row r="3574" spans="2:4">
      <c r="B3574" s="121">
        <v>45169</v>
      </c>
      <c r="C3574" s="123">
        <v>4.09</v>
      </c>
      <c r="D3574" s="73">
        <f t="shared" si="145"/>
        <v>4.0899999999999999E-2</v>
      </c>
    </row>
    <row r="3575" spans="2:4">
      <c r="B3575" s="121">
        <v>45170</v>
      </c>
      <c r="C3575" s="123">
        <v>4.18</v>
      </c>
      <c r="D3575" s="73">
        <f t="shared" si="145"/>
        <v>4.1799999999999997E-2</v>
      </c>
    </row>
    <row r="3576" spans="2:4">
      <c r="B3576" s="121">
        <v>45173</v>
      </c>
      <c r="C3576" s="123" t="s">
        <v>325</v>
      </c>
      <c r="D3576" s="73">
        <f t="shared" si="145"/>
        <v>4.1799999999999997E-2</v>
      </c>
    </row>
    <row r="3577" spans="2:4">
      <c r="B3577" s="121">
        <v>45174</v>
      </c>
      <c r="C3577" s="123">
        <v>4.2699999999999996</v>
      </c>
      <c r="D3577" s="73">
        <f t="shared" si="145"/>
        <v>4.2699999999999995E-2</v>
      </c>
    </row>
    <row r="3578" spans="2:4">
      <c r="B3578" s="121">
        <v>45175</v>
      </c>
      <c r="C3578" s="123">
        <v>4.3</v>
      </c>
      <c r="D3578" s="73">
        <f t="shared" si="145"/>
        <v>4.2999999999999997E-2</v>
      </c>
    </row>
    <row r="3579" spans="2:4">
      <c r="B3579" s="121">
        <v>45176</v>
      </c>
      <c r="C3579" s="123">
        <v>4.2699999999999996</v>
      </c>
      <c r="D3579" s="73">
        <f t="shared" si="145"/>
        <v>4.2699999999999995E-2</v>
      </c>
    </row>
    <row r="3580" spans="2:4">
      <c r="B3580" s="121">
        <v>45177</v>
      </c>
      <c r="C3580" s="123">
        <v>4.26</v>
      </c>
      <c r="D3580" s="73">
        <f t="shared" si="145"/>
        <v>4.2599999999999999E-2</v>
      </c>
    </row>
    <row r="3581" spans="2:4">
      <c r="B3581" s="121">
        <v>45180</v>
      </c>
      <c r="C3581" s="123">
        <v>4.29</v>
      </c>
      <c r="D3581" s="73">
        <f t="shared" si="145"/>
        <v>4.2900000000000001E-2</v>
      </c>
    </row>
    <row r="3582" spans="2:4">
      <c r="B3582" s="121">
        <v>45181</v>
      </c>
      <c r="C3582" s="123">
        <v>4.2699999999999996</v>
      </c>
      <c r="D3582" s="73">
        <f t="shared" si="145"/>
        <v>4.2699999999999995E-2</v>
      </c>
    </row>
    <row r="3583" spans="2:4">
      <c r="B3583" s="121">
        <v>45182</v>
      </c>
      <c r="C3583" s="123">
        <v>4.25</v>
      </c>
      <c r="D3583" s="73">
        <f t="shared" si="145"/>
        <v>4.2500000000000003E-2</v>
      </c>
    </row>
    <row r="3584" spans="2:4">
      <c r="B3584" s="121">
        <v>45183</v>
      </c>
      <c r="C3584" s="123">
        <v>4.29</v>
      </c>
      <c r="D3584" s="73">
        <f t="shared" si="145"/>
        <v>4.2900000000000001E-2</v>
      </c>
    </row>
    <row r="3585" spans="2:4">
      <c r="B3585" s="121">
        <v>45184</v>
      </c>
      <c r="C3585" s="123">
        <v>4.33</v>
      </c>
      <c r="D3585" s="73">
        <f t="shared" si="145"/>
        <v>4.3299999999999998E-2</v>
      </c>
    </row>
    <row r="3586" spans="2:4">
      <c r="B3586" s="121">
        <v>45187</v>
      </c>
      <c r="C3586" s="123">
        <v>4.32</v>
      </c>
      <c r="D3586" s="73">
        <f t="shared" si="145"/>
        <v>4.3200000000000002E-2</v>
      </c>
    </row>
    <row r="3587" spans="2:4">
      <c r="B3587" s="121">
        <v>45188</v>
      </c>
      <c r="C3587" s="123">
        <v>4.37</v>
      </c>
      <c r="D3587" s="73">
        <f t="shared" si="145"/>
        <v>4.3700000000000003E-2</v>
      </c>
    </row>
    <row r="3588" spans="2:4">
      <c r="B3588" s="121">
        <v>45189</v>
      </c>
      <c r="C3588" s="123">
        <v>4.3499999999999996</v>
      </c>
      <c r="D3588" s="73">
        <f t="shared" si="145"/>
        <v>4.3499999999999997E-2</v>
      </c>
    </row>
    <row r="3589" spans="2:4">
      <c r="B3589" s="121">
        <v>45190</v>
      </c>
      <c r="C3589" s="123">
        <v>4.49</v>
      </c>
      <c r="D3589" s="73">
        <f t="shared" si="145"/>
        <v>4.4900000000000002E-2</v>
      </c>
    </row>
    <row r="3590" spans="2:4">
      <c r="B3590" s="121">
        <v>45191</v>
      </c>
      <c r="C3590" s="123">
        <v>4.4400000000000004</v>
      </c>
      <c r="D3590" s="73">
        <f t="shared" si="145"/>
        <v>4.4400000000000002E-2</v>
      </c>
    </row>
    <row r="3591" spans="2:4">
      <c r="B3591" s="121">
        <v>45194</v>
      </c>
      <c r="C3591" s="123">
        <v>4.55</v>
      </c>
      <c r="D3591" s="73">
        <f t="shared" si="145"/>
        <v>4.5499999999999999E-2</v>
      </c>
    </row>
    <row r="3592" spans="2:4">
      <c r="B3592" s="121">
        <v>45195</v>
      </c>
      <c r="C3592" s="123">
        <v>4.5599999999999996</v>
      </c>
      <c r="D3592" s="73">
        <f t="shared" si="145"/>
        <v>4.5599999999999995E-2</v>
      </c>
    </row>
    <row r="3593" spans="2:4">
      <c r="B3593" s="121">
        <v>45196</v>
      </c>
      <c r="C3593" s="123">
        <v>4.6100000000000003</v>
      </c>
      <c r="D3593" s="73">
        <f t="shared" si="145"/>
        <v>4.6100000000000002E-2</v>
      </c>
    </row>
    <row r="3594" spans="2:4">
      <c r="B3594" s="121">
        <v>45197</v>
      </c>
      <c r="C3594" s="123">
        <v>4.59</v>
      </c>
      <c r="D3594" s="73">
        <f t="shared" si="145"/>
        <v>4.5899999999999996E-2</v>
      </c>
    </row>
    <row r="3595" spans="2:4">
      <c r="B3595" s="121">
        <v>45198</v>
      </c>
      <c r="C3595" s="123">
        <v>4.59</v>
      </c>
      <c r="D3595" s="73">
        <f t="shared" ref="D3595:D3658" si="146">IF(LEN(C3595)=0,#N/A,IF(C3595="ND",D3594,C3595/100))</f>
        <v>4.5899999999999996E-2</v>
      </c>
    </row>
    <row r="3596" spans="2:4">
      <c r="B3596" s="121">
        <v>45201</v>
      </c>
      <c r="C3596" s="123">
        <v>4.6900000000000004</v>
      </c>
      <c r="D3596" s="73">
        <f t="shared" si="146"/>
        <v>4.6900000000000004E-2</v>
      </c>
    </row>
    <row r="3597" spans="2:4">
      <c r="B3597" s="121">
        <v>45202</v>
      </c>
      <c r="C3597" s="123">
        <v>4.8099999999999996</v>
      </c>
      <c r="D3597" s="73">
        <f t="shared" si="146"/>
        <v>4.8099999999999997E-2</v>
      </c>
    </row>
    <row r="3598" spans="2:4">
      <c r="B3598" s="121">
        <v>45203</v>
      </c>
      <c r="C3598" s="123">
        <v>4.7300000000000004</v>
      </c>
      <c r="D3598" s="73">
        <f t="shared" si="146"/>
        <v>4.7300000000000002E-2</v>
      </c>
    </row>
    <row r="3599" spans="2:4">
      <c r="B3599" s="121">
        <v>45204</v>
      </c>
      <c r="C3599" s="123">
        <v>4.72</v>
      </c>
      <c r="D3599" s="73">
        <f t="shared" si="146"/>
        <v>4.7199999999999999E-2</v>
      </c>
    </row>
    <row r="3600" spans="2:4">
      <c r="B3600" s="121">
        <v>45205</v>
      </c>
      <c r="C3600" s="123">
        <v>4.78</v>
      </c>
      <c r="D3600" s="73">
        <f t="shared" si="146"/>
        <v>4.7800000000000002E-2</v>
      </c>
    </row>
    <row r="3601" spans="2:4">
      <c r="B3601" s="121">
        <v>45208</v>
      </c>
      <c r="C3601" s="123" t="s">
        <v>325</v>
      </c>
      <c r="D3601" s="73">
        <f t="shared" si="146"/>
        <v>4.7800000000000002E-2</v>
      </c>
    </row>
    <row r="3602" spans="2:4">
      <c r="B3602" s="121">
        <v>45209</v>
      </c>
      <c r="C3602" s="123">
        <v>4.66</v>
      </c>
      <c r="D3602" s="73">
        <f t="shared" si="146"/>
        <v>4.6600000000000003E-2</v>
      </c>
    </row>
    <row r="3603" spans="2:4">
      <c r="B3603" s="121">
        <v>45210</v>
      </c>
      <c r="C3603" s="123">
        <v>4.58</v>
      </c>
      <c r="D3603" s="73">
        <f t="shared" si="146"/>
        <v>4.58E-2</v>
      </c>
    </row>
    <row r="3604" spans="2:4">
      <c r="B3604" s="121">
        <v>45211</v>
      </c>
      <c r="C3604" s="123">
        <v>4.7</v>
      </c>
      <c r="D3604" s="73">
        <f t="shared" si="146"/>
        <v>4.7E-2</v>
      </c>
    </row>
    <row r="3605" spans="2:4">
      <c r="B3605" s="121">
        <v>45212</v>
      </c>
      <c r="C3605" s="123">
        <v>4.63</v>
      </c>
      <c r="D3605" s="73">
        <f t="shared" si="146"/>
        <v>4.6300000000000001E-2</v>
      </c>
    </row>
    <row r="3606" spans="2:4">
      <c r="B3606" s="121">
        <v>45215</v>
      </c>
      <c r="C3606" s="123">
        <v>4.71</v>
      </c>
      <c r="D3606" s="73">
        <f t="shared" si="146"/>
        <v>4.7100000000000003E-2</v>
      </c>
    </row>
    <row r="3607" spans="2:4">
      <c r="B3607" s="121">
        <v>45216</v>
      </c>
      <c r="C3607" s="123">
        <v>4.83</v>
      </c>
      <c r="D3607" s="73">
        <f t="shared" si="146"/>
        <v>4.8300000000000003E-2</v>
      </c>
    </row>
    <row r="3608" spans="2:4">
      <c r="B3608" s="121">
        <v>45217</v>
      </c>
      <c r="C3608" s="123">
        <v>4.91</v>
      </c>
      <c r="D3608" s="73">
        <f t="shared" si="146"/>
        <v>4.9100000000000005E-2</v>
      </c>
    </row>
    <row r="3609" spans="2:4">
      <c r="B3609" s="121">
        <v>45218</v>
      </c>
      <c r="C3609" s="123">
        <v>4.9800000000000004</v>
      </c>
      <c r="D3609" s="73">
        <f t="shared" si="146"/>
        <v>4.9800000000000004E-2</v>
      </c>
    </row>
    <row r="3610" spans="2:4">
      <c r="B3610" s="121">
        <v>45219</v>
      </c>
      <c r="C3610" s="123">
        <v>4.93</v>
      </c>
      <c r="D3610" s="73">
        <f t="shared" si="146"/>
        <v>4.9299999999999997E-2</v>
      </c>
    </row>
    <row r="3611" spans="2:4">
      <c r="B3611" s="121">
        <v>45222</v>
      </c>
      <c r="C3611" s="123">
        <v>4.8600000000000003</v>
      </c>
      <c r="D3611" s="73">
        <f t="shared" si="146"/>
        <v>4.8600000000000004E-2</v>
      </c>
    </row>
    <row r="3612" spans="2:4">
      <c r="B3612" s="121">
        <v>45223</v>
      </c>
      <c r="C3612" s="123">
        <v>4.83</v>
      </c>
      <c r="D3612" s="73">
        <f t="shared" si="146"/>
        <v>4.8300000000000003E-2</v>
      </c>
    </row>
    <row r="3613" spans="2:4">
      <c r="B3613" s="121">
        <v>45224</v>
      </c>
      <c r="C3613" s="123">
        <v>4.95</v>
      </c>
      <c r="D3613" s="73">
        <f t="shared" si="146"/>
        <v>4.9500000000000002E-2</v>
      </c>
    </row>
    <row r="3614" spans="2:4">
      <c r="B3614" s="121">
        <v>45225</v>
      </c>
      <c r="C3614" s="123">
        <v>4.8600000000000003</v>
      </c>
      <c r="D3614" s="73">
        <f t="shared" si="146"/>
        <v>4.8600000000000004E-2</v>
      </c>
    </row>
    <row r="3615" spans="2:4">
      <c r="B3615" s="121">
        <v>45226</v>
      </c>
      <c r="C3615" s="123">
        <v>4.84</v>
      </c>
      <c r="D3615" s="73">
        <f t="shared" si="146"/>
        <v>4.8399999999999999E-2</v>
      </c>
    </row>
    <row r="3616" spans="2:4">
      <c r="B3616" s="121">
        <v>45229</v>
      </c>
      <c r="C3616" s="123">
        <v>4.88</v>
      </c>
      <c r="D3616" s="73">
        <f t="shared" si="146"/>
        <v>4.8799999999999996E-2</v>
      </c>
    </row>
    <row r="3617" spans="2:4">
      <c r="B3617" s="121">
        <v>45230</v>
      </c>
      <c r="C3617" s="123">
        <v>4.88</v>
      </c>
      <c r="D3617" s="73">
        <f t="shared" si="146"/>
        <v>4.8799999999999996E-2</v>
      </c>
    </row>
    <row r="3618" spans="2:4">
      <c r="B3618" s="121">
        <v>45231</v>
      </c>
      <c r="C3618" s="123">
        <v>4.7699999999999996</v>
      </c>
      <c r="D3618" s="73">
        <f t="shared" si="146"/>
        <v>4.7699999999999992E-2</v>
      </c>
    </row>
    <row r="3619" spans="2:4">
      <c r="B3619" s="121">
        <v>45232</v>
      </c>
      <c r="C3619" s="123">
        <v>4.67</v>
      </c>
      <c r="D3619" s="73">
        <f t="shared" si="146"/>
        <v>4.6699999999999998E-2</v>
      </c>
    </row>
    <row r="3620" spans="2:4">
      <c r="B3620" s="121">
        <v>45233</v>
      </c>
      <c r="C3620" s="123">
        <v>4.57</v>
      </c>
      <c r="D3620" s="73">
        <f t="shared" si="146"/>
        <v>4.5700000000000005E-2</v>
      </c>
    </row>
    <row r="3621" spans="2:4">
      <c r="B3621" s="121">
        <v>45236</v>
      </c>
      <c r="C3621" s="123">
        <v>4.67</v>
      </c>
      <c r="D3621" s="73">
        <f t="shared" si="146"/>
        <v>4.6699999999999998E-2</v>
      </c>
    </row>
    <row r="3622" spans="2:4">
      <c r="B3622" s="121">
        <v>45237</v>
      </c>
      <c r="C3622" s="123">
        <v>4.58</v>
      </c>
      <c r="D3622" s="73">
        <f t="shared" si="146"/>
        <v>4.58E-2</v>
      </c>
    </row>
    <row r="3623" spans="2:4">
      <c r="B3623" s="121">
        <v>45238</v>
      </c>
      <c r="C3623" s="123">
        <v>4.49</v>
      </c>
      <c r="D3623" s="73">
        <f t="shared" si="146"/>
        <v>4.4900000000000002E-2</v>
      </c>
    </row>
    <row r="3624" spans="2:4">
      <c r="B3624" s="121">
        <v>45239</v>
      </c>
      <c r="C3624" s="123">
        <v>4.62</v>
      </c>
      <c r="D3624" s="73">
        <f t="shared" si="146"/>
        <v>4.6199999999999998E-2</v>
      </c>
    </row>
    <row r="3625" spans="2:4">
      <c r="B3625" s="121">
        <v>45240</v>
      </c>
      <c r="C3625" s="123">
        <v>4.6100000000000003</v>
      </c>
      <c r="D3625" s="73">
        <f t="shared" si="146"/>
        <v>4.6100000000000002E-2</v>
      </c>
    </row>
    <row r="3626" spans="2:4">
      <c r="B3626" s="121">
        <v>45243</v>
      </c>
      <c r="C3626" s="123">
        <v>4.63</v>
      </c>
      <c r="D3626" s="73">
        <f t="shared" si="146"/>
        <v>4.6300000000000001E-2</v>
      </c>
    </row>
    <row r="3627" spans="2:4">
      <c r="B3627" s="121">
        <v>45244</v>
      </c>
      <c r="C3627" s="123">
        <v>4.4400000000000004</v>
      </c>
      <c r="D3627" s="73">
        <f t="shared" si="146"/>
        <v>4.4400000000000002E-2</v>
      </c>
    </row>
    <row r="3628" spans="2:4">
      <c r="B3628" s="121">
        <v>45245</v>
      </c>
      <c r="C3628" s="123">
        <v>4.53</v>
      </c>
      <c r="D3628" s="73">
        <f t="shared" si="146"/>
        <v>4.53E-2</v>
      </c>
    </row>
    <row r="3629" spans="2:4">
      <c r="B3629" s="121">
        <v>45246</v>
      </c>
      <c r="C3629" s="123">
        <v>4.45</v>
      </c>
      <c r="D3629" s="73">
        <f t="shared" si="146"/>
        <v>4.4500000000000005E-2</v>
      </c>
    </row>
    <row r="3630" spans="2:4">
      <c r="B3630" s="121">
        <v>45247</v>
      </c>
      <c r="C3630" s="123">
        <v>4.4400000000000004</v>
      </c>
      <c r="D3630" s="73">
        <f t="shared" si="146"/>
        <v>4.4400000000000002E-2</v>
      </c>
    </row>
    <row r="3631" spans="2:4">
      <c r="B3631" s="121">
        <v>45250</v>
      </c>
      <c r="C3631" s="123">
        <v>4.42</v>
      </c>
      <c r="D3631" s="73">
        <f t="shared" si="146"/>
        <v>4.4199999999999996E-2</v>
      </c>
    </row>
    <row r="3632" spans="2:4">
      <c r="B3632" s="121">
        <v>45251</v>
      </c>
      <c r="C3632" s="123">
        <v>4.41</v>
      </c>
      <c r="D3632" s="73">
        <f t="shared" si="146"/>
        <v>4.41E-2</v>
      </c>
    </row>
    <row r="3633" spans="2:4">
      <c r="B3633" s="121">
        <v>45252</v>
      </c>
      <c r="C3633" s="123">
        <v>4.42</v>
      </c>
      <c r="D3633" s="73">
        <f t="shared" si="146"/>
        <v>4.4199999999999996E-2</v>
      </c>
    </row>
    <row r="3634" spans="2:4">
      <c r="B3634" s="121">
        <v>45253</v>
      </c>
      <c r="C3634" s="123" t="s">
        <v>325</v>
      </c>
      <c r="D3634" s="73">
        <f t="shared" si="146"/>
        <v>4.4199999999999996E-2</v>
      </c>
    </row>
    <row r="3635" spans="2:4">
      <c r="B3635" s="121">
        <v>45254</v>
      </c>
      <c r="C3635" s="123">
        <v>4.47</v>
      </c>
      <c r="D3635" s="73">
        <f t="shared" si="146"/>
        <v>4.4699999999999997E-2</v>
      </c>
    </row>
    <row r="3636" spans="2:4">
      <c r="B3636" s="121">
        <v>45257</v>
      </c>
      <c r="C3636" s="123">
        <v>4.3899999999999997</v>
      </c>
      <c r="D3636" s="73">
        <f t="shared" si="146"/>
        <v>4.3899999999999995E-2</v>
      </c>
    </row>
    <row r="3637" spans="2:4">
      <c r="B3637" s="121">
        <v>45258</v>
      </c>
      <c r="C3637" s="123">
        <v>4.34</v>
      </c>
      <c r="D3637" s="73">
        <f t="shared" si="146"/>
        <v>4.3400000000000001E-2</v>
      </c>
    </row>
    <row r="3638" spans="2:4">
      <c r="B3638" s="121">
        <v>45259</v>
      </c>
      <c r="C3638" s="123">
        <v>4.2699999999999996</v>
      </c>
      <c r="D3638" s="73">
        <f t="shared" si="146"/>
        <v>4.2699999999999995E-2</v>
      </c>
    </row>
    <row r="3639" spans="2:4">
      <c r="B3639" s="121">
        <v>45260</v>
      </c>
      <c r="C3639" s="123">
        <v>4.37</v>
      </c>
      <c r="D3639" s="73">
        <f t="shared" si="146"/>
        <v>4.3700000000000003E-2</v>
      </c>
    </row>
    <row r="3640" spans="2:4">
      <c r="B3640" s="121">
        <v>45261</v>
      </c>
      <c r="C3640" s="123">
        <v>4.22</v>
      </c>
      <c r="D3640" s="73">
        <f t="shared" si="146"/>
        <v>4.2199999999999994E-2</v>
      </c>
    </row>
    <row r="3641" spans="2:4">
      <c r="B3641" s="121">
        <v>45264</v>
      </c>
      <c r="C3641" s="123">
        <v>4.28</v>
      </c>
      <c r="D3641" s="73">
        <f t="shared" si="146"/>
        <v>4.2800000000000005E-2</v>
      </c>
    </row>
    <row r="3642" spans="2:4">
      <c r="B3642" s="121">
        <v>45265</v>
      </c>
      <c r="C3642" s="123">
        <v>4.18</v>
      </c>
      <c r="D3642" s="73">
        <f t="shared" si="146"/>
        <v>4.1799999999999997E-2</v>
      </c>
    </row>
    <row r="3643" spans="2:4">
      <c r="B3643" s="121">
        <v>45266</v>
      </c>
      <c r="C3643" s="123">
        <v>4.12</v>
      </c>
      <c r="D3643" s="73">
        <f t="shared" si="146"/>
        <v>4.1200000000000001E-2</v>
      </c>
    </row>
    <row r="3644" spans="2:4">
      <c r="B3644" s="121">
        <v>45267</v>
      </c>
      <c r="C3644" s="123">
        <v>4.1399999999999997</v>
      </c>
      <c r="D3644" s="73">
        <f t="shared" si="146"/>
        <v>4.1399999999999999E-2</v>
      </c>
    </row>
    <row r="3645" spans="2:4">
      <c r="B3645" s="121">
        <v>45268</v>
      </c>
      <c r="C3645" s="123">
        <v>4.2300000000000004</v>
      </c>
      <c r="D3645" s="73">
        <f t="shared" si="146"/>
        <v>4.2300000000000004E-2</v>
      </c>
    </row>
    <row r="3646" spans="2:4">
      <c r="B3646" s="121">
        <v>45271</v>
      </c>
      <c r="C3646" s="123">
        <v>4.2300000000000004</v>
      </c>
      <c r="D3646" s="73">
        <f t="shared" si="146"/>
        <v>4.2300000000000004E-2</v>
      </c>
    </row>
    <row r="3647" spans="2:4">
      <c r="B3647" s="121">
        <v>45272</v>
      </c>
      <c r="C3647" s="123">
        <v>4.2</v>
      </c>
      <c r="D3647" s="73">
        <f t="shared" si="146"/>
        <v>4.2000000000000003E-2</v>
      </c>
    </row>
    <row r="3648" spans="2:4">
      <c r="B3648" s="121">
        <v>45273</v>
      </c>
      <c r="C3648" s="123">
        <v>4.04</v>
      </c>
      <c r="D3648" s="73">
        <f t="shared" si="146"/>
        <v>4.0399999999999998E-2</v>
      </c>
    </row>
    <row r="3649" spans="2:4">
      <c r="B3649" s="121">
        <v>45274</v>
      </c>
      <c r="C3649" s="123">
        <v>3.92</v>
      </c>
      <c r="D3649" s="73">
        <f t="shared" si="146"/>
        <v>3.9199999999999999E-2</v>
      </c>
    </row>
    <row r="3650" spans="2:4">
      <c r="B3650" s="121">
        <v>45275</v>
      </c>
      <c r="C3650" s="123">
        <v>3.91</v>
      </c>
      <c r="D3650" s="73">
        <f t="shared" si="146"/>
        <v>3.9100000000000003E-2</v>
      </c>
    </row>
    <row r="3651" spans="2:4">
      <c r="B3651" s="121">
        <v>45278</v>
      </c>
      <c r="C3651" s="123">
        <v>3.95</v>
      </c>
      <c r="D3651" s="73">
        <f t="shared" si="146"/>
        <v>3.95E-2</v>
      </c>
    </row>
    <row r="3652" spans="2:4">
      <c r="B3652" s="121">
        <v>45279</v>
      </c>
      <c r="C3652" s="123">
        <v>3.93</v>
      </c>
      <c r="D3652" s="73">
        <f t="shared" si="146"/>
        <v>3.9300000000000002E-2</v>
      </c>
    </row>
    <row r="3653" spans="2:4">
      <c r="B3653" s="121">
        <v>45280</v>
      </c>
      <c r="C3653" s="123">
        <v>3.86</v>
      </c>
      <c r="D3653" s="73">
        <f t="shared" si="146"/>
        <v>3.8599999999999995E-2</v>
      </c>
    </row>
    <row r="3654" spans="2:4">
      <c r="B3654" s="121">
        <v>45281</v>
      </c>
      <c r="C3654" s="123">
        <v>3.89</v>
      </c>
      <c r="D3654" s="73">
        <f t="shared" si="146"/>
        <v>3.8900000000000004E-2</v>
      </c>
    </row>
    <row r="3655" spans="2:4">
      <c r="B3655" s="121">
        <v>45282</v>
      </c>
      <c r="C3655" s="123">
        <v>3.9</v>
      </c>
      <c r="D3655" s="73">
        <f t="shared" si="146"/>
        <v>3.9E-2</v>
      </c>
    </row>
    <row r="3656" spans="2:4">
      <c r="B3656" s="121">
        <v>45285</v>
      </c>
      <c r="C3656" s="123" t="s">
        <v>325</v>
      </c>
      <c r="D3656" s="73">
        <f t="shared" si="146"/>
        <v>3.9E-2</v>
      </c>
    </row>
    <row r="3657" spans="2:4">
      <c r="B3657" s="121">
        <v>45286</v>
      </c>
      <c r="C3657" s="123">
        <v>3.89</v>
      </c>
      <c r="D3657" s="73">
        <f t="shared" si="146"/>
        <v>3.8900000000000004E-2</v>
      </c>
    </row>
    <row r="3658" spans="2:4">
      <c r="B3658" s="121">
        <v>45287</v>
      </c>
      <c r="C3658" s="123">
        <v>3.79</v>
      </c>
      <c r="D3658" s="73">
        <f t="shared" si="146"/>
        <v>3.7900000000000003E-2</v>
      </c>
    </row>
    <row r="3659" spans="2:4">
      <c r="B3659" s="121">
        <v>45288</v>
      </c>
      <c r="C3659" s="123">
        <v>3.84</v>
      </c>
      <c r="D3659" s="73">
        <f t="shared" ref="D3659:D3722" si="147">IF(LEN(C3659)=0,#N/A,IF(C3659="ND",D3658,C3659/100))</f>
        <v>3.8399999999999997E-2</v>
      </c>
    </row>
    <row r="3660" spans="2:4">
      <c r="B3660" s="121">
        <v>45289</v>
      </c>
      <c r="C3660" s="123">
        <v>3.88</v>
      </c>
      <c r="D3660" s="73">
        <f t="shared" si="147"/>
        <v>3.8800000000000001E-2</v>
      </c>
    </row>
    <row r="3661" spans="2:4">
      <c r="B3661" s="121">
        <v>45292</v>
      </c>
      <c r="C3661" s="123" t="s">
        <v>325</v>
      </c>
      <c r="D3661" s="73">
        <f t="shared" si="147"/>
        <v>3.8800000000000001E-2</v>
      </c>
    </row>
    <row r="3662" spans="2:4">
      <c r="B3662" s="121">
        <v>45293</v>
      </c>
      <c r="C3662" s="123">
        <v>3.95</v>
      </c>
      <c r="D3662" s="73">
        <f t="shared" si="147"/>
        <v>3.95E-2</v>
      </c>
    </row>
    <row r="3663" spans="2:4">
      <c r="B3663" s="121">
        <v>45294</v>
      </c>
      <c r="C3663" s="123">
        <v>3.91</v>
      </c>
      <c r="D3663" s="73">
        <f t="shared" si="147"/>
        <v>3.9100000000000003E-2</v>
      </c>
    </row>
    <row r="3664" spans="2:4">
      <c r="B3664" s="121">
        <v>45295</v>
      </c>
      <c r="C3664" s="123">
        <v>3.99</v>
      </c>
      <c r="D3664" s="73">
        <f t="shared" si="147"/>
        <v>3.9900000000000005E-2</v>
      </c>
    </row>
    <row r="3665" spans="2:4">
      <c r="B3665" s="121">
        <v>45296</v>
      </c>
      <c r="C3665" s="123">
        <v>4.05</v>
      </c>
      <c r="D3665" s="73">
        <f t="shared" si="147"/>
        <v>4.0500000000000001E-2</v>
      </c>
    </row>
    <row r="3666" spans="2:4">
      <c r="B3666" s="121">
        <v>45299</v>
      </c>
      <c r="C3666" s="123">
        <v>4.01</v>
      </c>
      <c r="D3666" s="73">
        <f t="shared" si="147"/>
        <v>4.0099999999999997E-2</v>
      </c>
    </row>
    <row r="3667" spans="2:4">
      <c r="B3667" s="121">
        <v>45300</v>
      </c>
      <c r="C3667" s="123">
        <v>4.0199999999999996</v>
      </c>
      <c r="D3667" s="73">
        <f t="shared" si="147"/>
        <v>4.0199999999999993E-2</v>
      </c>
    </row>
    <row r="3668" spans="2:4">
      <c r="B3668" s="121">
        <v>45301</v>
      </c>
      <c r="C3668" s="123">
        <v>4.04</v>
      </c>
      <c r="D3668" s="73">
        <f t="shared" si="147"/>
        <v>4.0399999999999998E-2</v>
      </c>
    </row>
    <row r="3669" spans="2:4">
      <c r="B3669" s="121">
        <v>45302</v>
      </c>
      <c r="C3669" s="123">
        <v>3.98</v>
      </c>
      <c r="D3669" s="73">
        <f t="shared" si="147"/>
        <v>3.9800000000000002E-2</v>
      </c>
    </row>
    <row r="3670" spans="2:4">
      <c r="B3670" s="121">
        <v>45303</v>
      </c>
      <c r="C3670" s="123">
        <v>3.96</v>
      </c>
      <c r="D3670" s="73">
        <f t="shared" si="147"/>
        <v>3.9599999999999996E-2</v>
      </c>
    </row>
    <row r="3671" spans="2:4">
      <c r="B3671" s="121">
        <v>45306</v>
      </c>
      <c r="C3671" s="123" t="s">
        <v>325</v>
      </c>
      <c r="D3671" s="73">
        <f t="shared" si="147"/>
        <v>3.9599999999999996E-2</v>
      </c>
    </row>
    <row r="3672" spans="2:4">
      <c r="B3672" s="121">
        <v>45307</v>
      </c>
      <c r="C3672" s="123">
        <v>4.07</v>
      </c>
      <c r="D3672" s="73">
        <f t="shared" si="147"/>
        <v>4.07E-2</v>
      </c>
    </row>
    <row r="3673" spans="2:4">
      <c r="B3673" s="121">
        <v>45308</v>
      </c>
      <c r="C3673" s="123">
        <v>4.0999999999999996</v>
      </c>
      <c r="D3673" s="73">
        <f t="shared" si="147"/>
        <v>4.0999999999999995E-2</v>
      </c>
    </row>
    <row r="3674" spans="2:4">
      <c r="B3674" s="121">
        <v>45309</v>
      </c>
      <c r="C3674" s="123">
        <v>4.1399999999999997</v>
      </c>
      <c r="D3674" s="73">
        <f t="shared" si="147"/>
        <v>4.1399999999999999E-2</v>
      </c>
    </row>
    <row r="3675" spans="2:4">
      <c r="B3675" s="121">
        <v>45310</v>
      </c>
      <c r="C3675" s="123">
        <v>4.1500000000000004</v>
      </c>
      <c r="D3675" s="73">
        <f t="shared" si="147"/>
        <v>4.1500000000000002E-2</v>
      </c>
    </row>
    <row r="3676" spans="2:4">
      <c r="B3676" s="121">
        <v>45313</v>
      </c>
      <c r="C3676" s="123">
        <v>4.1100000000000003</v>
      </c>
      <c r="D3676" s="73">
        <f t="shared" si="147"/>
        <v>4.1100000000000005E-2</v>
      </c>
    </row>
    <row r="3677" spans="2:4">
      <c r="B3677" s="121">
        <v>45314</v>
      </c>
      <c r="C3677" s="123">
        <v>4.1399999999999997</v>
      </c>
      <c r="D3677" s="73">
        <f t="shared" si="147"/>
        <v>4.1399999999999999E-2</v>
      </c>
    </row>
    <row r="3678" spans="2:4">
      <c r="B3678" s="121">
        <v>45315</v>
      </c>
      <c r="C3678" s="123">
        <v>4.18</v>
      </c>
      <c r="D3678" s="73">
        <f t="shared" si="147"/>
        <v>4.1799999999999997E-2</v>
      </c>
    </row>
    <row r="3679" spans="2:4">
      <c r="B3679" s="121">
        <v>45316</v>
      </c>
      <c r="C3679" s="123">
        <v>4.1399999999999997</v>
      </c>
      <c r="D3679" s="73">
        <f t="shared" si="147"/>
        <v>4.1399999999999999E-2</v>
      </c>
    </row>
    <row r="3680" spans="2:4">
      <c r="B3680" s="121">
        <v>45317</v>
      </c>
      <c r="C3680" s="123">
        <v>4.1500000000000004</v>
      </c>
      <c r="D3680" s="73">
        <f t="shared" si="147"/>
        <v>4.1500000000000002E-2</v>
      </c>
    </row>
    <row r="3681" spans="2:4">
      <c r="B3681" s="121">
        <v>45320</v>
      </c>
      <c r="C3681" s="123">
        <v>4.08</v>
      </c>
      <c r="D3681" s="73">
        <f t="shared" si="147"/>
        <v>4.0800000000000003E-2</v>
      </c>
    </row>
    <row r="3682" spans="2:4">
      <c r="B3682" s="121">
        <v>45321</v>
      </c>
      <c r="C3682" s="123">
        <v>4.0599999999999996</v>
      </c>
      <c r="D3682" s="73">
        <f t="shared" si="147"/>
        <v>4.0599999999999997E-2</v>
      </c>
    </row>
    <row r="3683" spans="2:4">
      <c r="B3683" s="121">
        <v>45322</v>
      </c>
      <c r="C3683" s="123">
        <v>3.99</v>
      </c>
      <c r="D3683" s="73">
        <f t="shared" si="147"/>
        <v>3.9900000000000005E-2</v>
      </c>
    </row>
    <row r="3684" spans="2:4">
      <c r="B3684" s="121">
        <v>45323</v>
      </c>
      <c r="C3684" s="123">
        <v>3.87</v>
      </c>
      <c r="D3684" s="73">
        <f t="shared" si="147"/>
        <v>3.8699999999999998E-2</v>
      </c>
    </row>
    <row r="3685" spans="2:4">
      <c r="B3685" s="121">
        <v>45324</v>
      </c>
      <c r="C3685" s="123">
        <v>4.03</v>
      </c>
      <c r="D3685" s="73">
        <f t="shared" si="147"/>
        <v>4.0300000000000002E-2</v>
      </c>
    </row>
    <row r="3686" spans="2:4">
      <c r="B3686" s="121">
        <v>45327</v>
      </c>
      <c r="C3686" s="123">
        <v>4.17</v>
      </c>
      <c r="D3686" s="73">
        <f t="shared" si="147"/>
        <v>4.1700000000000001E-2</v>
      </c>
    </row>
    <row r="3687" spans="2:4">
      <c r="B3687" s="121">
        <v>45328</v>
      </c>
      <c r="C3687" s="123">
        <v>4.09</v>
      </c>
      <c r="D3687" s="73">
        <f t="shared" si="147"/>
        <v>4.0899999999999999E-2</v>
      </c>
    </row>
    <row r="3688" spans="2:4">
      <c r="B3688" s="121">
        <v>45329</v>
      </c>
      <c r="C3688" s="123">
        <v>4.09</v>
      </c>
      <c r="D3688" s="73">
        <f t="shared" si="147"/>
        <v>4.0899999999999999E-2</v>
      </c>
    </row>
    <row r="3689" spans="2:4">
      <c r="B3689" s="121">
        <v>45330</v>
      </c>
      <c r="C3689" s="123">
        <v>4.1500000000000004</v>
      </c>
      <c r="D3689" s="73">
        <f t="shared" si="147"/>
        <v>4.1500000000000002E-2</v>
      </c>
    </row>
    <row r="3690" spans="2:4">
      <c r="B3690" s="121">
        <v>45331</v>
      </c>
      <c r="C3690" s="123">
        <v>4.17</v>
      </c>
      <c r="D3690" s="73">
        <f t="shared" si="147"/>
        <v>4.1700000000000001E-2</v>
      </c>
    </row>
    <row r="3691" spans="2:4">
      <c r="B3691" s="121">
        <v>45334</v>
      </c>
      <c r="C3691" s="123">
        <v>4.17</v>
      </c>
      <c r="D3691" s="73">
        <f t="shared" si="147"/>
        <v>4.1700000000000001E-2</v>
      </c>
    </row>
    <row r="3692" spans="2:4">
      <c r="B3692" s="121">
        <v>45335</v>
      </c>
      <c r="C3692" s="123">
        <v>4.3099999999999996</v>
      </c>
      <c r="D3692" s="73">
        <f t="shared" si="147"/>
        <v>4.3099999999999999E-2</v>
      </c>
    </row>
    <row r="3693" spans="2:4">
      <c r="B3693" s="121">
        <v>45336</v>
      </c>
      <c r="C3693" s="123">
        <v>4.2699999999999996</v>
      </c>
      <c r="D3693" s="73">
        <f t="shared" si="147"/>
        <v>4.2699999999999995E-2</v>
      </c>
    </row>
    <row r="3694" spans="2:4">
      <c r="B3694" s="121">
        <v>45337</v>
      </c>
      <c r="C3694" s="123">
        <v>4.24</v>
      </c>
      <c r="D3694" s="73">
        <f t="shared" si="147"/>
        <v>4.24E-2</v>
      </c>
    </row>
    <row r="3695" spans="2:4">
      <c r="B3695" s="121">
        <v>45338</v>
      </c>
      <c r="C3695" s="123">
        <v>4.3</v>
      </c>
      <c r="D3695" s="73">
        <f t="shared" si="147"/>
        <v>4.2999999999999997E-2</v>
      </c>
    </row>
    <row r="3696" spans="2:4">
      <c r="B3696" s="121">
        <v>45341</v>
      </c>
      <c r="C3696" s="123" t="s">
        <v>325</v>
      </c>
      <c r="D3696" s="73">
        <f t="shared" si="147"/>
        <v>4.2999999999999997E-2</v>
      </c>
    </row>
    <row r="3697" spans="2:4">
      <c r="B3697" s="121">
        <v>45342</v>
      </c>
      <c r="C3697" s="123">
        <v>4.2699999999999996</v>
      </c>
      <c r="D3697" s="73">
        <f t="shared" si="147"/>
        <v>4.2699999999999995E-2</v>
      </c>
    </row>
    <row r="3698" spans="2:4">
      <c r="B3698" s="121">
        <v>45343</v>
      </c>
      <c r="C3698" s="123">
        <v>4.32</v>
      </c>
      <c r="D3698" s="73">
        <f t="shared" si="147"/>
        <v>4.3200000000000002E-2</v>
      </c>
    </row>
    <row r="3699" spans="2:4">
      <c r="B3699" s="121">
        <v>45344</v>
      </c>
      <c r="C3699" s="123">
        <v>4.33</v>
      </c>
      <c r="D3699" s="73">
        <f t="shared" si="147"/>
        <v>4.3299999999999998E-2</v>
      </c>
    </row>
    <row r="3700" spans="2:4">
      <c r="B3700" s="121">
        <v>45345</v>
      </c>
      <c r="C3700" s="123">
        <v>4.26</v>
      </c>
      <c r="D3700" s="73">
        <f t="shared" si="147"/>
        <v>4.2599999999999999E-2</v>
      </c>
    </row>
    <row r="3701" spans="2:4">
      <c r="B3701" s="121">
        <v>45348</v>
      </c>
      <c r="C3701" s="123">
        <v>4.28</v>
      </c>
      <c r="D3701" s="73">
        <f t="shared" si="147"/>
        <v>4.2800000000000005E-2</v>
      </c>
    </row>
    <row r="3702" spans="2:4">
      <c r="B3702" s="121">
        <v>45349</v>
      </c>
      <c r="C3702" s="123">
        <v>4.3099999999999996</v>
      </c>
      <c r="D3702" s="73">
        <f t="shared" si="147"/>
        <v>4.3099999999999999E-2</v>
      </c>
    </row>
    <row r="3703" spans="2:4">
      <c r="B3703" s="121">
        <v>45350</v>
      </c>
      <c r="C3703" s="123">
        <v>4.2699999999999996</v>
      </c>
      <c r="D3703" s="73">
        <f t="shared" si="147"/>
        <v>4.2699999999999995E-2</v>
      </c>
    </row>
    <row r="3704" spans="2:4">
      <c r="B3704" s="121">
        <v>45351</v>
      </c>
      <c r="C3704" s="123">
        <v>4.25</v>
      </c>
      <c r="D3704" s="73">
        <f t="shared" si="147"/>
        <v>4.2500000000000003E-2</v>
      </c>
    </row>
    <row r="3705" spans="2:4">
      <c r="B3705" s="121">
        <v>45352</v>
      </c>
      <c r="C3705" s="123">
        <v>4.1900000000000004</v>
      </c>
      <c r="D3705" s="73">
        <f t="shared" si="147"/>
        <v>4.1900000000000007E-2</v>
      </c>
    </row>
    <row r="3706" spans="2:4">
      <c r="B3706" s="121">
        <v>45355</v>
      </c>
      <c r="C3706" s="123">
        <v>4.22</v>
      </c>
      <c r="D3706" s="73">
        <f t="shared" si="147"/>
        <v>4.2199999999999994E-2</v>
      </c>
    </row>
    <row r="3707" spans="2:4">
      <c r="B3707" s="121">
        <v>45356</v>
      </c>
      <c r="C3707" s="123">
        <v>4.13</v>
      </c>
      <c r="D3707" s="73">
        <f t="shared" si="147"/>
        <v>4.1299999999999996E-2</v>
      </c>
    </row>
    <row r="3708" spans="2:4">
      <c r="B3708" s="121">
        <v>45357</v>
      </c>
      <c r="C3708" s="123">
        <v>4.1100000000000003</v>
      </c>
      <c r="D3708" s="73">
        <f t="shared" si="147"/>
        <v>4.1100000000000005E-2</v>
      </c>
    </row>
    <row r="3709" spans="2:4">
      <c r="B3709" s="121">
        <v>45358</v>
      </c>
      <c r="C3709" s="123">
        <v>4.09</v>
      </c>
      <c r="D3709" s="73">
        <f t="shared" si="147"/>
        <v>4.0899999999999999E-2</v>
      </c>
    </row>
    <row r="3710" spans="2:4">
      <c r="B3710" s="121">
        <v>45359</v>
      </c>
      <c r="C3710" s="123">
        <v>4.09</v>
      </c>
      <c r="D3710" s="73">
        <f t="shared" si="147"/>
        <v>4.0899999999999999E-2</v>
      </c>
    </row>
    <row r="3711" spans="2:4">
      <c r="B3711" s="121">
        <v>45362</v>
      </c>
      <c r="C3711" s="123">
        <v>4.0999999999999996</v>
      </c>
      <c r="D3711" s="73">
        <f t="shared" si="147"/>
        <v>4.0999999999999995E-2</v>
      </c>
    </row>
    <row r="3712" spans="2:4">
      <c r="B3712" s="121">
        <v>45363</v>
      </c>
      <c r="C3712" s="123">
        <v>4.16</v>
      </c>
      <c r="D3712" s="73">
        <f t="shared" si="147"/>
        <v>4.1599999999999998E-2</v>
      </c>
    </row>
    <row r="3713" spans="2:4">
      <c r="B3713" s="121">
        <v>45364</v>
      </c>
      <c r="C3713" s="123">
        <v>4.1900000000000004</v>
      </c>
      <c r="D3713" s="73">
        <f t="shared" si="147"/>
        <v>4.1900000000000007E-2</v>
      </c>
    </row>
    <row r="3714" spans="2:4">
      <c r="B3714" s="121">
        <v>45365</v>
      </c>
      <c r="C3714" s="123">
        <v>4.29</v>
      </c>
      <c r="D3714" s="73">
        <f t="shared" si="147"/>
        <v>4.2900000000000001E-2</v>
      </c>
    </row>
    <row r="3715" spans="2:4">
      <c r="B3715" s="121">
        <v>45366</v>
      </c>
      <c r="C3715" s="123">
        <v>4.3099999999999996</v>
      </c>
      <c r="D3715" s="73">
        <f t="shared" si="147"/>
        <v>4.3099999999999999E-2</v>
      </c>
    </row>
    <row r="3716" spans="2:4">
      <c r="B3716" s="121">
        <v>45369</v>
      </c>
      <c r="C3716" s="123">
        <v>4.34</v>
      </c>
      <c r="D3716" s="73">
        <f t="shared" si="147"/>
        <v>4.3400000000000001E-2</v>
      </c>
    </row>
    <row r="3717" spans="2:4">
      <c r="B3717" s="121">
        <v>45370</v>
      </c>
      <c r="C3717" s="123">
        <v>4.3</v>
      </c>
      <c r="D3717" s="73">
        <f t="shared" si="147"/>
        <v>4.2999999999999997E-2</v>
      </c>
    </row>
    <row r="3718" spans="2:4">
      <c r="B3718" s="121">
        <v>45371</v>
      </c>
      <c r="C3718" s="123">
        <v>4.2699999999999996</v>
      </c>
      <c r="D3718" s="73">
        <f t="shared" si="147"/>
        <v>4.2699999999999995E-2</v>
      </c>
    </row>
    <row r="3719" spans="2:4">
      <c r="B3719" s="121">
        <v>45372</v>
      </c>
      <c r="C3719" s="123">
        <v>4.2699999999999996</v>
      </c>
      <c r="D3719" s="73">
        <f t="shared" si="147"/>
        <v>4.2699999999999995E-2</v>
      </c>
    </row>
    <row r="3720" spans="2:4">
      <c r="B3720" s="121">
        <v>45373</v>
      </c>
      <c r="C3720" s="123">
        <v>4.22</v>
      </c>
      <c r="D3720" s="73">
        <f t="shared" si="147"/>
        <v>4.2199999999999994E-2</v>
      </c>
    </row>
    <row r="3721" spans="2:4">
      <c r="B3721" s="121">
        <v>45376</v>
      </c>
      <c r="C3721" s="123">
        <v>4.25</v>
      </c>
      <c r="D3721" s="73">
        <f t="shared" si="147"/>
        <v>4.2500000000000003E-2</v>
      </c>
    </row>
    <row r="3722" spans="2:4">
      <c r="B3722" s="121">
        <v>45377</v>
      </c>
      <c r="C3722" s="123">
        <v>4.24</v>
      </c>
      <c r="D3722" s="73">
        <f t="shared" si="147"/>
        <v>4.24E-2</v>
      </c>
    </row>
    <row r="3723" spans="2:4">
      <c r="B3723" s="121">
        <v>45378</v>
      </c>
      <c r="C3723" s="123">
        <v>4.2</v>
      </c>
      <c r="D3723" s="73">
        <f t="shared" ref="D3723:D3786" si="148">IF(LEN(C3723)=0,#N/A,IF(C3723="ND",D3722,C3723/100))</f>
        <v>4.2000000000000003E-2</v>
      </c>
    </row>
    <row r="3724" spans="2:4">
      <c r="B3724" s="121">
        <v>45379</v>
      </c>
      <c r="C3724" s="123">
        <v>4.2</v>
      </c>
      <c r="D3724" s="73">
        <f t="shared" si="148"/>
        <v>4.2000000000000003E-2</v>
      </c>
    </row>
    <row r="3725" spans="2:4">
      <c r="B3725" s="121">
        <v>45380</v>
      </c>
      <c r="C3725" s="123" t="s">
        <v>325</v>
      </c>
      <c r="D3725" s="73">
        <f t="shared" si="148"/>
        <v>4.2000000000000003E-2</v>
      </c>
    </row>
    <row r="3726" spans="2:4">
      <c r="B3726" s="121">
        <v>45383</v>
      </c>
      <c r="C3726" s="123">
        <v>4.33</v>
      </c>
      <c r="D3726" s="73">
        <f t="shared" si="148"/>
        <v>4.3299999999999998E-2</v>
      </c>
    </row>
    <row r="3727" spans="2:4">
      <c r="B3727" s="121">
        <v>45384</v>
      </c>
      <c r="C3727" s="123">
        <v>4.3600000000000003</v>
      </c>
      <c r="D3727" s="73">
        <f t="shared" si="148"/>
        <v>4.36E-2</v>
      </c>
    </row>
    <row r="3728" spans="2:4">
      <c r="B3728" s="121">
        <v>45385</v>
      </c>
      <c r="C3728" s="123">
        <v>4.3600000000000003</v>
      </c>
      <c r="D3728" s="73">
        <f t="shared" si="148"/>
        <v>4.36E-2</v>
      </c>
    </row>
    <row r="3729" spans="2:4">
      <c r="B3729" s="121">
        <v>45386</v>
      </c>
      <c r="C3729" s="123">
        <v>4.3099999999999996</v>
      </c>
      <c r="D3729" s="73">
        <f t="shared" si="148"/>
        <v>4.3099999999999999E-2</v>
      </c>
    </row>
    <row r="3730" spans="2:4">
      <c r="B3730" s="121">
        <v>45387</v>
      </c>
      <c r="C3730" s="123">
        <v>4.3899999999999997</v>
      </c>
      <c r="D3730" s="73">
        <f t="shared" si="148"/>
        <v>4.3899999999999995E-2</v>
      </c>
    </row>
    <row r="3731" spans="2:4">
      <c r="B3731" s="121">
        <v>45390</v>
      </c>
      <c r="C3731" s="123">
        <v>4.42</v>
      </c>
      <c r="D3731" s="73">
        <f t="shared" si="148"/>
        <v>4.4199999999999996E-2</v>
      </c>
    </row>
    <row r="3732" spans="2:4">
      <c r="B3732" s="121">
        <v>45391</v>
      </c>
      <c r="C3732" s="123">
        <v>4.3600000000000003</v>
      </c>
      <c r="D3732" s="73">
        <f t="shared" si="148"/>
        <v>4.36E-2</v>
      </c>
    </row>
    <row r="3733" spans="2:4">
      <c r="B3733" s="121">
        <v>45392</v>
      </c>
      <c r="C3733" s="123">
        <v>4.55</v>
      </c>
      <c r="D3733" s="73">
        <f t="shared" si="148"/>
        <v>4.5499999999999999E-2</v>
      </c>
    </row>
    <row r="3734" spans="2:4">
      <c r="B3734" s="121">
        <v>45393</v>
      </c>
      <c r="C3734" s="123">
        <v>4.5599999999999996</v>
      </c>
      <c r="D3734" s="73">
        <f t="shared" si="148"/>
        <v>4.5599999999999995E-2</v>
      </c>
    </row>
    <row r="3735" spans="2:4">
      <c r="B3735" s="121">
        <v>45394</v>
      </c>
      <c r="C3735" s="123">
        <v>4.5</v>
      </c>
      <c r="D3735" s="73">
        <f t="shared" si="148"/>
        <v>4.4999999999999998E-2</v>
      </c>
    </row>
    <row r="3736" spans="2:4">
      <c r="B3736" s="121">
        <v>45397</v>
      </c>
      <c r="C3736" s="123">
        <v>4.63</v>
      </c>
      <c r="D3736" s="73">
        <f t="shared" si="148"/>
        <v>4.6300000000000001E-2</v>
      </c>
    </row>
    <row r="3737" spans="2:4">
      <c r="B3737" s="121">
        <v>45398</v>
      </c>
      <c r="C3737" s="123">
        <v>4.67</v>
      </c>
      <c r="D3737" s="73">
        <f t="shared" si="148"/>
        <v>4.6699999999999998E-2</v>
      </c>
    </row>
    <row r="3738" spans="2:4">
      <c r="B3738" s="121">
        <v>45399</v>
      </c>
      <c r="C3738" s="123">
        <v>4.59</v>
      </c>
      <c r="D3738" s="73">
        <f t="shared" si="148"/>
        <v>4.5899999999999996E-2</v>
      </c>
    </row>
    <row r="3739" spans="2:4">
      <c r="B3739" s="121">
        <v>45400</v>
      </c>
      <c r="C3739" s="123">
        <v>4.6399999999999997</v>
      </c>
      <c r="D3739" s="73">
        <f t="shared" si="148"/>
        <v>4.6399999999999997E-2</v>
      </c>
    </row>
    <row r="3740" spans="2:4">
      <c r="B3740" s="121">
        <v>45401</v>
      </c>
      <c r="C3740" s="123">
        <v>4.62</v>
      </c>
      <c r="D3740" s="73">
        <f t="shared" si="148"/>
        <v>4.6199999999999998E-2</v>
      </c>
    </row>
    <row r="3741" spans="2:4">
      <c r="B3741" s="121">
        <v>45404</v>
      </c>
      <c r="C3741" s="123">
        <v>4.62</v>
      </c>
      <c r="D3741" s="73">
        <f t="shared" si="148"/>
        <v>4.6199999999999998E-2</v>
      </c>
    </row>
    <row r="3742" spans="2:4">
      <c r="B3742" s="121">
        <v>45405</v>
      </c>
      <c r="C3742" s="123">
        <v>4.6100000000000003</v>
      </c>
      <c r="D3742" s="73">
        <f t="shared" si="148"/>
        <v>4.6100000000000002E-2</v>
      </c>
    </row>
    <row r="3743" spans="2:4">
      <c r="B3743" s="121">
        <v>45406</v>
      </c>
      <c r="C3743" s="123">
        <v>4.6500000000000004</v>
      </c>
      <c r="D3743" s="73">
        <f t="shared" si="148"/>
        <v>4.6500000000000007E-2</v>
      </c>
    </row>
    <row r="3744" spans="2:4">
      <c r="B3744" s="121">
        <v>45407</v>
      </c>
      <c r="C3744" s="123">
        <v>4.7</v>
      </c>
      <c r="D3744" s="73">
        <f t="shared" si="148"/>
        <v>4.7E-2</v>
      </c>
    </row>
    <row r="3745" spans="2:4">
      <c r="B3745" s="121">
        <v>45408</v>
      </c>
      <c r="C3745" s="123">
        <v>4.67</v>
      </c>
      <c r="D3745" s="73">
        <f t="shared" si="148"/>
        <v>4.6699999999999998E-2</v>
      </c>
    </row>
    <row r="3746" spans="2:4">
      <c r="B3746" s="121">
        <v>45411</v>
      </c>
      <c r="C3746" s="123">
        <v>4.63</v>
      </c>
      <c r="D3746" s="73">
        <f t="shared" si="148"/>
        <v>4.6300000000000001E-2</v>
      </c>
    </row>
    <row r="3747" spans="2:4">
      <c r="B3747" s="121">
        <v>45412</v>
      </c>
      <c r="C3747" s="123">
        <v>4.6900000000000004</v>
      </c>
      <c r="D3747" s="73">
        <f t="shared" si="148"/>
        <v>4.6900000000000004E-2</v>
      </c>
    </row>
    <row r="3748" spans="2:4">
      <c r="B3748" s="121">
        <v>45413</v>
      </c>
      <c r="C3748" s="123">
        <v>4.63</v>
      </c>
      <c r="D3748" s="73">
        <f t="shared" si="148"/>
        <v>4.6300000000000001E-2</v>
      </c>
    </row>
    <row r="3749" spans="2:4">
      <c r="B3749" s="121">
        <v>45414</v>
      </c>
      <c r="C3749" s="123">
        <v>4.58</v>
      </c>
      <c r="D3749" s="73">
        <f t="shared" si="148"/>
        <v>4.58E-2</v>
      </c>
    </row>
    <row r="3750" spans="2:4">
      <c r="B3750" s="121">
        <v>45415</v>
      </c>
      <c r="C3750" s="123">
        <v>4.5</v>
      </c>
      <c r="D3750" s="73">
        <f t="shared" si="148"/>
        <v>4.4999999999999998E-2</v>
      </c>
    </row>
    <row r="3751" spans="2:4">
      <c r="B3751" s="121">
        <v>45418</v>
      </c>
      <c r="C3751" s="123">
        <v>4.49</v>
      </c>
      <c r="D3751" s="73">
        <f t="shared" si="148"/>
        <v>4.4900000000000002E-2</v>
      </c>
    </row>
    <row r="3752" spans="2:4">
      <c r="B3752" s="121">
        <v>45419</v>
      </c>
      <c r="C3752" s="123">
        <v>4.47</v>
      </c>
      <c r="D3752" s="73">
        <f t="shared" si="148"/>
        <v>4.4699999999999997E-2</v>
      </c>
    </row>
    <row r="3753" spans="2:4">
      <c r="B3753" s="121">
        <v>45420</v>
      </c>
      <c r="C3753" s="123">
        <v>4.4800000000000004</v>
      </c>
      <c r="D3753" s="73">
        <f t="shared" si="148"/>
        <v>4.4800000000000006E-2</v>
      </c>
    </row>
    <row r="3754" spans="2:4">
      <c r="B3754" s="121">
        <v>45421</v>
      </c>
      <c r="C3754" s="123">
        <v>4.45</v>
      </c>
      <c r="D3754" s="73">
        <f t="shared" si="148"/>
        <v>4.4500000000000005E-2</v>
      </c>
    </row>
    <row r="3755" spans="2:4">
      <c r="B3755" s="121">
        <v>45422</v>
      </c>
      <c r="C3755" s="123">
        <v>4.5</v>
      </c>
      <c r="D3755" s="73">
        <f t="shared" si="148"/>
        <v>4.4999999999999998E-2</v>
      </c>
    </row>
    <row r="3756" spans="2:4">
      <c r="B3756" s="121">
        <v>45425</v>
      </c>
      <c r="C3756" s="123">
        <v>4.4800000000000004</v>
      </c>
      <c r="D3756" s="73">
        <f t="shared" si="148"/>
        <v>4.4800000000000006E-2</v>
      </c>
    </row>
    <row r="3757" spans="2:4">
      <c r="B3757" s="121">
        <v>45426</v>
      </c>
      <c r="C3757" s="123">
        <v>4.45</v>
      </c>
      <c r="D3757" s="73">
        <f t="shared" si="148"/>
        <v>4.4500000000000005E-2</v>
      </c>
    </row>
    <row r="3758" spans="2:4">
      <c r="B3758" s="121">
        <v>45427</v>
      </c>
      <c r="C3758" s="123">
        <v>4.3600000000000003</v>
      </c>
      <c r="D3758" s="73">
        <f t="shared" si="148"/>
        <v>4.36E-2</v>
      </c>
    </row>
    <row r="3759" spans="2:4">
      <c r="B3759" s="121">
        <v>45428</v>
      </c>
      <c r="C3759" s="123">
        <v>4.38</v>
      </c>
      <c r="D3759" s="73">
        <f t="shared" si="148"/>
        <v>4.3799999999999999E-2</v>
      </c>
    </row>
    <row r="3760" spans="2:4">
      <c r="B3760" s="121">
        <v>45429</v>
      </c>
      <c r="C3760" s="123">
        <v>4.42</v>
      </c>
      <c r="D3760" s="73">
        <f t="shared" si="148"/>
        <v>4.4199999999999996E-2</v>
      </c>
    </row>
    <row r="3761" spans="2:4">
      <c r="B3761" s="121">
        <v>45432</v>
      </c>
      <c r="C3761" s="123">
        <v>4.4400000000000004</v>
      </c>
      <c r="D3761" s="73">
        <f t="shared" si="148"/>
        <v>4.4400000000000002E-2</v>
      </c>
    </row>
    <row r="3762" spans="2:4">
      <c r="B3762" s="121">
        <v>45433</v>
      </c>
      <c r="C3762" s="123">
        <v>4.41</v>
      </c>
      <c r="D3762" s="73">
        <f t="shared" si="148"/>
        <v>4.41E-2</v>
      </c>
    </row>
    <row r="3763" spans="2:4">
      <c r="B3763" s="121">
        <v>45434</v>
      </c>
      <c r="C3763" s="123">
        <v>4.43</v>
      </c>
      <c r="D3763" s="73">
        <f t="shared" si="148"/>
        <v>4.4299999999999999E-2</v>
      </c>
    </row>
    <row r="3764" spans="2:4">
      <c r="B3764" s="121">
        <v>45435</v>
      </c>
      <c r="C3764" s="123">
        <v>4.47</v>
      </c>
      <c r="D3764" s="73">
        <f t="shared" si="148"/>
        <v>4.4699999999999997E-2</v>
      </c>
    </row>
    <row r="3765" spans="2:4">
      <c r="B3765" s="121">
        <v>45436</v>
      </c>
      <c r="C3765" s="123">
        <v>4.46</v>
      </c>
      <c r="D3765" s="73">
        <f t="shared" si="148"/>
        <v>4.4600000000000001E-2</v>
      </c>
    </row>
    <row r="3766" spans="2:4">
      <c r="B3766" s="121">
        <v>45439</v>
      </c>
      <c r="C3766" s="123" t="s">
        <v>325</v>
      </c>
      <c r="D3766" s="73">
        <f t="shared" si="148"/>
        <v>4.4600000000000001E-2</v>
      </c>
    </row>
    <row r="3767" spans="2:4">
      <c r="B3767" s="121">
        <v>45440</v>
      </c>
      <c r="C3767" s="123">
        <v>4.54</v>
      </c>
      <c r="D3767" s="73">
        <f t="shared" si="148"/>
        <v>4.5400000000000003E-2</v>
      </c>
    </row>
    <row r="3768" spans="2:4">
      <c r="B3768" s="121">
        <v>45441</v>
      </c>
      <c r="C3768" s="123">
        <v>4.6100000000000003</v>
      </c>
      <c r="D3768" s="73">
        <f t="shared" si="148"/>
        <v>4.6100000000000002E-2</v>
      </c>
    </row>
    <row r="3769" spans="2:4">
      <c r="B3769" s="121">
        <v>45442</v>
      </c>
      <c r="C3769" s="123">
        <v>4.55</v>
      </c>
      <c r="D3769" s="73">
        <f t="shared" si="148"/>
        <v>4.5499999999999999E-2</v>
      </c>
    </row>
    <row r="3770" spans="2:4">
      <c r="B3770" s="121">
        <v>45443</v>
      </c>
      <c r="C3770" s="123">
        <v>4.51</v>
      </c>
      <c r="D3770" s="73">
        <f t="shared" si="148"/>
        <v>4.5100000000000001E-2</v>
      </c>
    </row>
    <row r="3771" spans="2:4">
      <c r="B3771" s="121">
        <v>45446</v>
      </c>
      <c r="C3771" s="123">
        <v>4.41</v>
      </c>
      <c r="D3771" s="73">
        <f t="shared" si="148"/>
        <v>4.41E-2</v>
      </c>
    </row>
    <row r="3772" spans="2:4">
      <c r="B3772" s="121">
        <v>45447</v>
      </c>
      <c r="C3772" s="123">
        <v>4.33</v>
      </c>
      <c r="D3772" s="73">
        <f t="shared" si="148"/>
        <v>4.3299999999999998E-2</v>
      </c>
    </row>
    <row r="3773" spans="2:4">
      <c r="B3773" s="121">
        <v>45448</v>
      </c>
      <c r="C3773" s="123">
        <v>4.29</v>
      </c>
      <c r="D3773" s="73">
        <f t="shared" si="148"/>
        <v>4.2900000000000001E-2</v>
      </c>
    </row>
    <row r="3774" spans="2:4">
      <c r="B3774" s="121">
        <v>45449</v>
      </c>
      <c r="C3774" s="123">
        <v>4.28</v>
      </c>
      <c r="D3774" s="73">
        <f t="shared" si="148"/>
        <v>4.2800000000000005E-2</v>
      </c>
    </row>
    <row r="3775" spans="2:4">
      <c r="B3775" s="121">
        <v>45450</v>
      </c>
      <c r="C3775" s="123">
        <v>4.43</v>
      </c>
      <c r="D3775" s="73">
        <f t="shared" si="148"/>
        <v>4.4299999999999999E-2</v>
      </c>
    </row>
    <row r="3776" spans="2:4">
      <c r="B3776" s="121">
        <v>45453</v>
      </c>
      <c r="C3776" s="123">
        <v>4.47</v>
      </c>
      <c r="D3776" s="73">
        <f t="shared" si="148"/>
        <v>4.4699999999999997E-2</v>
      </c>
    </row>
    <row r="3777" spans="2:4">
      <c r="B3777" s="121">
        <v>45454</v>
      </c>
      <c r="C3777" s="123">
        <v>4.3899999999999997</v>
      </c>
      <c r="D3777" s="73">
        <f t="shared" si="148"/>
        <v>4.3899999999999995E-2</v>
      </c>
    </row>
    <row r="3778" spans="2:4">
      <c r="B3778" s="121">
        <v>45455</v>
      </c>
      <c r="C3778" s="123">
        <v>4.3099999999999996</v>
      </c>
      <c r="D3778" s="73">
        <f t="shared" si="148"/>
        <v>4.3099999999999999E-2</v>
      </c>
    </row>
    <row r="3779" spans="2:4">
      <c r="B3779" s="121">
        <v>45456</v>
      </c>
      <c r="C3779" s="123">
        <v>4.24</v>
      </c>
      <c r="D3779" s="73">
        <f t="shared" si="148"/>
        <v>4.24E-2</v>
      </c>
    </row>
    <row r="3780" spans="2:4">
      <c r="B3780" s="121">
        <v>45457</v>
      </c>
      <c r="C3780" s="123">
        <v>4.2</v>
      </c>
      <c r="D3780" s="73">
        <f t="shared" si="148"/>
        <v>4.2000000000000003E-2</v>
      </c>
    </row>
    <row r="3781" spans="2:4">
      <c r="B3781" s="121">
        <v>45460</v>
      </c>
      <c r="C3781" s="123">
        <v>4.28</v>
      </c>
      <c r="D3781" s="73">
        <f t="shared" si="148"/>
        <v>4.2800000000000005E-2</v>
      </c>
    </row>
    <row r="3782" spans="2:4">
      <c r="B3782" s="121">
        <v>45461</v>
      </c>
      <c r="C3782" s="123">
        <v>4.22</v>
      </c>
      <c r="D3782" s="73">
        <f t="shared" si="148"/>
        <v>4.2199999999999994E-2</v>
      </c>
    </row>
    <row r="3783" spans="2:4">
      <c r="B3783" s="121">
        <v>45462</v>
      </c>
      <c r="C3783" s="123" t="s">
        <v>325</v>
      </c>
      <c r="D3783" s="73">
        <f t="shared" si="148"/>
        <v>4.2199999999999994E-2</v>
      </c>
    </row>
    <row r="3784" spans="2:4">
      <c r="B3784" s="121">
        <v>45463</v>
      </c>
      <c r="C3784" s="123">
        <v>4.25</v>
      </c>
      <c r="D3784" s="73">
        <f t="shared" si="148"/>
        <v>4.2500000000000003E-2</v>
      </c>
    </row>
    <row r="3785" spans="2:4">
      <c r="B3785" s="121">
        <v>45464</v>
      </c>
      <c r="C3785" s="123">
        <v>4.25</v>
      </c>
      <c r="D3785" s="73">
        <f t="shared" si="148"/>
        <v>4.2500000000000003E-2</v>
      </c>
    </row>
    <row r="3786" spans="2:4">
      <c r="B3786" s="121">
        <v>45467</v>
      </c>
      <c r="C3786" s="123">
        <v>4.25</v>
      </c>
      <c r="D3786" s="73">
        <f t="shared" si="148"/>
        <v>4.2500000000000003E-2</v>
      </c>
    </row>
    <row r="3787" spans="2:4">
      <c r="B3787" s="121">
        <v>45468</v>
      </c>
      <c r="C3787" s="123">
        <v>4.2300000000000004</v>
      </c>
      <c r="D3787" s="73">
        <f t="shared" ref="D3787:D3850" si="149">IF(LEN(C3787)=0,#N/A,IF(C3787="ND",D3786,C3787/100))</f>
        <v>4.2300000000000004E-2</v>
      </c>
    </row>
    <row r="3788" spans="2:4">
      <c r="B3788" s="121">
        <v>45469</v>
      </c>
      <c r="C3788" s="123">
        <v>4.32</v>
      </c>
      <c r="D3788" s="73">
        <f t="shared" si="149"/>
        <v>4.3200000000000002E-2</v>
      </c>
    </row>
    <row r="3789" spans="2:4">
      <c r="B3789" s="121">
        <v>45470</v>
      </c>
      <c r="C3789" s="123">
        <v>4.29</v>
      </c>
      <c r="D3789" s="73">
        <f t="shared" si="149"/>
        <v>4.2900000000000001E-2</v>
      </c>
    </row>
    <row r="3790" spans="2:4">
      <c r="B3790" s="121">
        <v>45471</v>
      </c>
      <c r="C3790" s="123">
        <v>4.3600000000000003</v>
      </c>
      <c r="D3790" s="73">
        <f t="shared" si="149"/>
        <v>4.36E-2</v>
      </c>
    </row>
    <row r="3791" spans="2:4">
      <c r="B3791" s="121">
        <v>45474</v>
      </c>
      <c r="C3791" s="123">
        <v>4.4800000000000004</v>
      </c>
      <c r="D3791" s="73">
        <f t="shared" si="149"/>
        <v>4.4800000000000006E-2</v>
      </c>
    </row>
    <row r="3792" spans="2:4">
      <c r="B3792" s="121">
        <v>45475</v>
      </c>
      <c r="C3792" s="123">
        <v>4.43</v>
      </c>
      <c r="D3792" s="73">
        <f t="shared" si="149"/>
        <v>4.4299999999999999E-2</v>
      </c>
    </row>
    <row r="3793" spans="2:4">
      <c r="B3793" s="121">
        <v>45476</v>
      </c>
      <c r="C3793" s="123">
        <v>4.3600000000000003</v>
      </c>
      <c r="D3793" s="73">
        <f t="shared" si="149"/>
        <v>4.36E-2</v>
      </c>
    </row>
    <row r="3794" spans="2:4">
      <c r="B3794" s="121">
        <v>45477</v>
      </c>
      <c r="C3794" s="123" t="s">
        <v>325</v>
      </c>
      <c r="D3794" s="73">
        <f t="shared" si="149"/>
        <v>4.36E-2</v>
      </c>
    </row>
    <row r="3795" spans="2:4">
      <c r="B3795" s="121">
        <v>45478</v>
      </c>
      <c r="C3795" s="123">
        <v>4.28</v>
      </c>
      <c r="D3795" s="73">
        <f t="shared" si="149"/>
        <v>4.2800000000000005E-2</v>
      </c>
    </row>
    <row r="3796" spans="2:4">
      <c r="B3796" s="121">
        <v>45481</v>
      </c>
      <c r="C3796" s="123">
        <v>4.28</v>
      </c>
      <c r="D3796" s="73">
        <f t="shared" si="149"/>
        <v>4.2800000000000005E-2</v>
      </c>
    </row>
    <row r="3797" spans="2:4">
      <c r="B3797" s="121">
        <v>45482</v>
      </c>
      <c r="C3797" s="123">
        <v>4.3</v>
      </c>
      <c r="D3797" s="73">
        <f t="shared" si="149"/>
        <v>4.2999999999999997E-2</v>
      </c>
    </row>
    <row r="3798" spans="2:4">
      <c r="B3798" s="121">
        <v>45483</v>
      </c>
      <c r="C3798" s="123">
        <v>4.28</v>
      </c>
      <c r="D3798" s="73">
        <f t="shared" si="149"/>
        <v>4.2800000000000005E-2</v>
      </c>
    </row>
    <row r="3799" spans="2:4">
      <c r="B3799" s="121">
        <v>45484</v>
      </c>
      <c r="C3799" s="123">
        <v>4.2</v>
      </c>
      <c r="D3799" s="73">
        <f t="shared" si="149"/>
        <v>4.2000000000000003E-2</v>
      </c>
    </row>
    <row r="3800" spans="2:4">
      <c r="B3800" s="121">
        <v>45485</v>
      </c>
      <c r="C3800" s="123">
        <v>4.18</v>
      </c>
      <c r="D3800" s="73">
        <f t="shared" si="149"/>
        <v>4.1799999999999997E-2</v>
      </c>
    </row>
    <row r="3801" spans="2:4">
      <c r="B3801" s="121">
        <v>45488</v>
      </c>
      <c r="C3801" s="123">
        <v>4.2300000000000004</v>
      </c>
      <c r="D3801" s="73">
        <f t="shared" si="149"/>
        <v>4.2300000000000004E-2</v>
      </c>
    </row>
    <row r="3802" spans="2:4">
      <c r="B3802" s="121">
        <v>45489</v>
      </c>
      <c r="C3802" s="123">
        <v>4.17</v>
      </c>
      <c r="D3802" s="73">
        <f t="shared" si="149"/>
        <v>4.1700000000000001E-2</v>
      </c>
    </row>
    <row r="3803" spans="2:4">
      <c r="B3803" s="121">
        <v>45490</v>
      </c>
      <c r="C3803" s="123">
        <v>4.16</v>
      </c>
      <c r="D3803" s="73">
        <f t="shared" si="149"/>
        <v>4.1599999999999998E-2</v>
      </c>
    </row>
    <row r="3804" spans="2:4">
      <c r="B3804" s="121">
        <v>45491</v>
      </c>
      <c r="C3804" s="123">
        <v>4.2</v>
      </c>
      <c r="D3804" s="73">
        <f t="shared" si="149"/>
        <v>4.2000000000000003E-2</v>
      </c>
    </row>
    <row r="3805" spans="2:4">
      <c r="B3805" s="121">
        <v>45492</v>
      </c>
      <c r="C3805" s="123">
        <v>4.25</v>
      </c>
      <c r="D3805" s="73">
        <f t="shared" si="149"/>
        <v>4.2500000000000003E-2</v>
      </c>
    </row>
    <row r="3806" spans="2:4">
      <c r="B3806" s="121">
        <v>45495</v>
      </c>
      <c r="C3806" s="123">
        <v>4.26</v>
      </c>
      <c r="D3806" s="73">
        <f t="shared" si="149"/>
        <v>4.2599999999999999E-2</v>
      </c>
    </row>
    <row r="3807" spans="2:4">
      <c r="B3807" s="121">
        <v>45496</v>
      </c>
      <c r="C3807" s="123">
        <v>4.25</v>
      </c>
      <c r="D3807" s="73">
        <f t="shared" si="149"/>
        <v>4.2500000000000003E-2</v>
      </c>
    </row>
    <row r="3808" spans="2:4">
      <c r="B3808" s="121">
        <v>45497</v>
      </c>
      <c r="C3808" s="123">
        <v>4.28</v>
      </c>
      <c r="D3808" s="73">
        <f t="shared" si="149"/>
        <v>4.2800000000000005E-2</v>
      </c>
    </row>
    <row r="3809" spans="2:4">
      <c r="B3809" s="121">
        <v>45498</v>
      </c>
      <c r="C3809" s="123">
        <v>4.2699999999999996</v>
      </c>
      <c r="D3809" s="73">
        <f t="shared" si="149"/>
        <v>4.2699999999999995E-2</v>
      </c>
    </row>
    <row r="3810" spans="2:4">
      <c r="B3810" s="121">
        <v>45499</v>
      </c>
      <c r="C3810" s="123">
        <v>4.2</v>
      </c>
      <c r="D3810" s="73">
        <f t="shared" si="149"/>
        <v>4.2000000000000003E-2</v>
      </c>
    </row>
    <row r="3811" spans="2:4">
      <c r="B3811" s="121">
        <v>45502</v>
      </c>
      <c r="C3811" s="123">
        <v>4.17</v>
      </c>
      <c r="D3811" s="73">
        <f t="shared" si="149"/>
        <v>4.1700000000000001E-2</v>
      </c>
    </row>
    <row r="3812" spans="2:4">
      <c r="B3812" s="121">
        <v>45503</v>
      </c>
      <c r="C3812" s="123">
        <v>4.1500000000000004</v>
      </c>
      <c r="D3812" s="73">
        <f t="shared" si="149"/>
        <v>4.1500000000000002E-2</v>
      </c>
    </row>
    <row r="3813" spans="2:4">
      <c r="B3813" s="121">
        <v>45504</v>
      </c>
      <c r="C3813" s="123">
        <v>4.09</v>
      </c>
      <c r="D3813" s="73">
        <f t="shared" si="149"/>
        <v>4.0899999999999999E-2</v>
      </c>
    </row>
    <row r="3814" spans="2:4">
      <c r="B3814" s="121">
        <v>45505</v>
      </c>
      <c r="C3814" s="123">
        <v>3.99</v>
      </c>
      <c r="D3814" s="73">
        <f t="shared" si="149"/>
        <v>3.9900000000000005E-2</v>
      </c>
    </row>
    <row r="3815" spans="2:4">
      <c r="B3815" s="121">
        <v>45506</v>
      </c>
      <c r="C3815" s="123">
        <v>3.8</v>
      </c>
      <c r="D3815" s="73">
        <f t="shared" si="149"/>
        <v>3.7999999999999999E-2</v>
      </c>
    </row>
    <row r="3816" spans="2:4">
      <c r="B3816" s="121">
        <v>45509</v>
      </c>
      <c r="C3816" s="123">
        <v>3.78</v>
      </c>
      <c r="D3816" s="73">
        <f t="shared" si="149"/>
        <v>3.78E-2</v>
      </c>
    </row>
    <row r="3817" spans="2:4">
      <c r="B3817" s="121">
        <v>45510</v>
      </c>
      <c r="C3817" s="123">
        <v>3.9</v>
      </c>
      <c r="D3817" s="73">
        <f t="shared" si="149"/>
        <v>3.9E-2</v>
      </c>
    </row>
    <row r="3818" spans="2:4">
      <c r="B3818" s="121">
        <v>45511</v>
      </c>
      <c r="C3818" s="123">
        <v>3.96</v>
      </c>
      <c r="D3818" s="73">
        <f t="shared" si="149"/>
        <v>3.9599999999999996E-2</v>
      </c>
    </row>
    <row r="3819" spans="2:4">
      <c r="B3819" s="121">
        <v>45512</v>
      </c>
      <c r="C3819" s="123">
        <v>3.99</v>
      </c>
      <c r="D3819" s="73">
        <f t="shared" si="149"/>
        <v>3.9900000000000005E-2</v>
      </c>
    </row>
    <row r="3820" spans="2:4">
      <c r="B3820" s="121">
        <v>45513</v>
      </c>
      <c r="C3820" s="123">
        <v>3.94</v>
      </c>
      <c r="D3820" s="73">
        <f t="shared" si="149"/>
        <v>3.9399999999999998E-2</v>
      </c>
    </row>
    <row r="3821" spans="2:4">
      <c r="B3821" s="121">
        <v>45516</v>
      </c>
      <c r="C3821" s="123">
        <v>3.9</v>
      </c>
      <c r="D3821" s="73">
        <f t="shared" si="149"/>
        <v>3.9E-2</v>
      </c>
    </row>
    <row r="3822" spans="2:4">
      <c r="B3822" s="121">
        <v>45517</v>
      </c>
      <c r="C3822" s="123">
        <v>3.85</v>
      </c>
      <c r="D3822" s="73">
        <f t="shared" si="149"/>
        <v>3.85E-2</v>
      </c>
    </row>
    <row r="3823" spans="2:4">
      <c r="B3823" s="121">
        <v>45518</v>
      </c>
      <c r="C3823" s="123">
        <v>3.83</v>
      </c>
      <c r="D3823" s="73">
        <f t="shared" si="149"/>
        <v>3.8300000000000001E-2</v>
      </c>
    </row>
    <row r="3824" spans="2:4">
      <c r="B3824" s="121">
        <v>45519</v>
      </c>
      <c r="C3824" s="123">
        <v>3.92</v>
      </c>
      <c r="D3824" s="73">
        <f t="shared" si="149"/>
        <v>3.9199999999999999E-2</v>
      </c>
    </row>
    <row r="3825" spans="2:4">
      <c r="B3825" s="121">
        <v>45520</v>
      </c>
      <c r="C3825" s="123">
        <v>3.89</v>
      </c>
      <c r="D3825" s="73">
        <f t="shared" si="149"/>
        <v>3.8900000000000004E-2</v>
      </c>
    </row>
    <row r="3826" spans="2:4">
      <c r="B3826" s="121">
        <v>45523</v>
      </c>
      <c r="C3826" s="123">
        <v>3.86</v>
      </c>
      <c r="D3826" s="73">
        <f t="shared" si="149"/>
        <v>3.8599999999999995E-2</v>
      </c>
    </row>
    <row r="3827" spans="2:4">
      <c r="B3827" s="121">
        <v>45524</v>
      </c>
      <c r="C3827" s="123">
        <v>3.82</v>
      </c>
      <c r="D3827" s="73">
        <f t="shared" si="149"/>
        <v>3.8199999999999998E-2</v>
      </c>
    </row>
    <row r="3828" spans="2:4">
      <c r="B3828" s="121">
        <v>45525</v>
      </c>
      <c r="C3828" s="123">
        <v>3.79</v>
      </c>
      <c r="D3828" s="73">
        <f t="shared" si="149"/>
        <v>3.7900000000000003E-2</v>
      </c>
    </row>
    <row r="3829" spans="2:4">
      <c r="B3829" s="121">
        <v>45526</v>
      </c>
      <c r="C3829" s="123">
        <v>3.86</v>
      </c>
      <c r="D3829" s="73">
        <f t="shared" si="149"/>
        <v>3.8599999999999995E-2</v>
      </c>
    </row>
    <row r="3830" spans="2:4">
      <c r="B3830" s="121">
        <v>45527</v>
      </c>
      <c r="C3830" s="123">
        <v>3.81</v>
      </c>
      <c r="D3830" s="73">
        <f t="shared" si="149"/>
        <v>3.8100000000000002E-2</v>
      </c>
    </row>
    <row r="3831" spans="2:4">
      <c r="B3831" s="121">
        <v>45530</v>
      </c>
      <c r="C3831" s="123">
        <v>3.82</v>
      </c>
      <c r="D3831" s="73">
        <f t="shared" si="149"/>
        <v>3.8199999999999998E-2</v>
      </c>
    </row>
    <row r="3832" spans="2:4">
      <c r="B3832" s="121">
        <v>45531</v>
      </c>
      <c r="C3832" s="123">
        <v>3.83</v>
      </c>
      <c r="D3832" s="73">
        <f t="shared" si="149"/>
        <v>3.8300000000000001E-2</v>
      </c>
    </row>
    <row r="3833" spans="2:4">
      <c r="B3833" s="121">
        <v>45532</v>
      </c>
      <c r="C3833" s="123">
        <v>3.84</v>
      </c>
      <c r="D3833" s="73">
        <f t="shared" si="149"/>
        <v>3.8399999999999997E-2</v>
      </c>
    </row>
    <row r="3834" spans="2:4">
      <c r="B3834" s="121">
        <v>45533</v>
      </c>
      <c r="C3834" s="123">
        <v>3.87</v>
      </c>
      <c r="D3834" s="73">
        <f t="shared" si="149"/>
        <v>3.8699999999999998E-2</v>
      </c>
    </row>
    <row r="3835" spans="2:4">
      <c r="B3835" s="121">
        <v>45534</v>
      </c>
      <c r="C3835" s="123">
        <v>3.91</v>
      </c>
      <c r="D3835" s="73">
        <f t="shared" si="149"/>
        <v>3.9100000000000003E-2</v>
      </c>
    </row>
    <row r="3836" spans="2:4">
      <c r="B3836" s="121">
        <v>45537</v>
      </c>
      <c r="C3836" s="123" t="s">
        <v>325</v>
      </c>
      <c r="D3836" s="73">
        <f t="shared" si="149"/>
        <v>3.9100000000000003E-2</v>
      </c>
    </row>
    <row r="3837" spans="2:4">
      <c r="B3837" s="121">
        <v>45538</v>
      </c>
      <c r="C3837" s="123">
        <v>3.84</v>
      </c>
      <c r="D3837" s="73">
        <f t="shared" si="149"/>
        <v>3.8399999999999997E-2</v>
      </c>
    </row>
    <row r="3838" spans="2:4">
      <c r="B3838" s="121">
        <v>45539</v>
      </c>
      <c r="C3838" s="123">
        <v>3.77</v>
      </c>
      <c r="D3838" s="73">
        <f t="shared" si="149"/>
        <v>3.7699999999999997E-2</v>
      </c>
    </row>
    <row r="3839" spans="2:4">
      <c r="B3839" s="121">
        <v>45540</v>
      </c>
      <c r="C3839" s="123">
        <v>3.73</v>
      </c>
      <c r="D3839" s="73">
        <f t="shared" si="149"/>
        <v>3.73E-2</v>
      </c>
    </row>
    <row r="3840" spans="2:4">
      <c r="B3840" s="121">
        <v>45541</v>
      </c>
      <c r="C3840" s="123">
        <v>3.72</v>
      </c>
      <c r="D3840" s="73">
        <f t="shared" si="149"/>
        <v>3.7200000000000004E-2</v>
      </c>
    </row>
    <row r="3841" spans="2:4">
      <c r="B3841" s="121">
        <v>45544</v>
      </c>
      <c r="C3841" s="123">
        <v>3.7</v>
      </c>
      <c r="D3841" s="73">
        <f t="shared" si="149"/>
        <v>3.7000000000000005E-2</v>
      </c>
    </row>
    <row r="3842" spans="2:4">
      <c r="B3842" s="121">
        <v>45545</v>
      </c>
      <c r="C3842" s="123">
        <v>3.65</v>
      </c>
      <c r="D3842" s="73">
        <f t="shared" si="149"/>
        <v>3.6499999999999998E-2</v>
      </c>
    </row>
    <row r="3843" spans="2:4">
      <c r="B3843" s="121">
        <v>45546</v>
      </c>
      <c r="C3843" s="123">
        <v>3.65</v>
      </c>
      <c r="D3843" s="73">
        <f t="shared" si="149"/>
        <v>3.6499999999999998E-2</v>
      </c>
    </row>
    <row r="3844" spans="2:4">
      <c r="B3844" s="121">
        <v>45547</v>
      </c>
      <c r="C3844" s="123">
        <v>3.68</v>
      </c>
      <c r="D3844" s="73">
        <f t="shared" si="149"/>
        <v>3.6799999999999999E-2</v>
      </c>
    </row>
    <row r="3845" spans="2:4">
      <c r="B3845" s="121">
        <v>45548</v>
      </c>
      <c r="C3845" s="123">
        <v>3.66</v>
      </c>
      <c r="D3845" s="73">
        <f t="shared" si="149"/>
        <v>3.6600000000000001E-2</v>
      </c>
    </row>
    <row r="3846" spans="2:4">
      <c r="B3846" s="121">
        <v>45551</v>
      </c>
      <c r="C3846" s="123">
        <v>3.63</v>
      </c>
      <c r="D3846" s="73">
        <f t="shared" si="149"/>
        <v>3.6299999999999999E-2</v>
      </c>
    </row>
    <row r="3847" spans="2:4">
      <c r="B3847" s="121">
        <v>45552</v>
      </c>
      <c r="C3847" s="123">
        <v>3.65</v>
      </c>
      <c r="D3847" s="73">
        <f t="shared" si="149"/>
        <v>3.6499999999999998E-2</v>
      </c>
    </row>
    <row r="3848" spans="2:4">
      <c r="B3848" s="121">
        <v>45553</v>
      </c>
      <c r="C3848" s="123">
        <v>3.7</v>
      </c>
      <c r="D3848" s="73">
        <f t="shared" si="149"/>
        <v>3.7000000000000005E-2</v>
      </c>
    </row>
    <row r="3849" spans="2:4">
      <c r="B3849" s="121">
        <v>45554</v>
      </c>
      <c r="C3849" s="123">
        <v>3.73</v>
      </c>
      <c r="D3849" s="73">
        <f t="shared" si="149"/>
        <v>3.73E-2</v>
      </c>
    </row>
    <row r="3850" spans="2:4">
      <c r="B3850" s="121">
        <v>45555</v>
      </c>
      <c r="C3850" s="123">
        <v>3.73</v>
      </c>
      <c r="D3850" s="73">
        <f t="shared" si="149"/>
        <v>3.73E-2</v>
      </c>
    </row>
    <row r="3851" spans="2:4">
      <c r="B3851" s="121">
        <v>45558</v>
      </c>
      <c r="C3851" s="123">
        <v>3.75</v>
      </c>
      <c r="D3851" s="73">
        <f t="shared" ref="D3851:D3914" si="150">IF(LEN(C3851)=0,#N/A,IF(C3851="ND",D3850,C3851/100))</f>
        <v>3.7499999999999999E-2</v>
      </c>
    </row>
    <row r="3852" spans="2:4">
      <c r="B3852" s="121">
        <v>45559</v>
      </c>
      <c r="C3852" s="123">
        <v>3.74</v>
      </c>
      <c r="D3852" s="73">
        <f t="shared" si="150"/>
        <v>3.7400000000000003E-2</v>
      </c>
    </row>
    <row r="3853" spans="2:4">
      <c r="B3853" s="121">
        <v>45560</v>
      </c>
      <c r="C3853" s="123">
        <v>3.79</v>
      </c>
      <c r="D3853" s="73">
        <f t="shared" si="150"/>
        <v>3.7900000000000003E-2</v>
      </c>
    </row>
    <row r="3854" spans="2:4">
      <c r="B3854" s="121">
        <v>45561</v>
      </c>
      <c r="C3854" s="123">
        <v>3.79</v>
      </c>
      <c r="D3854" s="73">
        <f t="shared" si="150"/>
        <v>3.7900000000000003E-2</v>
      </c>
    </row>
    <row r="3855" spans="2:4">
      <c r="B3855" s="121">
        <v>45562</v>
      </c>
      <c r="C3855" s="123">
        <v>3.75</v>
      </c>
      <c r="D3855" s="73">
        <f t="shared" si="150"/>
        <v>3.7499999999999999E-2</v>
      </c>
    </row>
    <row r="3856" spans="2:4">
      <c r="B3856" s="121">
        <v>45565</v>
      </c>
      <c r="C3856" s="123">
        <v>3.81</v>
      </c>
      <c r="D3856" s="73">
        <f t="shared" si="150"/>
        <v>3.8100000000000002E-2</v>
      </c>
    </row>
    <row r="3857" spans="2:4">
      <c r="B3857" s="121">
        <v>45566</v>
      </c>
      <c r="C3857" s="123">
        <v>3.74</v>
      </c>
      <c r="D3857" s="73">
        <f t="shared" si="150"/>
        <v>3.7400000000000003E-2</v>
      </c>
    </row>
    <row r="3858" spans="2:4">
      <c r="B3858" s="121">
        <v>45567</v>
      </c>
      <c r="C3858" s="123">
        <v>3.79</v>
      </c>
      <c r="D3858" s="73">
        <f t="shared" si="150"/>
        <v>3.7900000000000003E-2</v>
      </c>
    </row>
    <row r="3859" spans="2:4">
      <c r="B3859" s="121">
        <v>45568</v>
      </c>
      <c r="C3859" s="123">
        <v>3.85</v>
      </c>
      <c r="D3859" s="73">
        <f t="shared" si="150"/>
        <v>3.85E-2</v>
      </c>
    </row>
    <row r="3860" spans="2:4">
      <c r="B3860" s="121">
        <v>45569</v>
      </c>
      <c r="C3860" s="123">
        <v>3.98</v>
      </c>
      <c r="D3860" s="73">
        <f t="shared" si="150"/>
        <v>3.9800000000000002E-2</v>
      </c>
    </row>
    <row r="3861" spans="2:4">
      <c r="B3861" s="121">
        <v>45572</v>
      </c>
      <c r="C3861" s="123">
        <v>4.03</v>
      </c>
      <c r="D3861" s="73">
        <f t="shared" si="150"/>
        <v>4.0300000000000002E-2</v>
      </c>
    </row>
    <row r="3862" spans="2:4">
      <c r="B3862" s="121">
        <v>45573</v>
      </c>
      <c r="C3862" s="123">
        <v>4.04</v>
      </c>
      <c r="D3862" s="73">
        <f t="shared" si="150"/>
        <v>4.0399999999999998E-2</v>
      </c>
    </row>
    <row r="3863" spans="2:4">
      <c r="B3863" s="121">
        <v>45574</v>
      </c>
      <c r="C3863" s="123">
        <v>4.0599999999999996</v>
      </c>
      <c r="D3863" s="73">
        <f t="shared" si="150"/>
        <v>4.0599999999999997E-2</v>
      </c>
    </row>
    <row r="3864" spans="2:4">
      <c r="B3864" s="121">
        <v>45575</v>
      </c>
      <c r="C3864" s="123">
        <v>4.09</v>
      </c>
      <c r="D3864" s="73">
        <f t="shared" si="150"/>
        <v>4.0899999999999999E-2</v>
      </c>
    </row>
    <row r="3865" spans="2:4">
      <c r="B3865" s="121">
        <v>45576</v>
      </c>
      <c r="C3865" s="123">
        <v>4.08</v>
      </c>
      <c r="D3865" s="73">
        <f t="shared" si="150"/>
        <v>4.0800000000000003E-2</v>
      </c>
    </row>
    <row r="3866" spans="2:4">
      <c r="B3866" s="121">
        <v>45579</v>
      </c>
      <c r="C3866" s="123" t="s">
        <v>325</v>
      </c>
      <c r="D3866" s="73">
        <f t="shared" si="150"/>
        <v>4.0800000000000003E-2</v>
      </c>
    </row>
    <row r="3867" spans="2:4">
      <c r="B3867" s="121">
        <v>45580</v>
      </c>
      <c r="C3867" s="123">
        <v>4.03</v>
      </c>
      <c r="D3867" s="73">
        <f t="shared" si="150"/>
        <v>4.0300000000000002E-2</v>
      </c>
    </row>
    <row r="3868" spans="2:4">
      <c r="B3868" s="121">
        <v>45581</v>
      </c>
      <c r="C3868" s="123">
        <v>4.0199999999999996</v>
      </c>
      <c r="D3868" s="73">
        <f t="shared" si="150"/>
        <v>4.0199999999999993E-2</v>
      </c>
    </row>
    <row r="3869" spans="2:4">
      <c r="B3869" s="121">
        <v>45582</v>
      </c>
      <c r="C3869" s="123">
        <v>4.09</v>
      </c>
      <c r="D3869" s="73">
        <f t="shared" si="150"/>
        <v>4.0899999999999999E-2</v>
      </c>
    </row>
    <row r="3870" spans="2:4">
      <c r="B3870" s="121">
        <v>45583</v>
      </c>
      <c r="C3870" s="123">
        <v>4.08</v>
      </c>
      <c r="D3870" s="73">
        <f t="shared" si="150"/>
        <v>4.0800000000000003E-2</v>
      </c>
    </row>
    <row r="3871" spans="2:4">
      <c r="B3871" s="121">
        <v>45586</v>
      </c>
      <c r="C3871" s="123">
        <v>4.1900000000000004</v>
      </c>
      <c r="D3871" s="73">
        <f t="shared" si="150"/>
        <v>4.1900000000000007E-2</v>
      </c>
    </row>
    <row r="3872" spans="2:4">
      <c r="B3872" s="121">
        <v>45587</v>
      </c>
      <c r="C3872" s="123">
        <v>4.2</v>
      </c>
      <c r="D3872" s="73">
        <f t="shared" si="150"/>
        <v>4.2000000000000003E-2</v>
      </c>
    </row>
    <row r="3873" spans="2:4">
      <c r="B3873" s="121">
        <v>45588</v>
      </c>
      <c r="C3873" s="123">
        <v>4.24</v>
      </c>
      <c r="D3873" s="73">
        <f t="shared" si="150"/>
        <v>4.24E-2</v>
      </c>
    </row>
    <row r="3874" spans="2:4">
      <c r="B3874" s="121">
        <v>45589</v>
      </c>
      <c r="C3874" s="123">
        <v>4.21</v>
      </c>
      <c r="D3874" s="73">
        <f t="shared" si="150"/>
        <v>4.2099999999999999E-2</v>
      </c>
    </row>
    <row r="3875" spans="2:4">
      <c r="B3875" s="121">
        <v>45590</v>
      </c>
      <c r="C3875" s="123">
        <v>4.25</v>
      </c>
      <c r="D3875" s="73">
        <f t="shared" si="150"/>
        <v>4.2500000000000003E-2</v>
      </c>
    </row>
    <row r="3876" spans="2:4">
      <c r="B3876" s="121">
        <v>45593</v>
      </c>
      <c r="C3876" s="123">
        <v>4.28</v>
      </c>
      <c r="D3876" s="73">
        <f t="shared" si="150"/>
        <v>4.2800000000000005E-2</v>
      </c>
    </row>
    <row r="3877" spans="2:4">
      <c r="B3877" s="121">
        <v>45594</v>
      </c>
      <c r="C3877" s="123">
        <v>4.28</v>
      </c>
      <c r="D3877" s="73">
        <f t="shared" si="150"/>
        <v>4.2800000000000005E-2</v>
      </c>
    </row>
    <row r="3878" spans="2:4">
      <c r="B3878" s="121">
        <v>45595</v>
      </c>
      <c r="C3878" s="123">
        <v>4.29</v>
      </c>
      <c r="D3878" s="73">
        <f t="shared" si="150"/>
        <v>4.2900000000000001E-2</v>
      </c>
    </row>
    <row r="3879" spans="2:4">
      <c r="B3879" s="121">
        <v>45596</v>
      </c>
      <c r="C3879" s="123">
        <v>4.28</v>
      </c>
      <c r="D3879" s="73">
        <f t="shared" si="150"/>
        <v>4.2800000000000005E-2</v>
      </c>
    </row>
    <row r="3880" spans="2:4">
      <c r="B3880" s="121">
        <v>45597</v>
      </c>
      <c r="C3880" s="123">
        <v>4.37</v>
      </c>
      <c r="D3880" s="73">
        <f t="shared" si="150"/>
        <v>4.3700000000000003E-2</v>
      </c>
    </row>
    <row r="3881" spans="2:4">
      <c r="B3881" s="121">
        <v>45600</v>
      </c>
      <c r="C3881" s="123">
        <v>4.3099999999999996</v>
      </c>
      <c r="D3881" s="73">
        <f t="shared" si="150"/>
        <v>4.3099999999999999E-2</v>
      </c>
    </row>
    <row r="3882" spans="2:4">
      <c r="B3882" s="121">
        <v>45601</v>
      </c>
      <c r="C3882" s="123">
        <v>4.26</v>
      </c>
      <c r="D3882" s="73">
        <f t="shared" si="150"/>
        <v>4.2599999999999999E-2</v>
      </c>
    </row>
    <row r="3883" spans="2:4">
      <c r="B3883" s="121">
        <v>45602</v>
      </c>
      <c r="C3883" s="123">
        <v>4.42</v>
      </c>
      <c r="D3883" s="73">
        <f t="shared" si="150"/>
        <v>4.4199999999999996E-2</v>
      </c>
    </row>
    <row r="3884" spans="2:4">
      <c r="B3884" s="121">
        <v>45603</v>
      </c>
      <c r="C3884" s="123">
        <v>4.3099999999999996</v>
      </c>
      <c r="D3884" s="73">
        <f t="shared" si="150"/>
        <v>4.3099999999999999E-2</v>
      </c>
    </row>
    <row r="3885" spans="2:4">
      <c r="B3885" s="121">
        <v>45604</v>
      </c>
      <c r="C3885" s="123">
        <v>4.3</v>
      </c>
      <c r="D3885" s="73">
        <f t="shared" si="150"/>
        <v>4.2999999999999997E-2</v>
      </c>
    </row>
    <row r="3886" spans="2:4">
      <c r="B3886" s="121">
        <v>45607</v>
      </c>
      <c r="C3886" s="123" t="s">
        <v>325</v>
      </c>
      <c r="D3886" s="73">
        <f t="shared" si="150"/>
        <v>4.2999999999999997E-2</v>
      </c>
    </row>
    <row r="3887" spans="2:4">
      <c r="B3887" s="121">
        <v>45608</v>
      </c>
      <c r="C3887" s="123">
        <v>4.43</v>
      </c>
      <c r="D3887" s="73">
        <f t="shared" si="150"/>
        <v>4.4299999999999999E-2</v>
      </c>
    </row>
    <row r="3888" spans="2:4">
      <c r="B3888" s="121">
        <v>45609</v>
      </c>
      <c r="C3888" s="123">
        <v>4.4400000000000004</v>
      </c>
      <c r="D3888" s="73">
        <f t="shared" si="150"/>
        <v>4.4400000000000002E-2</v>
      </c>
    </row>
    <row r="3889" spans="2:4">
      <c r="B3889" s="121">
        <v>45610</v>
      </c>
      <c r="C3889" s="123">
        <v>4.43</v>
      </c>
      <c r="D3889" s="73">
        <f t="shared" si="150"/>
        <v>4.4299999999999999E-2</v>
      </c>
    </row>
    <row r="3890" spans="2:4">
      <c r="B3890" s="121">
        <v>45611</v>
      </c>
      <c r="C3890" s="123">
        <v>4.43</v>
      </c>
      <c r="D3890" s="73">
        <f t="shared" si="150"/>
        <v>4.4299999999999999E-2</v>
      </c>
    </row>
    <row r="3891" spans="2:4">
      <c r="B3891" s="121">
        <v>45614</v>
      </c>
      <c r="C3891" s="123">
        <v>4.42</v>
      </c>
      <c r="D3891" s="73">
        <f t="shared" si="150"/>
        <v>4.4199999999999996E-2</v>
      </c>
    </row>
    <row r="3892" spans="2:4">
      <c r="B3892" s="121">
        <v>45615</v>
      </c>
      <c r="C3892" s="123">
        <v>4.3899999999999997</v>
      </c>
      <c r="D3892" s="73">
        <f t="shared" si="150"/>
        <v>4.3899999999999995E-2</v>
      </c>
    </row>
    <row r="3893" spans="2:4">
      <c r="B3893" s="121">
        <v>45616</v>
      </c>
      <c r="C3893" s="123">
        <v>4.41</v>
      </c>
      <c r="D3893" s="73">
        <f t="shared" si="150"/>
        <v>4.41E-2</v>
      </c>
    </row>
    <row r="3894" spans="2:4">
      <c r="B3894" s="121">
        <v>45617</v>
      </c>
      <c r="C3894" s="123">
        <v>4.43</v>
      </c>
      <c r="D3894" s="73">
        <f t="shared" si="150"/>
        <v>4.4299999999999999E-2</v>
      </c>
    </row>
    <row r="3895" spans="2:4">
      <c r="B3895" s="121">
        <v>45618</v>
      </c>
      <c r="C3895" s="123">
        <v>4.41</v>
      </c>
      <c r="D3895" s="73">
        <f t="shared" si="150"/>
        <v>4.41E-2</v>
      </c>
    </row>
    <row r="3896" spans="2:4">
      <c r="B3896" s="121">
        <v>45621</v>
      </c>
      <c r="C3896" s="123">
        <v>4.2699999999999996</v>
      </c>
      <c r="D3896" s="73">
        <f t="shared" si="150"/>
        <v>4.2699999999999995E-2</v>
      </c>
    </row>
    <row r="3897" spans="2:4">
      <c r="B3897" s="121">
        <v>45622</v>
      </c>
      <c r="C3897" s="123">
        <v>4.3</v>
      </c>
      <c r="D3897" s="73">
        <f t="shared" si="150"/>
        <v>4.2999999999999997E-2</v>
      </c>
    </row>
    <row r="3898" spans="2:4">
      <c r="B3898" s="121">
        <v>45623</v>
      </c>
      <c r="C3898" s="123">
        <v>4.25</v>
      </c>
      <c r="D3898" s="73">
        <f t="shared" si="150"/>
        <v>4.2500000000000003E-2</v>
      </c>
    </row>
    <row r="3899" spans="2:4">
      <c r="B3899" s="121">
        <v>45624</v>
      </c>
      <c r="C3899" s="123" t="s">
        <v>325</v>
      </c>
      <c r="D3899" s="73">
        <f t="shared" si="150"/>
        <v>4.2500000000000003E-2</v>
      </c>
    </row>
    <row r="3900" spans="2:4">
      <c r="B3900" s="121">
        <v>45625</v>
      </c>
      <c r="C3900" s="123">
        <v>4.18</v>
      </c>
      <c r="D3900" s="73">
        <f t="shared" si="150"/>
        <v>4.1799999999999997E-2</v>
      </c>
    </row>
    <row r="3901" spans="2:4">
      <c r="B3901" s="121">
        <v>45628</v>
      </c>
      <c r="C3901" s="123">
        <v>4.1900000000000004</v>
      </c>
      <c r="D3901" s="73">
        <f t="shared" si="150"/>
        <v>4.1900000000000007E-2</v>
      </c>
    </row>
    <row r="3902" spans="2:4">
      <c r="B3902" s="121">
        <v>45629</v>
      </c>
      <c r="C3902" s="123">
        <v>4.2300000000000004</v>
      </c>
      <c r="D3902" s="73">
        <f t="shared" si="150"/>
        <v>4.2300000000000004E-2</v>
      </c>
    </row>
    <row r="3903" spans="2:4">
      <c r="B3903" s="121">
        <v>45630</v>
      </c>
      <c r="C3903" s="123">
        <v>4.1900000000000004</v>
      </c>
      <c r="D3903" s="73">
        <f t="shared" si="150"/>
        <v>4.1900000000000007E-2</v>
      </c>
    </row>
    <row r="3904" spans="2:4">
      <c r="B3904" s="121">
        <v>45631</v>
      </c>
      <c r="C3904" s="123">
        <v>4.17</v>
      </c>
      <c r="D3904" s="73">
        <f t="shared" si="150"/>
        <v>4.1700000000000001E-2</v>
      </c>
    </row>
    <row r="3905" spans="2:4">
      <c r="B3905" s="121">
        <v>45632</v>
      </c>
      <c r="C3905" s="123">
        <v>4.1500000000000004</v>
      </c>
      <c r="D3905" s="73">
        <f t="shared" si="150"/>
        <v>4.1500000000000002E-2</v>
      </c>
    </row>
    <row r="3906" spans="2:4">
      <c r="B3906" s="121">
        <v>45635</v>
      </c>
      <c r="C3906" s="123">
        <v>4.2</v>
      </c>
      <c r="D3906" s="73">
        <f t="shared" si="150"/>
        <v>4.2000000000000003E-2</v>
      </c>
    </row>
    <row r="3907" spans="2:4">
      <c r="B3907" s="121">
        <v>45636</v>
      </c>
      <c r="C3907" s="123">
        <v>4.22</v>
      </c>
      <c r="D3907" s="73">
        <f t="shared" si="150"/>
        <v>4.2199999999999994E-2</v>
      </c>
    </row>
    <row r="3908" spans="2:4">
      <c r="B3908" s="121">
        <v>45637</v>
      </c>
      <c r="C3908" s="123">
        <v>4.26</v>
      </c>
      <c r="D3908" s="73">
        <f t="shared" si="150"/>
        <v>4.2599999999999999E-2</v>
      </c>
    </row>
    <row r="3909" spans="2:4">
      <c r="B3909" s="121">
        <v>45638</v>
      </c>
      <c r="C3909" s="123">
        <v>4.32</v>
      </c>
      <c r="D3909" s="73">
        <f t="shared" si="150"/>
        <v>4.3200000000000002E-2</v>
      </c>
    </row>
    <row r="3910" spans="2:4">
      <c r="B3910" s="121">
        <v>45639</v>
      </c>
      <c r="C3910" s="123">
        <v>4.4000000000000004</v>
      </c>
      <c r="D3910" s="73">
        <f t="shared" si="150"/>
        <v>4.4000000000000004E-2</v>
      </c>
    </row>
    <row r="3911" spans="2:4">
      <c r="B3911" s="121">
        <v>45642</v>
      </c>
      <c r="C3911" s="123">
        <v>4.3899999999999997</v>
      </c>
      <c r="D3911" s="73">
        <f t="shared" si="150"/>
        <v>4.3899999999999995E-2</v>
      </c>
    </row>
    <row r="3912" spans="2:4">
      <c r="B3912" s="121">
        <v>45643</v>
      </c>
      <c r="C3912" s="123">
        <v>4.4000000000000004</v>
      </c>
      <c r="D3912" s="73">
        <f t="shared" si="150"/>
        <v>4.4000000000000004E-2</v>
      </c>
    </row>
    <row r="3913" spans="2:4">
      <c r="B3913" s="121">
        <v>45644</v>
      </c>
      <c r="C3913" s="123">
        <v>4.5</v>
      </c>
      <c r="D3913" s="73">
        <f t="shared" si="150"/>
        <v>4.4999999999999998E-2</v>
      </c>
    </row>
    <row r="3914" spans="2:4">
      <c r="B3914" s="121">
        <v>45645</v>
      </c>
      <c r="C3914" s="123">
        <v>4.57</v>
      </c>
      <c r="D3914" s="73">
        <f t="shared" si="150"/>
        <v>4.5700000000000005E-2</v>
      </c>
    </row>
    <row r="3915" spans="2:4">
      <c r="B3915" s="121">
        <v>45646</v>
      </c>
      <c r="C3915" s="123">
        <v>4.5199999999999996</v>
      </c>
      <c r="D3915" s="73">
        <f t="shared" ref="D3915:D3922" si="151">IF(LEN(C3915)=0,#N/A,IF(C3915="ND",D3914,C3915/100))</f>
        <v>4.5199999999999997E-2</v>
      </c>
    </row>
    <row r="3916" spans="2:4">
      <c r="B3916" s="121">
        <v>45649</v>
      </c>
      <c r="C3916" s="123">
        <v>4.59</v>
      </c>
      <c r="D3916" s="73">
        <f t="shared" si="151"/>
        <v>4.5899999999999996E-2</v>
      </c>
    </row>
    <row r="3917" spans="2:4">
      <c r="B3917" s="121">
        <v>45650</v>
      </c>
      <c r="C3917" s="123">
        <v>4.59</v>
      </c>
      <c r="D3917" s="73">
        <f t="shared" si="151"/>
        <v>4.5899999999999996E-2</v>
      </c>
    </row>
    <row r="3918" spans="2:4">
      <c r="B3918" s="121">
        <v>45651</v>
      </c>
      <c r="C3918" s="123" t="s">
        <v>325</v>
      </c>
      <c r="D3918" s="73">
        <f t="shared" si="151"/>
        <v>4.5899999999999996E-2</v>
      </c>
    </row>
    <row r="3919" spans="2:4">
      <c r="B3919" s="121">
        <v>45652</v>
      </c>
      <c r="C3919" s="123">
        <v>4.58</v>
      </c>
      <c r="D3919" s="73">
        <f t="shared" si="151"/>
        <v>4.58E-2</v>
      </c>
    </row>
    <row r="3920" spans="2:4">
      <c r="B3920" s="121">
        <v>45653</v>
      </c>
      <c r="C3920" s="123">
        <v>4.62</v>
      </c>
      <c r="D3920" s="73">
        <f t="shared" si="151"/>
        <v>4.6199999999999998E-2</v>
      </c>
    </row>
    <row r="3921" spans="2:4">
      <c r="B3921" s="121">
        <v>45656</v>
      </c>
      <c r="C3921" s="123">
        <v>4.55</v>
      </c>
      <c r="D3921" s="73">
        <f t="shared" si="151"/>
        <v>4.5499999999999999E-2</v>
      </c>
    </row>
    <row r="3922" spans="2:4">
      <c r="B3922" s="121">
        <v>45657</v>
      </c>
      <c r="C3922" s="123">
        <v>4.58</v>
      </c>
      <c r="D3922" s="73">
        <f t="shared" si="151"/>
        <v>4.58E-2</v>
      </c>
    </row>
    <row r="3923" spans="2:4">
      <c r="B3923" s="121"/>
      <c r="C3923" s="123"/>
      <c r="D3923" s="73"/>
    </row>
    <row r="3924" spans="2:4">
      <c r="B3924" s="121"/>
      <c r="C3924" s="123"/>
      <c r="D3924" s="73"/>
    </row>
    <row r="3925" spans="2:4">
      <c r="B3925" s="121"/>
      <c r="C3925" s="123"/>
      <c r="D3925" s="73"/>
    </row>
    <row r="3926" spans="2:4">
      <c r="B3926" s="121"/>
      <c r="C3926" s="123"/>
      <c r="D3926" s="73"/>
    </row>
    <row r="3927" spans="2:4">
      <c r="B3927" s="121"/>
      <c r="C3927" s="123"/>
      <c r="D3927" s="73"/>
    </row>
    <row r="3928" spans="2:4">
      <c r="B3928" s="121"/>
      <c r="C3928" s="123"/>
      <c r="D3928" s="73"/>
    </row>
    <row r="3929" spans="2:4">
      <c r="B3929" s="121"/>
      <c r="C3929" s="123"/>
      <c r="D3929" s="73"/>
    </row>
    <row r="3930" spans="2:4">
      <c r="B3930" s="121"/>
      <c r="C3930" s="123"/>
      <c r="D3930" s="73"/>
    </row>
    <row r="3931" spans="2:4">
      <c r="B3931" s="121"/>
      <c r="C3931" s="123"/>
      <c r="D3931" s="73"/>
    </row>
    <row r="3932" spans="2:4">
      <c r="B3932" s="121"/>
      <c r="C3932" s="123"/>
      <c r="D3932" s="73"/>
    </row>
    <row r="3933" spans="2:4">
      <c r="B3933" s="121"/>
      <c r="C3933" s="123"/>
      <c r="D3933" s="73"/>
    </row>
    <row r="3934" spans="2:4">
      <c r="B3934" s="121"/>
      <c r="C3934" s="123"/>
      <c r="D3934" s="73"/>
    </row>
    <row r="3935" spans="2:4">
      <c r="B3935" s="121"/>
      <c r="C3935" s="123"/>
      <c r="D3935" s="73"/>
    </row>
    <row r="3936" spans="2:4">
      <c r="B3936" s="121"/>
      <c r="C3936" s="123"/>
      <c r="D3936" s="73"/>
    </row>
    <row r="3937" spans="2:4">
      <c r="B3937" s="121"/>
      <c r="C3937" s="123"/>
      <c r="D3937" s="73"/>
    </row>
    <row r="3938" spans="2:4">
      <c r="B3938" s="121"/>
      <c r="C3938" s="123"/>
      <c r="D3938" s="73"/>
    </row>
    <row r="3939" spans="2:4">
      <c r="B3939" s="121"/>
      <c r="C3939" s="123"/>
      <c r="D3939" s="73"/>
    </row>
    <row r="3940" spans="2:4">
      <c r="B3940" s="121"/>
      <c r="C3940" s="123"/>
      <c r="D3940" s="73"/>
    </row>
    <row r="3941" spans="2:4">
      <c r="B3941" s="121"/>
      <c r="C3941" s="123"/>
      <c r="D3941" s="73"/>
    </row>
    <row r="3942" spans="2:4">
      <c r="B3942" s="121"/>
      <c r="C3942" s="123"/>
      <c r="D3942" s="73"/>
    </row>
    <row r="3943" spans="2:4">
      <c r="B3943" s="121"/>
      <c r="C3943" s="123"/>
      <c r="D3943" s="73"/>
    </row>
    <row r="3944" spans="2:4">
      <c r="B3944" s="121"/>
      <c r="C3944" s="123"/>
      <c r="D3944" s="73"/>
    </row>
    <row r="3945" spans="2:4">
      <c r="B3945" s="121"/>
      <c r="C3945" s="123"/>
      <c r="D3945" s="73"/>
    </row>
    <row r="3946" spans="2:4">
      <c r="B3946" s="121"/>
      <c r="C3946" s="123"/>
      <c r="D3946" s="73"/>
    </row>
    <row r="3947" spans="2:4">
      <c r="B3947" s="121"/>
      <c r="C3947" s="123"/>
      <c r="D3947" s="73"/>
    </row>
    <row r="3948" spans="2:4">
      <c r="B3948" s="121"/>
      <c r="C3948" s="123"/>
      <c r="D3948" s="73"/>
    </row>
    <row r="3949" spans="2:4">
      <c r="B3949" s="121"/>
      <c r="C3949" s="123"/>
      <c r="D3949" s="73"/>
    </row>
    <row r="3950" spans="2:4">
      <c r="B3950" s="121"/>
      <c r="C3950" s="123"/>
      <c r="D3950" s="73"/>
    </row>
    <row r="3951" spans="2:4">
      <c r="B3951" s="121"/>
      <c r="C3951" s="123"/>
      <c r="D3951" s="73"/>
    </row>
    <row r="3952" spans="2:4">
      <c r="B3952" s="121"/>
      <c r="C3952" s="123"/>
      <c r="D3952" s="73"/>
    </row>
    <row r="3953" spans="2:4">
      <c r="B3953" s="121"/>
      <c r="C3953" s="123"/>
      <c r="D3953" s="73"/>
    </row>
    <row r="3954" spans="2:4">
      <c r="B3954" s="121"/>
      <c r="C3954" s="123"/>
      <c r="D3954" s="73"/>
    </row>
    <row r="3955" spans="2:4">
      <c r="B3955" s="121"/>
      <c r="C3955" s="123"/>
      <c r="D3955" s="73"/>
    </row>
    <row r="3956" spans="2:4">
      <c r="B3956" s="121"/>
      <c r="C3956" s="123"/>
      <c r="D3956" s="73"/>
    </row>
    <row r="3957" spans="2:4">
      <c r="B3957" s="121"/>
      <c r="C3957" s="123"/>
      <c r="D3957" s="73"/>
    </row>
    <row r="3958" spans="2:4">
      <c r="B3958" s="121"/>
      <c r="C3958" s="123"/>
      <c r="D3958" s="73"/>
    </row>
    <row r="3959" spans="2:4">
      <c r="B3959" s="121"/>
      <c r="C3959" s="123"/>
      <c r="D3959" s="73"/>
    </row>
    <row r="3960" spans="2:4">
      <c r="B3960" s="121"/>
      <c r="C3960" s="123"/>
      <c r="D3960" s="73"/>
    </row>
    <row r="3961" spans="2:4">
      <c r="B3961" s="121"/>
      <c r="C3961" s="123"/>
      <c r="D3961" s="73"/>
    </row>
    <row r="3962" spans="2:4">
      <c r="B3962" s="121"/>
      <c r="C3962" s="123"/>
      <c r="D3962" s="73"/>
    </row>
    <row r="3963" spans="2:4">
      <c r="B3963" s="121"/>
      <c r="C3963" s="123"/>
      <c r="D3963" s="73"/>
    </row>
    <row r="3964" spans="2:4">
      <c r="B3964" s="121"/>
      <c r="C3964" s="123"/>
      <c r="D3964" s="73"/>
    </row>
    <row r="3965" spans="2:4">
      <c r="B3965" s="121"/>
      <c r="C3965" s="123"/>
      <c r="D3965" s="73"/>
    </row>
    <row r="3966" spans="2:4">
      <c r="B3966" s="121"/>
      <c r="C3966" s="123"/>
      <c r="D3966" s="73"/>
    </row>
    <row r="3967" spans="2:4">
      <c r="B3967" s="121"/>
      <c r="C3967" s="123"/>
      <c r="D3967" s="73"/>
    </row>
    <row r="3968" spans="2:4">
      <c r="B3968" s="121"/>
      <c r="C3968" s="123"/>
      <c r="D3968" s="73"/>
    </row>
    <row r="3969" spans="2:4">
      <c r="B3969" s="121"/>
      <c r="C3969" s="123"/>
      <c r="D3969" s="73"/>
    </row>
    <row r="3970" spans="2:4">
      <c r="B3970" s="121"/>
      <c r="C3970" s="123"/>
      <c r="D3970" s="73"/>
    </row>
    <row r="3971" spans="2:4">
      <c r="B3971" s="121"/>
      <c r="C3971" s="123"/>
      <c r="D3971" s="73"/>
    </row>
    <row r="3972" spans="2:4">
      <c r="B3972" s="121"/>
      <c r="C3972" s="123"/>
      <c r="D3972" s="73"/>
    </row>
    <row r="3973" spans="2:4">
      <c r="B3973" s="121"/>
      <c r="C3973" s="123"/>
      <c r="D3973" s="73"/>
    </row>
    <row r="3974" spans="2:4">
      <c r="B3974" s="121"/>
      <c r="C3974" s="123"/>
      <c r="D3974" s="73"/>
    </row>
    <row r="3975" spans="2:4">
      <c r="B3975" s="121"/>
      <c r="C3975" s="123"/>
      <c r="D3975" s="73"/>
    </row>
    <row r="3976" spans="2:4">
      <c r="B3976" s="121"/>
      <c r="C3976" s="123"/>
      <c r="D3976" s="73"/>
    </row>
    <row r="3977" spans="2:4">
      <c r="B3977" s="121"/>
      <c r="C3977" s="123"/>
      <c r="D3977" s="73"/>
    </row>
    <row r="3978" spans="2:4">
      <c r="B3978" s="121"/>
      <c r="C3978" s="123"/>
      <c r="D3978" s="73"/>
    </row>
    <row r="3979" spans="2:4">
      <c r="B3979" s="121"/>
      <c r="C3979" s="123"/>
      <c r="D3979" s="73"/>
    </row>
    <row r="3980" spans="2:4">
      <c r="B3980" s="121"/>
      <c r="C3980" s="123"/>
      <c r="D3980" s="73"/>
    </row>
    <row r="3981" spans="2:4">
      <c r="B3981" s="121"/>
      <c r="C3981" s="123"/>
      <c r="D3981" s="73"/>
    </row>
    <row r="3982" spans="2:4">
      <c r="B3982" s="121"/>
      <c r="C3982" s="123"/>
      <c r="D3982" s="73"/>
    </row>
    <row r="3983" spans="2:4">
      <c r="B3983" s="121"/>
      <c r="C3983" s="123"/>
      <c r="D3983" s="73"/>
    </row>
    <row r="3984" spans="2:4">
      <c r="B3984" s="121"/>
      <c r="C3984" s="123"/>
      <c r="D3984" s="73"/>
    </row>
    <row r="3985" spans="2:4">
      <c r="B3985" s="121"/>
      <c r="C3985" s="123"/>
      <c r="D3985" s="73"/>
    </row>
    <row r="3986" spans="2:4">
      <c r="B3986" s="121"/>
      <c r="C3986" s="123"/>
      <c r="D3986" s="73"/>
    </row>
    <row r="3987" spans="2:4">
      <c r="B3987" s="121"/>
      <c r="C3987" s="123"/>
      <c r="D3987" s="73"/>
    </row>
    <row r="3988" spans="2:4">
      <c r="B3988" s="121"/>
      <c r="C3988" s="123"/>
      <c r="D3988" s="73"/>
    </row>
    <row r="3989" spans="2:4">
      <c r="B3989" s="121"/>
      <c r="C3989" s="123"/>
      <c r="D3989" s="73"/>
    </row>
    <row r="3990" spans="2:4">
      <c r="B3990" s="121"/>
      <c r="C3990" s="123"/>
      <c r="D3990" s="73"/>
    </row>
    <row r="3991" spans="2:4">
      <c r="B3991" s="121"/>
      <c r="C3991" s="123"/>
      <c r="D3991" s="73"/>
    </row>
    <row r="3992" spans="2:4">
      <c r="B3992" s="121"/>
      <c r="C3992" s="123"/>
      <c r="D3992" s="73"/>
    </row>
    <row r="3993" spans="2:4">
      <c r="B3993" s="121"/>
      <c r="C3993" s="123"/>
      <c r="D3993" s="73"/>
    </row>
    <row r="3994" spans="2:4">
      <c r="B3994" s="121"/>
      <c r="C3994" s="123"/>
      <c r="D3994" s="73"/>
    </row>
    <row r="3995" spans="2:4">
      <c r="B3995" s="121"/>
      <c r="C3995" s="123"/>
      <c r="D3995" s="73"/>
    </row>
    <row r="3996" spans="2:4">
      <c r="B3996" s="121"/>
      <c r="C3996" s="123"/>
      <c r="D3996" s="73"/>
    </row>
    <row r="3997" spans="2:4">
      <c r="B3997" s="121"/>
      <c r="C3997" s="123"/>
      <c r="D3997" s="73"/>
    </row>
    <row r="3998" spans="2:4">
      <c r="B3998" s="121"/>
      <c r="C3998" s="123"/>
      <c r="D3998" s="73"/>
    </row>
    <row r="3999" spans="2:4">
      <c r="B3999" s="121"/>
      <c r="C3999" s="123"/>
      <c r="D3999" s="73"/>
    </row>
    <row r="4000" spans="2:4">
      <c r="B4000" s="121"/>
      <c r="C4000" s="123"/>
      <c r="D4000" s="73"/>
    </row>
  </sheetData>
  <mergeCells count="1">
    <mergeCell ref="A1:B1"/>
  </mergeCells>
  <phoneticPr fontId="6" type="noConversion"/>
  <hyperlinks>
    <hyperlink ref="C23" r:id="rId1" xr:uid="{00000000-0004-0000-0600-000000000000}"/>
    <hyperlink ref="A1" location="Index!A1" display="Return to Index" xr:uid="{4DD53F7D-C2E4-4048-9F15-32C7FE1950AE}"/>
    <hyperlink ref="A1:B1" location="Contents!A1" display="Go to Contents" xr:uid="{AB1565C3-A189-4A61-B0E9-5098B330A947}"/>
  </hyperlinks>
  <pageMargins left="0.25" right="0.25" top="0.28000000000000003" bottom="0.28000000000000003" header="0.2" footer="0.21"/>
  <pageSetup scale="71" orientation="portrait" horizontalDpi="1200" r:id="rId2"/>
  <headerFooter alignWithMargins="0"/>
  <ignoredErrors>
    <ignoredError sqref="D2488:D2500" evalError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1" tint="0.499984740745262"/>
    <outlinePr summaryBelow="0" summaryRight="0"/>
  </sheetPr>
  <dimension ref="A1:B5"/>
  <sheetViews>
    <sheetView showGridLines="0" workbookViewId="0">
      <selection sqref="A1:B1"/>
    </sheetView>
  </sheetViews>
  <sheetFormatPr defaultColWidth="9.140625" defaultRowHeight="12.75"/>
  <cols>
    <col min="1" max="1" width="3.5703125" style="36" customWidth="1"/>
    <col min="2" max="16384" width="9.140625" style="36"/>
  </cols>
  <sheetData>
    <row r="1" spans="1:2">
      <c r="A1" s="594" t="s">
        <v>346</v>
      </c>
      <c r="B1" s="596"/>
    </row>
    <row r="2" spans="1:2" ht="18.75">
      <c r="B2" s="106" t="s">
        <v>535</v>
      </c>
    </row>
    <row r="5" spans="1:2">
      <c r="B5" s="37" t="s">
        <v>553</v>
      </c>
    </row>
  </sheetData>
  <mergeCells count="1">
    <mergeCell ref="A1:B1"/>
  </mergeCells>
  <hyperlinks>
    <hyperlink ref="A1" location="Index!A1" display="Return to Index" xr:uid="{00000000-0004-0000-0700-000000000000}"/>
    <hyperlink ref="A1:B1" location="Contents!A1" display="Go to Contents" xr:uid="{00000000-0004-0000-0700-000001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1" tint="0.499984740745262"/>
    <outlinePr summaryBelow="0" summaryRight="0"/>
  </sheetPr>
  <dimension ref="A1:B5"/>
  <sheetViews>
    <sheetView showGridLines="0" workbookViewId="0">
      <selection sqref="A1:B1"/>
    </sheetView>
  </sheetViews>
  <sheetFormatPr defaultColWidth="9.140625" defaultRowHeight="12.75"/>
  <cols>
    <col min="1" max="1" width="3.5703125" style="36" customWidth="1"/>
    <col min="2" max="16384" width="9.140625" style="36"/>
  </cols>
  <sheetData>
    <row r="1" spans="1:2">
      <c r="A1" s="594" t="s">
        <v>346</v>
      </c>
      <c r="B1" s="596"/>
    </row>
    <row r="2" spans="1:2" ht="18.75">
      <c r="B2" s="106" t="s">
        <v>97</v>
      </c>
    </row>
    <row r="5" spans="1:2">
      <c r="B5" s="37" t="s">
        <v>553</v>
      </c>
    </row>
  </sheetData>
  <mergeCells count="1">
    <mergeCell ref="A1:B1"/>
  </mergeCells>
  <hyperlinks>
    <hyperlink ref="A1" location="Index!A1" display="Return to Index" xr:uid="{00000000-0004-0000-0800-000000000000}"/>
    <hyperlink ref="A1:B1" location="Contents!A1" display="Go to Contents" xr:uid="{00000000-0004-0000-0800-000001000000}"/>
  </hyperlink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7" ma:contentTypeDescription="Create a new document." ma:contentTypeScope="" ma:versionID="f53c0d30942bfe6c910c4e2897429e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061c04962a7159d673944312997e56f0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FCBBA9-C872-4E8D-B25B-BB510C670A56}">
  <ds:schemaRefs>
    <ds:schemaRef ds:uri="http://www.w3.org/XML/1998/namespace"/>
    <ds:schemaRef ds:uri="d964b0a4-682e-4bda-b6b2-77439f345c49"/>
    <ds:schemaRef ds:uri="http://schemas.microsoft.com/office/2006/documentManagement/types"/>
    <ds:schemaRef ds:uri="f75139fd-48b9-45c1-a4c7-52ae13733b4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a7db55e-2b16-4e8e-9efb-fab6e669a34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737727-91F8-481A-8156-17A5EBA48D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9B3D8-62A0-48A5-B3C2-F2F21F6D7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Contents</vt:lpstr>
      <vt:lpstr>Company List</vt:lpstr>
      <vt:lpstr>I. Index</vt:lpstr>
      <vt:lpstr>II. Category</vt:lpstr>
      <vt:lpstr>III. Total Return</vt:lpstr>
      <vt:lpstr>IV. 10Y Monthly</vt:lpstr>
      <vt:lpstr>V. 10Y Daily</vt:lpstr>
      <vt:lpstr>VI. NG Spot</vt:lpstr>
      <vt:lpstr>VII. NG Futures</vt:lpstr>
      <vt:lpstr>VIII. Returns by Quarter</vt:lpstr>
      <vt:lpstr>IX &amp; X. Sectors</vt:lpstr>
      <vt:lpstr>XI. Market Cap</vt:lpstr>
      <vt:lpstr>XII. EEI Market Cap</vt:lpstr>
      <vt:lpstr>XIII. Comp Category Return</vt:lpstr>
      <vt:lpstr>XIV. EEI Index Top 10</vt:lpstr>
      <vt:lpstr>Category_Calc</vt:lpstr>
      <vt:lpstr>MASTER</vt:lpstr>
      <vt:lpstr>Master_Lookup</vt:lpstr>
      <vt:lpstr>End</vt:lpstr>
      <vt:lpstr>Date_Business_Segmentation</vt:lpstr>
      <vt:lpstr>Date_Current_Year</vt:lpstr>
      <vt:lpstr>Date_EOP_Current</vt:lpstr>
      <vt:lpstr>Month_EOP_Current</vt:lpstr>
      <vt:lpstr>'Company List'!Print_Area</vt:lpstr>
      <vt:lpstr>Contents!Print_Area</vt:lpstr>
      <vt:lpstr>'II. Category'!Print_Area</vt:lpstr>
      <vt:lpstr>'III. Total Return'!Print_Area</vt:lpstr>
      <vt:lpstr>'IV. 10Y Monthly'!Print_Area</vt:lpstr>
      <vt:lpstr>'IX &amp; X. Sectors'!Print_Area</vt:lpstr>
      <vt:lpstr>'V. 10Y Daily'!Print_Area</vt:lpstr>
      <vt:lpstr>'VIII. Returns by Quarter'!Print_Area</vt:lpstr>
      <vt:lpstr>'XII. EEI Market Cap'!Print_Area</vt:lpstr>
      <vt:lpstr>Quarter_EOP_Current</vt:lpstr>
      <vt:lpstr>Quarter_EOP_Current_Full</vt:lpstr>
      <vt:lpstr>Quarter_Year_Qtr</vt:lpstr>
      <vt:lpstr>Settings_Columns_Hidden</vt:lpstr>
      <vt:lpstr>Settings_Sheets_Hidden</vt:lpstr>
      <vt:lpstr>Settings_Sheets_VeryHidden</vt:lpstr>
    </vt:vector>
  </TitlesOfParts>
  <Company>mindSHIFT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Martin</dc:creator>
  <cp:lastModifiedBy>Daniel Foy</cp:lastModifiedBy>
  <cp:lastPrinted>2014-01-09T17:19:11Z</cp:lastPrinted>
  <dcterms:created xsi:type="dcterms:W3CDTF">2005-10-11T17:42:31Z</dcterms:created>
  <dcterms:modified xsi:type="dcterms:W3CDTF">2025-03-10T18:05:02Z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{FC715CFB-B094-4C15-BCAA-EA499F22FEC3}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