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\Dropbox\YEAR END UPDATES\"/>
    </mc:Choice>
  </mc:AlternateContent>
  <xr:revisionPtr revIDLastSave="0" documentId="8_{DF68D9F6-4056-4342-884F-8743F130DF91}" xr6:coauthVersionLast="47" xr6:coauthVersionMax="47" xr10:uidLastSave="{00000000-0000-0000-0000-000000000000}"/>
  <bookViews>
    <workbookView xWindow="-120" yWindow="-120" windowWidth="38640" windowHeight="21390" tabRatio="812" xr2:uid="{00000000-000D-0000-FFFF-FFFF00000000}"/>
  </bookViews>
  <sheets>
    <sheet name="Contents" sheetId="84" r:id="rId1"/>
    <sheet name="Company List" sheetId="83" r:id="rId2"/>
    <sheet name="I. Sector Payout Ratio" sheetId="77" r:id="rId3"/>
    <sheet name="II. Sector Yield" sheetId="78" r:id="rId4"/>
    <sheet name="III. Dividend Patterns" sheetId="6" r:id="rId5"/>
    <sheet name="IV. Category Payout Ratio" sheetId="3" r:id="rId6"/>
    <sheet name="V. Category Yield" sheetId="4" r:id="rId7"/>
    <sheet name="VI. Dividend Summary" sheetId="14" r:id="rId8"/>
    <sheet name="VII. Free Cash Flow " sheetId="21" r:id="rId9"/>
    <sheet name="SPDR Payout" sheetId="80" state="hidden" r:id="rId10"/>
    <sheet name="SPDR Yield" sheetId="79" state="hidden" r:id="rId11"/>
    <sheet name="Patterns Worksheet" sheetId="82" state="hidden" r:id="rId12"/>
    <sheet name="Settings" sheetId="81" state="veryHidden" r:id="rId13"/>
    <sheet name="End" sheetId="28" r:id="rId14"/>
  </sheets>
  <externalReferences>
    <externalReference r:id="rId15"/>
    <externalReference r:id="rId16"/>
  </externalReferences>
  <definedNames>
    <definedName name="Date_Business_Segmentation" localSheetId="1">[1]Settings!$C$7</definedName>
    <definedName name="Date_Business_Segmentation" localSheetId="0">[1]Settings!$C$7</definedName>
    <definedName name="Date_Business_Segmentation">Settings!$C$7</definedName>
    <definedName name="Date_Current_Year" localSheetId="1">[1]Settings!$C$6</definedName>
    <definedName name="Date_Current_Year" localSheetId="0">[1]Settings!$C$6</definedName>
    <definedName name="Date_Current_Year">Settings!$C$6</definedName>
    <definedName name="Date_EOP_Current" localSheetId="1">[1]Settings!$F$6</definedName>
    <definedName name="Date_EOP_Current" localSheetId="0">[1]Settings!$F$6</definedName>
    <definedName name="Date_EOP_Current">Settings!$F$6</definedName>
    <definedName name="Date_EOP_Last">Settings!$F$7</definedName>
    <definedName name="Date_Payout_Ratio">Settings!$I$16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onth_EOP_Current" localSheetId="1">[1]Settings!$I$9</definedName>
    <definedName name="Month_EOP_Current" localSheetId="0">[1]Settings!$I$9</definedName>
    <definedName name="Month_EOP_Current">Settings!$I$9</definedName>
    <definedName name="Payout_Ratio_Lag">Settings!$F$9</definedName>
    <definedName name="_xlnm.Print_Area" localSheetId="1">'Company List'!$A$1:$D$51</definedName>
    <definedName name="_xlnm.Print_Area" localSheetId="0">Contents!$A$1:$D$51</definedName>
    <definedName name="Quarter_CY_Q1">Settings!$I$11</definedName>
    <definedName name="Quarter_CY_Q2">Settings!$I$12</definedName>
    <definedName name="Quarter_CY_Q3">Settings!$I$13</definedName>
    <definedName name="Quarter_CY_Q4">Settings!$I$14</definedName>
    <definedName name="Quarter_EOP_Current" localSheetId="1">[1]Settings!$I$6</definedName>
    <definedName name="Quarter_EOP_Current" localSheetId="0">[1]Settings!$I$6</definedName>
    <definedName name="Quarter_EOP_Current">Settings!$I$6</definedName>
    <definedName name="Quarter_EOP_Current_Full" localSheetId="1">[1]Settings!$I$7</definedName>
    <definedName name="Quarter_EOP_Current_Full" localSheetId="0">[1]Settings!$I$7</definedName>
    <definedName name="Quarter_EOP_Current_Full">Settings!$I$7</definedName>
    <definedName name="Quarter_Year_Qtr">[2]Settings!$I$11</definedName>
    <definedName name="Settings_Columns_Hidden">Settings!$L$6</definedName>
    <definedName name="Settings_Sheets_Hidden">Settings!$L$8:$L$12</definedName>
    <definedName name="Settings_Sheets_VeryHidden">Settings!$L$14:$L$18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6" l="1"/>
  <c r="E106" i="14" s="1"/>
  <c r="F105" i="14"/>
  <c r="F104" i="14"/>
  <c r="F103" i="14"/>
  <c r="F102" i="14"/>
  <c r="E105" i="14"/>
  <c r="E104" i="14"/>
  <c r="E103" i="14"/>
  <c r="E102" i="14"/>
  <c r="M37" i="6"/>
  <c r="F106" i="14" s="1"/>
  <c r="AR47" i="14"/>
  <c r="I9" i="81"/>
  <c r="I6" i="81" s="1"/>
  <c r="I7" i="81" s="1"/>
  <c r="M4" i="79"/>
  <c r="W4" i="79" s="1"/>
  <c r="AG4" i="79" s="1"/>
  <c r="N4" i="79"/>
  <c r="O4" i="79"/>
  <c r="P4" i="79"/>
  <c r="Q4" i="79"/>
  <c r="R4" i="79"/>
  <c r="S4" i="79"/>
  <c r="T4" i="79"/>
  <c r="U4" i="79"/>
  <c r="M4" i="80"/>
  <c r="N4" i="80"/>
  <c r="O4" i="80"/>
  <c r="P4" i="80"/>
  <c r="Q4" i="80"/>
  <c r="R4" i="80"/>
  <c r="S4" i="80"/>
  <c r="T4" i="80"/>
  <c r="U4" i="80"/>
  <c r="X7" i="3"/>
  <c r="B6" i="82"/>
  <c r="K4" i="82" l="1"/>
  <c r="L4" i="82"/>
  <c r="AC4" i="79"/>
  <c r="AM4" i="79" s="1"/>
  <c r="X4" i="80"/>
  <c r="AH4" i="80" s="1"/>
  <c r="AA4" i="80"/>
  <c r="AK4" i="80" s="1"/>
  <c r="Z4" i="79"/>
  <c r="AJ4" i="79" s="1"/>
  <c r="X4" i="79"/>
  <c r="AH4" i="79" s="1"/>
  <c r="AE4" i="79"/>
  <c r="AO4" i="79" s="1"/>
  <c r="AA4" i="79"/>
  <c r="AK4" i="79" s="1"/>
  <c r="AB4" i="80"/>
  <c r="AL4" i="80" s="1"/>
  <c r="AD4" i="80"/>
  <c r="AN4" i="80" s="1"/>
  <c r="Z4" i="80"/>
  <c r="AJ4" i="80" s="1"/>
  <c r="Y4" i="80"/>
  <c r="AI4" i="80" s="1"/>
  <c r="AD4" i="79"/>
  <c r="AN4" i="79" s="1"/>
  <c r="W4" i="80"/>
  <c r="AG4" i="80" s="1"/>
  <c r="AB4" i="79"/>
  <c r="AL4" i="79" s="1"/>
  <c r="Y4" i="79"/>
  <c r="AI4" i="79" s="1"/>
  <c r="AC4" i="80"/>
  <c r="AM4" i="80" s="1"/>
  <c r="AE4" i="80"/>
  <c r="AO4" i="80" s="1"/>
  <c r="AS4" i="79" l="1"/>
  <c r="AX4" i="79"/>
  <c r="AR4" i="79"/>
  <c r="AT4" i="79"/>
  <c r="AY4" i="79"/>
  <c r="AW4" i="80"/>
  <c r="AX4" i="80"/>
  <c r="AV4" i="80"/>
  <c r="AQ4" i="80"/>
  <c r="AR4" i="80"/>
  <c r="AT4" i="80"/>
  <c r="AS4" i="80"/>
  <c r="AU4" i="80"/>
  <c r="AV4" i="79"/>
  <c r="AY4" i="80"/>
  <c r="AQ4" i="79"/>
  <c r="AU4" i="79"/>
  <c r="AW4" i="79"/>
  <c r="C37" i="6"/>
  <c r="BE4" i="80" l="1"/>
  <c r="BF4" i="80"/>
  <c r="BG4" i="80"/>
  <c r="BH4" i="80"/>
  <c r="BA4" i="80"/>
  <c r="BI4" i="80"/>
  <c r="BB4" i="80"/>
  <c r="BC4" i="80"/>
  <c r="BD4" i="80"/>
  <c r="BB4" i="79"/>
  <c r="BC4" i="79"/>
  <c r="BD4" i="79"/>
  <c r="BE4" i="79"/>
  <c r="BF4" i="79"/>
  <c r="BG4" i="79"/>
  <c r="BH4" i="79"/>
  <c r="BA4" i="79"/>
  <c r="BI4" i="79"/>
  <c r="C67" i="14" l="1"/>
  <c r="C58" i="14"/>
  <c r="C53" i="14"/>
  <c r="C3" i="78"/>
  <c r="C4" i="4"/>
  <c r="C20" i="78"/>
  <c r="C21" i="77"/>
  <c r="C4" i="77"/>
  <c r="I14" i="81"/>
  <c r="I13" i="81"/>
  <c r="I12" i="81"/>
  <c r="I11" i="81"/>
  <c r="D102" i="14" l="1"/>
  <c r="D103" i="14"/>
  <c r="D104" i="14"/>
  <c r="C36" i="6"/>
  <c r="D105" i="14"/>
  <c r="I16" i="81"/>
  <c r="C61" i="14" l="1"/>
  <c r="C3" i="77"/>
  <c r="C17" i="3"/>
  <c r="C40" i="6"/>
  <c r="D17" i="78"/>
  <c r="C17" i="78"/>
  <c r="D16" i="78"/>
  <c r="C16" i="78"/>
  <c r="D15" i="78"/>
  <c r="C15" i="78"/>
  <c r="D14" i="78"/>
  <c r="C14" i="78"/>
  <c r="D13" i="78"/>
  <c r="C13" i="78"/>
  <c r="D12" i="78"/>
  <c r="C12" i="78"/>
  <c r="D11" i="78"/>
  <c r="C11" i="78"/>
  <c r="D10" i="78"/>
  <c r="C10" i="78"/>
  <c r="D9" i="78"/>
  <c r="C9" i="78"/>
  <c r="D17" i="77"/>
  <c r="C17" i="77"/>
  <c r="D16" i="77"/>
  <c r="C16" i="77"/>
  <c r="D15" i="77"/>
  <c r="C15" i="77"/>
  <c r="D14" i="77"/>
  <c r="C14" i="77"/>
  <c r="D13" i="77"/>
  <c r="C13" i="77"/>
  <c r="D12" i="77"/>
  <c r="C12" i="77"/>
  <c r="D11" i="77"/>
  <c r="C11" i="77"/>
  <c r="D10" i="77"/>
  <c r="C10" i="77"/>
  <c r="D9" i="77"/>
  <c r="C9" i="77"/>
  <c r="B4" i="82" l="1"/>
  <c r="Q10" i="21" l="1"/>
  <c r="P10" i="21"/>
  <c r="N10" i="21"/>
  <c r="M10" i="21"/>
  <c r="L10" i="21"/>
  <c r="J10" i="21"/>
  <c r="I10" i="21"/>
  <c r="H10" i="21"/>
  <c r="G10" i="21"/>
  <c r="F10" i="21"/>
  <c r="E10" i="21"/>
  <c r="K9" i="21"/>
  <c r="K8" i="21"/>
  <c r="K7" i="21"/>
  <c r="K10" i="21" l="1"/>
  <c r="B7" i="14" l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J19" i="6"/>
  <c r="J18" i="6" l="1"/>
  <c r="J17" i="6"/>
  <c r="J16" i="6" l="1"/>
  <c r="J15" i="6"/>
  <c r="J14" i="6"/>
  <c r="J13" i="6"/>
  <c r="J12" i="6"/>
  <c r="J11" i="6"/>
  <c r="J10" i="6"/>
  <c r="J9" i="6"/>
  <c r="J8" i="6"/>
  <c r="B22" i="14" l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G39" i="14" l="1"/>
  <c r="E12" i="14"/>
  <c r="G32" i="14"/>
  <c r="E22" i="14"/>
  <c r="E25" i="14"/>
  <c r="E20" i="14"/>
  <c r="E41" i="14"/>
  <c r="G37" i="14"/>
  <c r="E23" i="14"/>
  <c r="G11" i="14"/>
  <c r="E32" i="14"/>
  <c r="E82" i="14"/>
  <c r="E4" i="82" s="1"/>
  <c r="E30" i="14"/>
  <c r="E33" i="14"/>
  <c r="G42" i="14"/>
  <c r="G20" i="14"/>
  <c r="G43" i="14"/>
  <c r="E45" i="14"/>
  <c r="G19" i="14"/>
  <c r="E11" i="14"/>
  <c r="G21" i="14"/>
  <c r="G22" i="14"/>
  <c r="E81" i="14"/>
  <c r="D4" i="82" s="1"/>
  <c r="E24" i="14"/>
  <c r="G23" i="14"/>
  <c r="E16" i="14"/>
  <c r="G36" i="14"/>
  <c r="E18" i="14"/>
  <c r="E19" i="14"/>
  <c r="E43" i="14"/>
  <c r="G30" i="14"/>
  <c r="G24" i="14"/>
  <c r="E15" i="14"/>
  <c r="G13" i="14"/>
  <c r="G28" i="14"/>
  <c r="E35" i="14"/>
  <c r="E13" i="14"/>
  <c r="G12" i="14"/>
  <c r="G34" i="14"/>
  <c r="G7" i="14"/>
  <c r="E31" i="14"/>
  <c r="E28" i="14"/>
  <c r="G38" i="14"/>
  <c r="G45" i="14"/>
  <c r="E36" i="14"/>
  <c r="E29" i="14"/>
  <c r="G25" i="14"/>
  <c r="E26" i="14"/>
  <c r="E80" i="14"/>
  <c r="C4" i="82" s="1"/>
  <c r="E93" i="14"/>
  <c r="E38" i="14"/>
  <c r="G40" i="14"/>
  <c r="G33" i="14"/>
  <c r="E7" i="14"/>
  <c r="E73" i="14" s="1"/>
  <c r="X9" i="3" s="1"/>
  <c r="E21" i="14"/>
  <c r="E83" i="14"/>
  <c r="F4" i="82" s="1"/>
  <c r="E92" i="14"/>
  <c r="E9" i="14"/>
  <c r="G10" i="14"/>
  <c r="E8" i="14"/>
  <c r="G29" i="14"/>
  <c r="G14" i="14"/>
  <c r="E44" i="14"/>
  <c r="G41" i="14"/>
  <c r="G44" i="14"/>
  <c r="E40" i="14"/>
  <c r="E34" i="14"/>
  <c r="E27" i="14"/>
  <c r="E84" i="14"/>
  <c r="G4" i="82" s="1"/>
  <c r="F24" i="14"/>
  <c r="H24" i="14" s="1"/>
  <c r="G17" i="14"/>
  <c r="G15" i="14"/>
  <c r="F17" i="14"/>
  <c r="L17" i="14" s="1"/>
  <c r="E39" i="14"/>
  <c r="G35" i="14"/>
  <c r="F15" i="14"/>
  <c r="H15" i="14" s="1"/>
  <c r="F34" i="14"/>
  <c r="K34" i="14" s="1"/>
  <c r="L34" i="14"/>
  <c r="F38" i="14"/>
  <c r="H38" i="14" s="1"/>
  <c r="G26" i="14"/>
  <c r="F43" i="14"/>
  <c r="K43" i="14" s="1"/>
  <c r="E37" i="14"/>
  <c r="E17" i="14"/>
  <c r="G18" i="14"/>
  <c r="F35" i="14"/>
  <c r="F32" i="14"/>
  <c r="L32" i="14" s="1"/>
  <c r="F27" i="14"/>
  <c r="K27" i="14" s="1"/>
  <c r="E10" i="14"/>
  <c r="G27" i="14"/>
  <c r="F10" i="14"/>
  <c r="J10" i="14" s="1"/>
  <c r="E42" i="14"/>
  <c r="G31" i="14"/>
  <c r="G8" i="14"/>
  <c r="F18" i="14"/>
  <c r="H18" i="14" s="1"/>
  <c r="F23" i="14"/>
  <c r="J23" i="14" s="1"/>
  <c r="F12" i="14"/>
  <c r="J12" i="14" s="1"/>
  <c r="G9" i="14"/>
  <c r="F39" i="14"/>
  <c r="K39" i="14" s="1"/>
  <c r="F9" i="14"/>
  <c r="L9" i="14" s="1"/>
  <c r="F28" i="14"/>
  <c r="K28" i="14" s="1"/>
  <c r="F11" i="14"/>
  <c r="H11" i="14" s="1"/>
  <c r="F8" i="14"/>
  <c r="H8" i="14" s="1"/>
  <c r="F21" i="14"/>
  <c r="L21" i="14" s="1"/>
  <c r="G16" i="14"/>
  <c r="F36" i="14"/>
  <c r="H36" i="14" s="1"/>
  <c r="F37" i="14"/>
  <c r="J37" i="14" s="1"/>
  <c r="F25" i="14"/>
  <c r="J25" i="14" s="1"/>
  <c r="F7" i="14"/>
  <c r="H7" i="14" s="1"/>
  <c r="E85" i="14"/>
  <c r="H4" i="82" s="1"/>
  <c r="F33" i="14"/>
  <c r="K33" i="14" s="1"/>
  <c r="F31" i="14"/>
  <c r="K31" i="14" s="1"/>
  <c r="F42" i="14"/>
  <c r="L42" i="14" s="1"/>
  <c r="F30" i="14"/>
  <c r="K30" i="14" s="1"/>
  <c r="F29" i="14"/>
  <c r="K29" i="14" s="1"/>
  <c r="F16" i="14"/>
  <c r="J16" i="14" s="1"/>
  <c r="F40" i="14"/>
  <c r="L40" i="14" s="1"/>
  <c r="E14" i="14"/>
  <c r="F45" i="14"/>
  <c r="K45" i="14" s="1"/>
  <c r="F26" i="14"/>
  <c r="J26" i="14" s="1"/>
  <c r="F14" i="14"/>
  <c r="J14" i="14" s="1"/>
  <c r="F41" i="14"/>
  <c r="J41" i="14" s="1"/>
  <c r="F13" i="14"/>
  <c r="J13" i="14" s="1"/>
  <c r="F44" i="14"/>
  <c r="J44" i="14" s="1"/>
  <c r="F20" i="14"/>
  <c r="H20" i="14" s="1"/>
  <c r="F19" i="14"/>
  <c r="K19" i="14" s="1"/>
  <c r="F22" i="14"/>
  <c r="L22" i="14" s="1"/>
  <c r="K9" i="14" l="1"/>
  <c r="K32" i="14"/>
  <c r="J35" i="14"/>
  <c r="K35" i="14"/>
  <c r="L44" i="14"/>
  <c r="L45" i="14"/>
  <c r="L29" i="14"/>
  <c r="L25" i="14"/>
  <c r="L7" i="14"/>
  <c r="J29" i="14"/>
  <c r="I29" i="14" s="1"/>
  <c r="J36" i="14"/>
  <c r="L16" i="14"/>
  <c r="L20" i="14"/>
  <c r="L27" i="14"/>
  <c r="K38" i="14"/>
  <c r="J7" i="14"/>
  <c r="L23" i="14"/>
  <c r="L8" i="14"/>
  <c r="H29" i="14"/>
  <c r="L24" i="14"/>
  <c r="L26" i="14"/>
  <c r="H41" i="14"/>
  <c r="L12" i="14"/>
  <c r="J17" i="14"/>
  <c r="H34" i="14"/>
  <c r="L37" i="14"/>
  <c r="H25" i="14"/>
  <c r="H16" i="14"/>
  <c r="L38" i="14"/>
  <c r="E94" i="14"/>
  <c r="D7" i="77" s="1"/>
  <c r="L28" i="14"/>
  <c r="H17" i="14"/>
  <c r="L14" i="14"/>
  <c r="L43" i="14"/>
  <c r="H40" i="14"/>
  <c r="K40" i="14"/>
  <c r="L13" i="14"/>
  <c r="K7" i="14"/>
  <c r="L30" i="14"/>
  <c r="L35" i="14"/>
  <c r="L15" i="14"/>
  <c r="J32" i="14"/>
  <c r="I32" i="14" s="1"/>
  <c r="L41" i="14"/>
  <c r="K8" i="14"/>
  <c r="J27" i="14"/>
  <c r="I27" i="14" s="1"/>
  <c r="K26" i="14"/>
  <c r="I26" i="14" s="1"/>
  <c r="H14" i="14"/>
  <c r="G47" i="14"/>
  <c r="K14" i="14"/>
  <c r="I14" i="14" s="1"/>
  <c r="L33" i="14"/>
  <c r="K41" i="14"/>
  <c r="I41" i="14" s="1"/>
  <c r="H43" i="14"/>
  <c r="K17" i="14"/>
  <c r="H32" i="14"/>
  <c r="J18" i="14"/>
  <c r="H26" i="14"/>
  <c r="H22" i="14"/>
  <c r="H37" i="14"/>
  <c r="J33" i="14"/>
  <c r="I33" i="14" s="1"/>
  <c r="J30" i="14"/>
  <c r="I30" i="14" s="1"/>
  <c r="J19" i="14"/>
  <c r="I19" i="14" s="1"/>
  <c r="K22" i="14"/>
  <c r="K37" i="14"/>
  <c r="I37" i="14" s="1"/>
  <c r="J31" i="14"/>
  <c r="I31" i="14" s="1"/>
  <c r="K12" i="14"/>
  <c r="I12" i="14" s="1"/>
  <c r="H23" i="14"/>
  <c r="J22" i="14"/>
  <c r="K44" i="14"/>
  <c r="I44" i="14" s="1"/>
  <c r="H12" i="14"/>
  <c r="J8" i="14"/>
  <c r="I8" i="14" s="1"/>
  <c r="J43" i="14"/>
  <c r="I43" i="14" s="1"/>
  <c r="K23" i="14"/>
  <c r="I23" i="14" s="1"/>
  <c r="H35" i="14"/>
  <c r="H9" i="14"/>
  <c r="H44" i="14"/>
  <c r="H30" i="14"/>
  <c r="L31" i="14"/>
  <c r="K21" i="14"/>
  <c r="K36" i="14"/>
  <c r="I36" i="14" s="1"/>
  <c r="J45" i="14"/>
  <c r="I45" i="14" s="1"/>
  <c r="H42" i="14"/>
  <c r="H21" i="14"/>
  <c r="L39" i="14"/>
  <c r="L10" i="14"/>
  <c r="J11" i="14"/>
  <c r="L36" i="14"/>
  <c r="K42" i="14"/>
  <c r="J38" i="14"/>
  <c r="J15" i="14"/>
  <c r="J42" i="14"/>
  <c r="K16" i="14"/>
  <c r="I16" i="14" s="1"/>
  <c r="K10" i="14"/>
  <c r="I10" i="14" s="1"/>
  <c r="K13" i="14"/>
  <c r="I13" i="14" s="1"/>
  <c r="K25" i="14"/>
  <c r="I25" i="14" s="1"/>
  <c r="E86" i="14"/>
  <c r="I4" i="82" s="1"/>
  <c r="J34" i="14"/>
  <c r="I34" i="14" s="1"/>
  <c r="J28" i="14"/>
  <c r="I28" i="14" s="1"/>
  <c r="H27" i="14"/>
  <c r="K11" i="14"/>
  <c r="L11" i="14"/>
  <c r="H10" i="14"/>
  <c r="H13" i="14"/>
  <c r="J21" i="14"/>
  <c r="J20" i="14"/>
  <c r="L19" i="14"/>
  <c r="H31" i="14"/>
  <c r="J9" i="14"/>
  <c r="I9" i="14" s="1"/>
  <c r="K18" i="14"/>
  <c r="E74" i="14"/>
  <c r="X10" i="3" s="1"/>
  <c r="J24" i="14"/>
  <c r="J40" i="14"/>
  <c r="H33" i="14"/>
  <c r="L18" i="14"/>
  <c r="H19" i="14"/>
  <c r="J39" i="14"/>
  <c r="I39" i="14" s="1"/>
  <c r="K24" i="14"/>
  <c r="H45" i="14"/>
  <c r="H28" i="14"/>
  <c r="F74" i="14" s="1"/>
  <c r="D10" i="4" s="1"/>
  <c r="H39" i="14"/>
  <c r="K15" i="14"/>
  <c r="K20" i="14"/>
  <c r="I7" i="14" l="1"/>
  <c r="I35" i="14"/>
  <c r="I38" i="14"/>
  <c r="X8" i="3"/>
  <c r="J6" i="82"/>
  <c r="F73" i="14"/>
  <c r="D9" i="4" s="1"/>
  <c r="I11" i="14"/>
  <c r="I40" i="14"/>
  <c r="I18" i="14"/>
  <c r="I17" i="14"/>
  <c r="I22" i="14"/>
  <c r="J4" i="82"/>
  <c r="H47" i="14"/>
  <c r="I15" i="14"/>
  <c r="I42" i="14"/>
  <c r="I20" i="14"/>
  <c r="I21" i="14"/>
  <c r="D7" i="78" l="1"/>
  <c r="D8" i="4"/>
</calcChain>
</file>

<file path=xl/sharedStrings.xml><?xml version="1.0" encoding="utf-8"?>
<sst xmlns="http://schemas.openxmlformats.org/spreadsheetml/2006/main" count="1134" uniqueCount="332">
  <si>
    <t>Dividend Payout Ratio</t>
  </si>
  <si>
    <t>Sector</t>
  </si>
  <si>
    <t>Technology</t>
  </si>
  <si>
    <t>Dividend Yield</t>
  </si>
  <si>
    <t>Category</t>
  </si>
  <si>
    <t>Regulated</t>
  </si>
  <si>
    <t>Mostly Regulated</t>
  </si>
  <si>
    <t>Diversified</t>
  </si>
  <si>
    <t>Company Name</t>
  </si>
  <si>
    <t>Ticker</t>
  </si>
  <si>
    <t>Business Segment</t>
  </si>
  <si>
    <t>To</t>
  </si>
  <si>
    <t>From</t>
  </si>
  <si>
    <t>D</t>
  </si>
  <si>
    <t>Omitted</t>
  </si>
  <si>
    <t>ALLETE, Inc.</t>
  </si>
  <si>
    <t>ALE</t>
  </si>
  <si>
    <t>MR</t>
  </si>
  <si>
    <t>Alliant Energy Corporation</t>
  </si>
  <si>
    <t>LNT</t>
  </si>
  <si>
    <t>R</t>
  </si>
  <si>
    <t>AEE</t>
  </si>
  <si>
    <t>American Electric Power Company, Inc.</t>
  </si>
  <si>
    <t>AEP</t>
  </si>
  <si>
    <t>Avista Corporation</t>
  </si>
  <si>
    <t>AVA</t>
  </si>
  <si>
    <t>Black Hills Corporation</t>
  </si>
  <si>
    <t>BKH</t>
  </si>
  <si>
    <t>CenterPoint Energy, Inc.</t>
  </si>
  <si>
    <t>CNP</t>
  </si>
  <si>
    <t>CMS</t>
  </si>
  <si>
    <t>Consolidated Edison, Inc.</t>
  </si>
  <si>
    <t>ED</t>
  </si>
  <si>
    <t>DTE Energy Company</t>
  </si>
  <si>
    <t>DTE</t>
  </si>
  <si>
    <t>DUK</t>
  </si>
  <si>
    <t>EIX</t>
  </si>
  <si>
    <t>ETR</t>
  </si>
  <si>
    <t>Exelon Corporation</t>
  </si>
  <si>
    <t>EXC</t>
  </si>
  <si>
    <t>FE</t>
  </si>
  <si>
    <t>HE</t>
  </si>
  <si>
    <t>IDA</t>
  </si>
  <si>
    <t>MDU</t>
  </si>
  <si>
    <t>MGEE</t>
  </si>
  <si>
    <t>NI</t>
  </si>
  <si>
    <t>OGE Energy Corp.</t>
  </si>
  <si>
    <t>OGE</t>
  </si>
  <si>
    <t>OTTR</t>
  </si>
  <si>
    <t>PNW</t>
  </si>
  <si>
    <t>PPL Corporation</t>
  </si>
  <si>
    <t>PEG</t>
  </si>
  <si>
    <t>SRE</t>
  </si>
  <si>
    <t>SO</t>
  </si>
  <si>
    <t>UTL</t>
  </si>
  <si>
    <t>WEC</t>
  </si>
  <si>
    <t>XEL</t>
  </si>
  <si>
    <t>Industry Average</t>
  </si>
  <si>
    <t>Raised</t>
  </si>
  <si>
    <t>Lowered</t>
  </si>
  <si>
    <t>Total</t>
  </si>
  <si>
    <t>Ameren Corporation</t>
  </si>
  <si>
    <t>Last Action</t>
  </si>
  <si>
    <t>Portland General Electric Company</t>
  </si>
  <si>
    <t>POR</t>
  </si>
  <si>
    <t xml:space="preserve">Dividend Yield </t>
  </si>
  <si>
    <t>I. Sector Comparison, Dividend Payout Ratio</t>
  </si>
  <si>
    <t>II. Sector Comparison, Dividend Yield</t>
  </si>
  <si>
    <t>III. Dividend Patterns</t>
  </si>
  <si>
    <t>IV. Category Comparison, Dividend Payout Ratio</t>
  </si>
  <si>
    <t>V. Category Comparison, Dividend Yield</t>
  </si>
  <si>
    <t>NOTES</t>
  </si>
  <si>
    <t xml:space="preserve">Business Segmentation </t>
  </si>
  <si>
    <t>Financial</t>
  </si>
  <si>
    <t>EEI Index Companies</t>
  </si>
  <si>
    <t>VI. Dividends Summary</t>
  </si>
  <si>
    <t>CMS Energy Corporation</t>
  </si>
  <si>
    <t>Duke Energy Corporation</t>
  </si>
  <si>
    <t>Edison International</t>
  </si>
  <si>
    <t>Entergy Corporation</t>
  </si>
  <si>
    <t>FirstEnergy Corp.</t>
  </si>
  <si>
    <t>Hawaiian Electric Industries, Inc.</t>
  </si>
  <si>
    <t>IDACORP, Inc.</t>
  </si>
  <si>
    <t>MDU Resources Group, Inc.</t>
  </si>
  <si>
    <t>MGE Energy, Inc.</t>
  </si>
  <si>
    <t>NiSource Inc.</t>
  </si>
  <si>
    <t>NWE</t>
  </si>
  <si>
    <t>Otter Tail Corporation</t>
  </si>
  <si>
    <t>PG&amp;E Corporation</t>
  </si>
  <si>
    <t>Pinnacle West Capital Corporation</t>
  </si>
  <si>
    <t>PPL</t>
  </si>
  <si>
    <t>Public Service Enterprise Group Incorporated</t>
  </si>
  <si>
    <t>Sempra Energy</t>
  </si>
  <si>
    <t>Southern Company</t>
  </si>
  <si>
    <t>Unitil Corporation</t>
  </si>
  <si>
    <t xml:space="preserve">Dividend Per Share </t>
  </si>
  <si>
    <t>"NM" applies to companies with negative earnings or payout ratios greater than 200%.</t>
  </si>
  <si>
    <t>Consumer Discretionary</t>
  </si>
  <si>
    <t>Consumer Staples</t>
  </si>
  <si>
    <t>Energy</t>
  </si>
  <si>
    <t>Health Care</t>
  </si>
  <si>
    <t>Industrial</t>
  </si>
  <si>
    <t>Materials</t>
  </si>
  <si>
    <t>Utilities</t>
  </si>
  <si>
    <t>Xcel Energy Inc.</t>
  </si>
  <si>
    <t>Payout Ratio</t>
  </si>
  <si>
    <t>Dividend
Yield</t>
  </si>
  <si>
    <t>Dividend Payout Ratio:  Last Twelve Months</t>
  </si>
  <si>
    <t>PCG</t>
  </si>
  <si>
    <t>$ Billions</t>
  </si>
  <si>
    <t>Net Cash Provided by Operating Activities</t>
  </si>
  <si>
    <t>-Capital Expenditures</t>
  </si>
  <si>
    <t>-Dividends Paid to Common Shareholders</t>
  </si>
  <si>
    <t>Free Cash Flow</t>
  </si>
  <si>
    <t>EEI Index Companies*</t>
  </si>
  <si>
    <t>Annual Dividend Rate</t>
  </si>
  <si>
    <t>NextEra Energy, Inc.</t>
  </si>
  <si>
    <t>NEE</t>
  </si>
  <si>
    <t>For more information on constituents of each S&amp;P sector, see http://www.sectorspdr.com/.</t>
  </si>
  <si>
    <t>VII. Free Cash Flow</t>
  </si>
  <si>
    <t>2000-Present</t>
  </si>
  <si>
    <t>Share Price</t>
  </si>
  <si>
    <t>Regulated Cat</t>
  </si>
  <si>
    <t>Direction</t>
  </si>
  <si>
    <t>Match</t>
  </si>
  <si>
    <t>Date</t>
  </si>
  <si>
    <t>Announced</t>
  </si>
  <si>
    <t>Yield</t>
  </si>
  <si>
    <t>XLY</t>
  </si>
  <si>
    <t>XLU</t>
  </si>
  <si>
    <t>XLP</t>
  </si>
  <si>
    <t>XLE</t>
  </si>
  <si>
    <t>XLF</t>
  </si>
  <si>
    <t>XLV</t>
  </si>
  <si>
    <t>XLI</t>
  </si>
  <si>
    <t>XLB</t>
  </si>
  <si>
    <t>XLK</t>
  </si>
  <si>
    <t>* For this table, EEI (1) sums dividends and (2) sums earnings of all index companies and then (3) divides to determine the comparable DPR.</t>
  </si>
  <si>
    <t>1. EEI Index Companies payout ratio based on LTM common dividends paid and income before nonrecurring and extraordinary items.</t>
  </si>
  <si>
    <t>Assumptions:</t>
  </si>
  <si>
    <t>Dividends</t>
  </si>
  <si>
    <t>Mark Agnew</t>
  </si>
  <si>
    <t>magnew@eei.org</t>
  </si>
  <si>
    <t>Financial Analysis Contacts</t>
  </si>
  <si>
    <t>Contents</t>
  </si>
  <si>
    <t>202-508-5049</t>
  </si>
  <si>
    <t>Edison Electric Institute (EEI)</t>
  </si>
  <si>
    <t>Additional Internet Resources</t>
  </si>
  <si>
    <t>Sector Yield</t>
  </si>
  <si>
    <t>Sector Payout Ratio</t>
  </si>
  <si>
    <t>Dividend Summary</t>
  </si>
  <si>
    <t>No
Change</t>
  </si>
  <si>
    <t>Count</t>
  </si>
  <si>
    <t>Not
Paying</t>
  </si>
  <si>
    <t>Re-
instated</t>
  </si>
  <si>
    <t>Go to Contents</t>
  </si>
  <si>
    <t>Settings</t>
  </si>
  <si>
    <t>Re-instated</t>
  </si>
  <si>
    <t>Action</t>
  </si>
  <si>
    <t>Text</t>
  </si>
  <si>
    <t>By Business Segment</t>
  </si>
  <si>
    <t>Average of Dividend Payout Ratios and Dividend Yields for companies within these business segments.</t>
  </si>
  <si>
    <t>Bus Seg</t>
  </si>
  <si>
    <t>Dividend Policy Action</t>
  </si>
  <si>
    <t>Payout Ratio Calculation - Weighted</t>
  </si>
  <si>
    <t>LTM</t>
  </si>
  <si>
    <t>Div Paid</t>
  </si>
  <si>
    <t>Income</t>
  </si>
  <si>
    <t/>
  </si>
  <si>
    <t>Average Dividend Change</t>
  </si>
  <si>
    <t>Periods</t>
  </si>
  <si>
    <t>Average</t>
  </si>
  <si>
    <t>Increase</t>
  </si>
  <si>
    <t>Decrease</t>
  </si>
  <si>
    <t>Average Movement</t>
  </si>
  <si>
    <t xml:space="preserve">While net income is after-tax, nonrecurring and extraordinary items are pre-tax, as there is no consistent method of gathering these items on a tax adjusted basis under </t>
  </si>
  <si>
    <t>current reporting guidelines. On an individual company basis, the Payout Ratio in the table could differ slightly from what is reported directly by the company.</t>
  </si>
  <si>
    <t>Quarterly Report of the U.S. Investor-Owned Electric Utility Industry</t>
  </si>
  <si>
    <t>Companies Listed by Business Segmentation Category</t>
  </si>
  <si>
    <t>DPL Inc. *</t>
  </si>
  <si>
    <t>IPALCO Enterprises, Inc. *</t>
  </si>
  <si>
    <t>Puget Energy, Inc. *</t>
  </si>
  <si>
    <t>Note:  * Non-publicly traded companies</t>
  </si>
  <si>
    <t>Berkshire Hathaway Energy *</t>
  </si>
  <si>
    <t>Eversource Energy</t>
  </si>
  <si>
    <t>ES</t>
  </si>
  <si>
    <t>WEC Energy Group, Inc.</t>
  </si>
  <si>
    <t xml:space="preserve">WEC Energy Group, Inc. </t>
  </si>
  <si>
    <t>AVANGRID, Inc.</t>
  </si>
  <si>
    <t>AGR</t>
  </si>
  <si>
    <t>Cleco Corporation *</t>
  </si>
  <si>
    <t>Source:  S&amp;P Global Market Intelligence and EEI Finance Department</t>
  </si>
  <si>
    <t>Source:  S&amp;P Global Market Intelligence, company reports, and EEI Finance Department</t>
  </si>
  <si>
    <t>-</t>
  </si>
  <si>
    <t>U.S. Investor-Owned Electric Utilities</t>
  </si>
  <si>
    <r>
      <t xml:space="preserve">Regulated:  </t>
    </r>
    <r>
      <rPr>
        <sz val="9"/>
        <rFont val="Calibri"/>
        <family val="2"/>
        <scheme val="minor"/>
      </rPr>
      <t>80% or more of total assets are regulated</t>
    </r>
  </si>
  <si>
    <r>
      <t xml:space="preserve">Mostly Regulated: </t>
    </r>
    <r>
      <rPr>
        <sz val="9"/>
        <rFont val="Calibri"/>
        <family val="2"/>
        <scheme val="minor"/>
      </rPr>
      <t xml:space="preserve"> Less than 80% of total assets are regulated</t>
    </r>
  </si>
  <si>
    <r>
      <t>Diversified</t>
    </r>
    <r>
      <rPr>
        <sz val="9"/>
        <rFont val="Calibri"/>
        <family val="2"/>
      </rPr>
      <t>:  Prior to 2017, less than 50% of total assets are regulated</t>
    </r>
  </si>
  <si>
    <t xml:space="preserve">https://www.etfrc.com/articles/ </t>
  </si>
  <si>
    <t>Dominion Energy, Inc.</t>
  </si>
  <si>
    <t>Evergy, Inc.</t>
  </si>
  <si>
    <t>EVRG</t>
  </si>
  <si>
    <t>Dominion Resources, Inc.</t>
  </si>
  <si>
    <t xml:space="preserve">Dividends Patterns table captures all actions taken in isolation in each quarter (i.e., may include more than one action per company). </t>
  </si>
  <si>
    <t>Average includes only the most recent action taken by each company in the calendar year (i.e., limited to one action per company), whereas the</t>
  </si>
  <si>
    <t>é</t>
  </si>
  <si>
    <t>Daniel Foy</t>
  </si>
  <si>
    <t>Director, Financial Analysis</t>
  </si>
  <si>
    <t>dfoy@eei.org</t>
  </si>
  <si>
    <t>202-508-5970</t>
  </si>
  <si>
    <t>R = Regulated: 80% or more of total assets are regulated</t>
  </si>
  <si>
    <t>MR = Mostly Regulated: Less than 80% of total assets are regulated</t>
  </si>
  <si>
    <t>INITIAL RANK</t>
  </si>
  <si>
    <t>TIE COUNT</t>
  </si>
  <si>
    <t>RE-RANK</t>
  </si>
  <si>
    <t>TRUE RANK</t>
  </si>
  <si>
    <t>MATCH</t>
  </si>
  <si>
    <t>Source: AltaVista Research, S&amp;P Global Market Intelligence, and EEI Finance Department</t>
  </si>
  <si>
    <t>Category Yield</t>
  </si>
  <si>
    <t>Category Payout Ratio</t>
  </si>
  <si>
    <t>Dividend Patterns</t>
  </si>
  <si>
    <t>Eric Yang</t>
  </si>
  <si>
    <t>Senior Financial Analyst</t>
  </si>
  <si>
    <t>202-508-5529</t>
  </si>
  <si>
    <t>eyang@eei.org</t>
  </si>
  <si>
    <t>Date_EOP_Current</t>
  </si>
  <si>
    <t>Date_EOP_Last</t>
  </si>
  <si>
    <t>Named Ranges</t>
  </si>
  <si>
    <t>INPUTS (Update Q1 Only)</t>
  </si>
  <si>
    <t>INPUTS (Update Every Quarter)</t>
  </si>
  <si>
    <t>Formulas (Do Not Change)</t>
  </si>
  <si>
    <t>Date_Current_Year</t>
  </si>
  <si>
    <t>Quarter_EOP_Current</t>
  </si>
  <si>
    <r>
      <t xml:space="preserve">Settings_Columns_Hidden </t>
    </r>
    <r>
      <rPr>
        <b/>
        <vertAlign val="superscript"/>
        <sz val="10"/>
        <rFont val="Calibri"/>
        <family val="2"/>
        <scheme val="minor"/>
      </rPr>
      <t>1</t>
    </r>
  </si>
  <si>
    <t>Quarter_EOP_Current_Full</t>
  </si>
  <si>
    <r>
      <t xml:space="preserve">Settings_Sheets_Hidden </t>
    </r>
    <r>
      <rPr>
        <b/>
        <vertAlign val="superscript"/>
        <sz val="10"/>
        <rFont val="Calibri"/>
        <family val="2"/>
        <scheme val="minor"/>
      </rPr>
      <t>1</t>
    </r>
  </si>
  <si>
    <t>SPDR Payout</t>
  </si>
  <si>
    <t>Yes</t>
  </si>
  <si>
    <t>Month_EOP_Current</t>
  </si>
  <si>
    <t>SPDR Yield</t>
  </si>
  <si>
    <t>Date_Payout_Ratio</t>
  </si>
  <si>
    <r>
      <t xml:space="preserve">Settings_Sheets_VeryHidden </t>
    </r>
    <r>
      <rPr>
        <b/>
        <vertAlign val="superscript"/>
        <sz val="10"/>
        <rFont val="Calibri"/>
        <family val="2"/>
        <scheme val="minor"/>
      </rPr>
      <t>1</t>
    </r>
  </si>
  <si>
    <t>Payout_Ratio_Lag?</t>
  </si>
  <si>
    <r>
      <t xml:space="preserve">
</t>
    </r>
    <r>
      <rPr>
        <b/>
        <sz val="9"/>
        <rFont val="Calibri"/>
        <family val="2"/>
        <scheme val="minor"/>
      </rPr>
      <t>Payout_Ratio_Lag:</t>
    </r>
    <r>
      <rPr>
        <sz val="9"/>
        <rFont val="Calibri"/>
        <family val="2"/>
        <scheme val="minor"/>
      </rPr>
      <t xml:space="preserve">
Q4 in January = YES
Q4 for FINREV in March after SEC Filings Available = NO
Q1 in April = YES
Q2 in July = YES
Q3 in October = YES
</t>
    </r>
  </si>
  <si>
    <t>Quarter_CY_Q1</t>
  </si>
  <si>
    <t>Quarter_CY_Q2</t>
  </si>
  <si>
    <t>Quarter_CY_Q3</t>
  </si>
  <si>
    <t>Quarter_CY_Q4</t>
  </si>
  <si>
    <t>* Average of all companies paying dividend.</t>
  </si>
  <si>
    <t>Source: S&amp;P Global Market Intelligence, company reports and EEI Finance Department</t>
  </si>
  <si>
    <t>Date_Business_Segmentation</t>
  </si>
  <si>
    <t>Current</t>
  </si>
  <si>
    <t>No Change</t>
  </si>
  <si>
    <t>Not Paying</t>
  </si>
  <si>
    <t>Rate</t>
  </si>
  <si>
    <t>Ratio</t>
  </si>
  <si>
    <t>Cat</t>
  </si>
  <si>
    <t>Q</t>
  </si>
  <si>
    <t>R  ↑</t>
  </si>
  <si>
    <t>L  ↓</t>
  </si>
  <si>
    <t>Weighted</t>
  </si>
  <si>
    <t>Q4 Avg Move (%)</t>
  </si>
  <si>
    <t>Q3 Avg Move (%)</t>
  </si>
  <si>
    <t>Q2 Avg Move (%)</t>
  </si>
  <si>
    <t>Q1 Avg Move (%)</t>
  </si>
  <si>
    <t>Values from Previous Q</t>
  </si>
  <si>
    <t>Payout
Ratio</t>
  </si>
  <si>
    <t>Payout 
Ratio*</t>
  </si>
  <si>
    <t>↑</t>
  </si>
  <si>
    <t>Clear values when starting new year (Q1 Update Only)</t>
  </si>
  <si>
    <t>Patterns Worksheet</t>
  </si>
  <si>
    <t>Price</t>
  </si>
  <si>
    <t>Skip Communication Services and Real Estate Funds</t>
  </si>
  <si>
    <t>←  ❶ Recalc, then copy this quarterly total as values to matching quarter on "Dividend Patterns" sheet in this workbook (Q1 Q2 Q3 Q4)</t>
  </si>
  <si>
    <t>←  ❸ Recalc, then copy this annual total as values to annual total line on "Dividend Patterns" sheet in this workbook (Q4 Update Only)</t>
  </si>
  <si>
    <t>❷ Paste values here from Q4 Values file "Annual Summary" sheet (Q4 Update Only)</t>
  </si>
  <si>
    <t>RAISED</t>
  </si>
  <si>
    <t>NO CHANGE</t>
  </si>
  <si>
    <t>LOWERED</t>
  </si>
  <si>
    <t>OMITTED</t>
  </si>
  <si>
    <t>RE-INSTATED</t>
  </si>
  <si>
    <t>NOT PAYING</t>
  </si>
  <si>
    <t>TOTAL</t>
  </si>
  <si>
    <t>PAYOUT</t>
  </si>
  <si>
    <t>INCREASE</t>
  </si>
  <si>
    <t>DECREASE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</si>
  <si>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LISTS MUST CONTAIN UNIQUE VALUES</t>
    </r>
  </si>
  <si>
    <t>QFUSupportV2.xlam</t>
  </si>
  <si>
    <t>2023 Q3</t>
  </si>
  <si>
    <t>2024</t>
  </si>
  <si>
    <t>Reinstated</t>
  </si>
  <si>
    <t>2024 Q1</t>
  </si>
  <si>
    <t>2023 Q4</t>
  </si>
  <si>
    <t>2018 Q3</t>
  </si>
  <si>
    <t>2022 Q1</t>
  </si>
  <si>
    <t>2024 Q2</t>
  </si>
  <si>
    <t>Contents!O:XFD</t>
  </si>
  <si>
    <t>Sample:</t>
  </si>
  <si>
    <t>2024 Q3</t>
  </si>
  <si>
    <t>NorthWestern Energy</t>
  </si>
  <si>
    <t>TXNM Energy Inc.</t>
  </si>
  <si>
    <t>TXNM</t>
  </si>
  <si>
    <t>2024 Q4</t>
  </si>
  <si>
    <t>For purposes of calculating the average dividend increase, individual company results that are equal to or greater than 50% are excluded.</t>
  </si>
  <si>
    <t>For example see PG&amp;E in Q4 2024 when they increased from $0.01 to $0.025, for a 150% increase.</t>
  </si>
  <si>
    <t>Override any individual increase (but not decrease) =&gt; 50%. Delete value for purposes of calculating average.</t>
  </si>
  <si>
    <t>Recalculate average increase here for the quarter with temporary formula.</t>
  </si>
  <si>
    <t>This change is temporary as this table is pasted over every quarter with new values.</t>
  </si>
  <si>
    <t>Do not decrease action count to maintain consistency with Dividend Summary table count.</t>
  </si>
  <si>
    <t>Regulated (37 of 44)</t>
  </si>
  <si>
    <t>Mostly Regulated (7 of 44)</t>
  </si>
  <si>
    <t>American Electric Power Co, Inc.</t>
  </si>
  <si>
    <t>FirstEnergy Corporation</t>
  </si>
  <si>
    <t>OGE Energy Corporation</t>
  </si>
  <si>
    <t>Public Service Enterprise Group Inc.</t>
  </si>
  <si>
    <t>Sempra</t>
  </si>
  <si>
    <t>Based on assets as of 12/31/2023</t>
  </si>
  <si>
    <t>TXNM Energy, Inc.</t>
  </si>
  <si>
    <t>Category Definitions:</t>
  </si>
  <si>
    <t xml:space="preserve">Regulated: 80% or more of total </t>
  </si>
  <si>
    <t>assets are regulated</t>
  </si>
  <si>
    <t>Mostly Regulated: Less than 80%</t>
  </si>
  <si>
    <t xml:space="preserve">of total assets are regulated </t>
  </si>
  <si>
    <t>Dividends 2024 Q4</t>
  </si>
  <si>
    <t xml:space="preserve">I. </t>
  </si>
  <si>
    <t xml:space="preserve">II. </t>
  </si>
  <si>
    <t xml:space="preserve">III. </t>
  </si>
  <si>
    <t xml:space="preserve">IV. </t>
  </si>
  <si>
    <t xml:space="preserve">V. </t>
  </si>
  <si>
    <t xml:space="preserve">VI. </t>
  </si>
  <si>
    <t xml:space="preserve">VII. </t>
  </si>
  <si>
    <t>Senior Director, Financial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</si>
</sst>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_(* #,##0.0_);_(* \(#,##0.0\);_(* &quot;-&quot;?_);_(@_)"/>
    <numFmt numFmtId="169" formatCode="#,##0.0_);\(#,##0.0\)"/>
    <numFmt numFmtId="170" formatCode="0.0%_);\(0.0%\);0.0%_);@_%_)"/>
    <numFmt numFmtId="171" formatCode="0.0%;;;@_%"/>
    <numFmt numFmtId="172" formatCode="[$-409]mmm\-yy;@"/>
    <numFmt numFmtId="173" formatCode="&quot;$&quot;#,##0.00"/>
    <numFmt numFmtId="174" formatCode="0.0000%_);\(0.0000%\);0.0000%_);@_%_)"/>
    <numFmt numFmtId="175" formatCode="0.0000%"/>
    <numFmt numFmtId="176" formatCode="0.0000000000000000%"/>
  </numFmts>
  <fonts count="62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sz val="9"/>
      <name val="Calibr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u/>
      <sz val="8.5"/>
      <color theme="10"/>
      <name val="Arial"/>
      <family val="2"/>
    </font>
    <font>
      <b/>
      <sz val="12"/>
      <color theme="0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4"/>
      <color rgb="FF104985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0" tint="-0.499984740745262"/>
      <name val="Arial"/>
      <family val="2"/>
    </font>
    <font>
      <b/>
      <sz val="10"/>
      <color rgb="FF104985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808080"/>
      <name val="Calibri"/>
      <family val="2"/>
    </font>
    <font>
      <sz val="10"/>
      <color rgb="FFA6A6A6"/>
      <name val="Calibri"/>
      <family val="2"/>
    </font>
    <font>
      <i/>
      <u/>
      <sz val="9"/>
      <name val="Calibri"/>
      <family val="2"/>
    </font>
    <font>
      <b/>
      <sz val="9"/>
      <name val="Calibri"/>
      <family val="2"/>
    </font>
    <font>
      <sz val="10"/>
      <color rgb="FF0070C0"/>
      <name val="Calibri"/>
      <family val="2"/>
    </font>
    <font>
      <sz val="10"/>
      <color rgb="FFBFBFBF"/>
      <name val="Calibri"/>
      <family val="2"/>
    </font>
    <font>
      <b/>
      <sz val="10"/>
      <color theme="0"/>
      <name val="Calibri"/>
      <family val="2"/>
    </font>
    <font>
      <sz val="8"/>
      <name val="Calibri"/>
      <family val="2"/>
    </font>
    <font>
      <b/>
      <sz val="10"/>
      <color rgb="FF0070C0"/>
      <name val="Calibri"/>
      <family val="2"/>
    </font>
    <font>
      <u/>
      <sz val="10"/>
      <color theme="10"/>
      <name val="Calibri"/>
      <family val="2"/>
    </font>
    <font>
      <b/>
      <vertAlign val="superscript"/>
      <sz val="10"/>
      <name val="Calibri"/>
      <family val="2"/>
      <scheme val="minor"/>
    </font>
    <font>
      <sz val="10"/>
      <color theme="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i/>
      <sz val="10"/>
      <color theme="0"/>
      <name val="Calibri"/>
      <family val="2"/>
    </font>
    <font>
      <sz val="8"/>
      <color theme="0"/>
      <name val="Calibri"/>
      <family val="2"/>
    </font>
    <font>
      <b/>
      <sz val="16"/>
      <color rgb="FF345680"/>
      <name val="Calibri"/>
      <family val="2"/>
    </font>
    <font>
      <b/>
      <sz val="10"/>
      <color rgb="FF345680"/>
      <name val="Calibri"/>
      <family val="2"/>
    </font>
    <font>
      <b/>
      <sz val="8"/>
      <color theme="0"/>
      <name val="Calibri"/>
      <family val="2"/>
    </font>
    <font>
      <u/>
      <sz val="10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64D74"/>
        <bgColor indexed="64"/>
      </patternFill>
    </fill>
    <fill>
      <patternFill patternType="solid">
        <fgColor rgb="FF1049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568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172" fontId="3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72" fontId="3" fillId="0" borderId="0"/>
    <xf numFmtId="0" fontId="3" fillId="0" borderId="0"/>
    <xf numFmtId="43" fontId="2" fillId="0" borderId="0" applyFont="0" applyFill="0" applyBorder="0" applyAlignment="0" applyProtection="0"/>
    <xf numFmtId="172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/>
    <xf numFmtId="0" fontId="1" fillId="0" borderId="0"/>
    <xf numFmtId="0" fontId="61" fillId="0" borderId="0" applyNumberFormat="0" applyFill="0" applyBorder="0" applyAlignment="0" applyProtection="0"/>
  </cellStyleXfs>
  <cellXfs count="339">
    <xf numFmtId="0" fontId="0" fillId="0" borderId="0" xfId="0"/>
    <xf numFmtId="0" fontId="9" fillId="0" borderId="0" xfId="0" applyFont="1" applyAlignment="1">
      <alignment vertical="center"/>
    </xf>
    <xf numFmtId="172" fontId="17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4" fontId="13" fillId="0" borderId="0" xfId="0" applyNumberFormat="1" applyFont="1" applyAlignment="1">
      <alignment horizontal="right" vertical="center"/>
    </xf>
    <xf numFmtId="10" fontId="13" fillId="0" borderId="0" xfId="0" applyNumberFormat="1" applyFont="1" applyAlignment="1">
      <alignment horizontal="right" vertical="center"/>
    </xf>
    <xf numFmtId="172" fontId="1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7" fontId="10" fillId="0" borderId="0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72" fontId="18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9" fillId="0" borderId="0" xfId="1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9" fillId="0" borderId="0" xfId="8" applyFont="1" applyAlignment="1">
      <alignment vertical="center"/>
    </xf>
    <xf numFmtId="0" fontId="9" fillId="0" borderId="0" xfId="8" applyFont="1" applyAlignment="1">
      <alignment horizontal="right" vertical="center"/>
    </xf>
    <xf numFmtId="0" fontId="13" fillId="0" borderId="0" xfId="8" applyFont="1" applyAlignment="1">
      <alignment vertical="center"/>
    </xf>
    <xf numFmtId="168" fontId="9" fillId="0" borderId="0" xfId="8" applyNumberFormat="1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164" fontId="9" fillId="0" borderId="0" xfId="8" applyNumberFormat="1" applyFont="1" applyAlignment="1">
      <alignment vertical="center"/>
    </xf>
    <xf numFmtId="0" fontId="3" fillId="0" borderId="0" xfId="8" applyAlignment="1">
      <alignment horizontal="center" vertical="center"/>
    </xf>
    <xf numFmtId="0" fontId="9" fillId="0" borderId="16" xfId="8" applyFont="1" applyBorder="1" applyAlignment="1">
      <alignment vertical="center"/>
    </xf>
    <xf numFmtId="0" fontId="9" fillId="0" borderId="16" xfId="8" applyFont="1" applyBorder="1" applyAlignment="1">
      <alignment horizontal="center" vertical="center"/>
    </xf>
    <xf numFmtId="4" fontId="9" fillId="0" borderId="16" xfId="8" applyNumberFormat="1" applyFont="1" applyBorder="1" applyAlignment="1">
      <alignment horizontal="center" vertical="center"/>
    </xf>
    <xf numFmtId="44" fontId="9" fillId="0" borderId="17" xfId="5" applyFont="1" applyFill="1" applyBorder="1" applyAlignment="1">
      <alignment horizontal="right" vertical="center"/>
    </xf>
    <xf numFmtId="164" fontId="9" fillId="0" borderId="16" xfId="12" applyNumberFormat="1" applyFont="1" applyFill="1" applyBorder="1" applyAlignment="1">
      <alignment horizontal="right" vertical="center" indent="1"/>
    </xf>
    <xf numFmtId="0" fontId="7" fillId="0" borderId="18" xfId="8" applyFont="1" applyBorder="1" applyAlignment="1">
      <alignment horizontal="center" vertical="center"/>
    </xf>
    <xf numFmtId="44" fontId="9" fillId="0" borderId="19" xfId="5" applyFont="1" applyFill="1" applyBorder="1" applyAlignment="1">
      <alignment vertical="center"/>
    </xf>
    <xf numFmtId="14" fontId="9" fillId="0" borderId="20" xfId="8" applyNumberFormat="1" applyFont="1" applyBorder="1" applyAlignment="1">
      <alignment horizontal="right" vertical="center"/>
    </xf>
    <xf numFmtId="0" fontId="9" fillId="0" borderId="21" xfId="8" applyFont="1" applyBorder="1" applyAlignment="1">
      <alignment vertical="center"/>
    </xf>
    <xf numFmtId="0" fontId="9" fillId="0" borderId="21" xfId="8" applyFont="1" applyBorder="1" applyAlignment="1">
      <alignment horizontal="center" vertical="center"/>
    </xf>
    <xf numFmtId="44" fontId="9" fillId="0" borderId="22" xfId="5" applyFont="1" applyFill="1" applyBorder="1" applyAlignment="1">
      <alignment horizontal="right" vertical="center"/>
    </xf>
    <xf numFmtId="164" fontId="9" fillId="0" borderId="21" xfId="12" applyNumberFormat="1" applyFont="1" applyFill="1" applyBorder="1" applyAlignment="1">
      <alignment horizontal="right" vertical="center" indent="1"/>
    </xf>
    <xf numFmtId="0" fontId="7" fillId="0" borderId="23" xfId="8" applyFont="1" applyBorder="1" applyAlignment="1">
      <alignment horizontal="center" vertical="center"/>
    </xf>
    <xf numFmtId="44" fontId="9" fillId="0" borderId="24" xfId="5" applyFont="1" applyFill="1" applyBorder="1" applyAlignment="1">
      <alignment vertical="center"/>
    </xf>
    <xf numFmtId="14" fontId="9" fillId="0" borderId="25" xfId="8" applyNumberFormat="1" applyFont="1" applyBorder="1" applyAlignment="1">
      <alignment horizontal="right" vertical="center"/>
    </xf>
    <xf numFmtId="164" fontId="12" fillId="0" borderId="0" xfId="12" applyNumberFormat="1" applyFont="1" applyAlignment="1">
      <alignment vertical="center"/>
    </xf>
    <xf numFmtId="0" fontId="12" fillId="0" borderId="0" xfId="8" applyFont="1" applyAlignment="1">
      <alignment vertical="center"/>
    </xf>
    <xf numFmtId="0" fontId="21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22" fillId="0" borderId="0" xfId="8" applyFont="1" applyAlignment="1">
      <alignment vertical="center"/>
    </xf>
    <xf numFmtId="0" fontId="22" fillId="0" borderId="0" xfId="8" applyFont="1" applyAlignment="1">
      <alignment horizontal="center" vertical="center"/>
    </xf>
    <xf numFmtId="0" fontId="12" fillId="4" borderId="3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41" fontId="23" fillId="0" borderId="5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1" fontId="12" fillId="0" borderId="5" xfId="0" applyNumberFormat="1" applyFont="1" applyBorder="1" applyAlignment="1">
      <alignment horizontal="right" vertical="center"/>
    </xf>
    <xf numFmtId="171" fontId="23" fillId="0" borderId="5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0" fillId="5" borderId="0" xfId="0" applyFill="1"/>
    <xf numFmtId="172" fontId="29" fillId="0" borderId="0" xfId="0" applyNumberFormat="1" applyFont="1" applyAlignment="1">
      <alignment vertical="center"/>
    </xf>
    <xf numFmtId="172" fontId="30" fillId="0" borderId="0" xfId="0" applyNumberFormat="1" applyFont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165" fontId="23" fillId="0" borderId="4" xfId="0" applyNumberFormat="1" applyFont="1" applyBorder="1" applyAlignment="1">
      <alignment horizontal="right" vertical="center"/>
    </xf>
    <xf numFmtId="165" fontId="23" fillId="0" borderId="4" xfId="1" applyNumberFormat="1" applyFont="1" applyFill="1" applyBorder="1" applyAlignment="1">
      <alignment horizontal="right" vertical="center"/>
    </xf>
    <xf numFmtId="165" fontId="23" fillId="0" borderId="5" xfId="0" applyNumberFormat="1" applyFont="1" applyBorder="1" applyAlignment="1">
      <alignment horizontal="right" vertical="center"/>
    </xf>
    <xf numFmtId="165" fontId="23" fillId="0" borderId="5" xfId="1" applyNumberFormat="1" applyFont="1" applyFill="1" applyBorder="1" applyAlignment="1">
      <alignment horizontal="right" vertical="center"/>
    </xf>
    <xf numFmtId="0" fontId="28" fillId="5" borderId="0" xfId="14" applyFont="1" applyFill="1" applyBorder="1" applyAlignment="1" applyProtection="1">
      <alignment vertical="center"/>
    </xf>
    <xf numFmtId="1" fontId="12" fillId="0" borderId="29" xfId="0" applyNumberFormat="1" applyFont="1" applyBorder="1" applyAlignment="1">
      <alignment horizontal="right" vertical="center"/>
    </xf>
    <xf numFmtId="41" fontId="23" fillId="0" borderId="29" xfId="0" applyNumberFormat="1" applyFont="1" applyBorder="1" applyAlignment="1">
      <alignment horizontal="right" vertical="center"/>
    </xf>
    <xf numFmtId="1" fontId="12" fillId="0" borderId="7" xfId="0" applyNumberFormat="1" applyFont="1" applyBorder="1" applyAlignment="1">
      <alignment horizontal="right" vertical="center"/>
    </xf>
    <xf numFmtId="41" fontId="9" fillId="0" borderId="7" xfId="0" applyNumberFormat="1" applyFont="1" applyBorder="1" applyAlignment="1">
      <alignment horizontal="right" vertical="center"/>
    </xf>
    <xf numFmtId="171" fontId="23" fillId="0" borderId="29" xfId="0" applyNumberFormat="1" applyFont="1" applyBorder="1" applyAlignment="1">
      <alignment horizontal="right" vertical="center"/>
    </xf>
    <xf numFmtId="0" fontId="11" fillId="0" borderId="0" xfId="8" applyFont="1" applyAlignment="1">
      <alignment vertical="center"/>
    </xf>
    <xf numFmtId="0" fontId="31" fillId="0" borderId="0" xfId="8" applyFont="1" applyAlignment="1">
      <alignment horizontal="center" vertical="center"/>
    </xf>
    <xf numFmtId="0" fontId="12" fillId="2" borderId="3" xfId="8" applyFont="1" applyFill="1" applyBorder="1" applyAlignment="1">
      <alignment vertical="center"/>
    </xf>
    <xf numFmtId="0" fontId="12" fillId="2" borderId="3" xfId="8" applyFont="1" applyFill="1" applyBorder="1" applyAlignment="1">
      <alignment horizontal="right" vertical="center"/>
    </xf>
    <xf numFmtId="0" fontId="12" fillId="2" borderId="3" xfId="8" applyFont="1" applyFill="1" applyBorder="1" applyAlignment="1">
      <alignment horizontal="left" vertical="center"/>
    </xf>
    <xf numFmtId="0" fontId="12" fillId="0" borderId="30" xfId="8" applyFont="1" applyBorder="1" applyAlignment="1">
      <alignment horizontal="left" vertical="center" indent="1"/>
    </xf>
    <xf numFmtId="3" fontId="9" fillId="0" borderId="30" xfId="8" applyNumberFormat="1" applyFont="1" applyBorder="1" applyAlignment="1">
      <alignment vertical="center"/>
    </xf>
    <xf numFmtId="0" fontId="12" fillId="0" borderId="2" xfId="8" applyFont="1" applyBorder="1" applyAlignment="1">
      <alignment horizontal="left" vertical="center" indent="1"/>
    </xf>
    <xf numFmtId="3" fontId="9" fillId="0" borderId="2" xfId="8" applyNumberFormat="1" applyFont="1" applyBorder="1" applyAlignment="1">
      <alignment vertical="center"/>
    </xf>
    <xf numFmtId="0" fontId="12" fillId="0" borderId="31" xfId="8" applyFont="1" applyBorder="1" applyAlignment="1">
      <alignment horizontal="left" vertical="center" indent="1"/>
    </xf>
    <xf numFmtId="3" fontId="9" fillId="0" borderId="31" xfId="8" applyNumberFormat="1" applyFont="1" applyBorder="1" applyAlignment="1">
      <alignment vertical="center"/>
    </xf>
    <xf numFmtId="0" fontId="12" fillId="0" borderId="31" xfId="8" applyFont="1" applyBorder="1" applyAlignment="1">
      <alignment horizontal="left" vertical="center"/>
    </xf>
    <xf numFmtId="164" fontId="9" fillId="0" borderId="31" xfId="10" applyNumberFormat="1" applyFont="1" applyBorder="1" applyAlignment="1">
      <alignment vertical="center"/>
    </xf>
    <xf numFmtId="0" fontId="20" fillId="0" borderId="0" xfId="8" applyFont="1" applyAlignment="1">
      <alignment horizontal="center" vertical="center"/>
    </xf>
    <xf numFmtId="10" fontId="9" fillId="0" borderId="2" xfId="10" applyNumberFormat="1" applyFont="1" applyBorder="1" applyAlignment="1">
      <alignment horizontal="right" vertical="center"/>
    </xf>
    <xf numFmtId="10" fontId="9" fillId="0" borderId="31" xfId="10" applyNumberFormat="1" applyFont="1" applyBorder="1" applyAlignment="1">
      <alignment horizontal="right" vertical="center"/>
    </xf>
    <xf numFmtId="10" fontId="12" fillId="0" borderId="0" xfId="10" applyNumberFormat="1" applyFont="1" applyBorder="1" applyAlignment="1">
      <alignment horizontal="right" vertical="center"/>
    </xf>
    <xf numFmtId="164" fontId="12" fillId="0" borderId="0" xfId="8" applyNumberFormat="1" applyFont="1" applyAlignment="1">
      <alignment vertical="center"/>
    </xf>
    <xf numFmtId="172" fontId="32" fillId="0" borderId="0" xfId="8" applyNumberFormat="1" applyFont="1" applyAlignment="1">
      <alignment vertical="center"/>
    </xf>
    <xf numFmtId="0" fontId="30" fillId="0" borderId="0" xfId="8" applyFont="1" applyAlignment="1">
      <alignment vertical="center"/>
    </xf>
    <xf numFmtId="170" fontId="23" fillId="0" borderId="5" xfId="10" applyNumberFormat="1" applyFont="1" applyFill="1" applyBorder="1" applyAlignment="1">
      <alignment horizontal="right" vertical="center"/>
    </xf>
    <xf numFmtId="165" fontId="23" fillId="0" borderId="3" xfId="0" applyNumberFormat="1" applyFont="1" applyBorder="1" applyAlignment="1">
      <alignment horizontal="right" vertical="center"/>
    </xf>
    <xf numFmtId="165" fontId="23" fillId="0" borderId="3" xfId="1" applyNumberFormat="1" applyFont="1" applyFill="1" applyBorder="1" applyAlignment="1">
      <alignment horizontal="right" vertical="center"/>
    </xf>
    <xf numFmtId="164" fontId="9" fillId="0" borderId="4" xfId="0" applyNumberFormat="1" applyFont="1" applyBorder="1" applyAlignment="1">
      <alignment horizontal="center" vertical="center"/>
    </xf>
    <xf numFmtId="170" fontId="23" fillId="0" borderId="29" xfId="10" applyNumberFormat="1" applyFont="1" applyFill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168" fontId="23" fillId="0" borderId="30" xfId="0" applyNumberFormat="1" applyFont="1" applyBorder="1" applyAlignment="1">
      <alignment horizontal="right" vertical="center"/>
    </xf>
    <xf numFmtId="168" fontId="23" fillId="0" borderId="30" xfId="1" applyNumberFormat="1" applyFont="1" applyFill="1" applyBorder="1" applyAlignment="1">
      <alignment vertical="center"/>
    </xf>
    <xf numFmtId="168" fontId="23" fillId="0" borderId="30" xfId="3" applyNumberFormat="1" applyFont="1" applyFill="1" applyBorder="1" applyAlignment="1">
      <alignment vertical="center"/>
    </xf>
    <xf numFmtId="168" fontId="23" fillId="0" borderId="2" xfId="0" applyNumberFormat="1" applyFont="1" applyBorder="1" applyAlignment="1">
      <alignment horizontal="right" vertical="center"/>
    </xf>
    <xf numFmtId="168" fontId="23" fillId="0" borderId="2" xfId="1" applyNumberFormat="1" applyFont="1" applyFill="1" applyBorder="1" applyAlignment="1">
      <alignment vertical="center"/>
    </xf>
    <xf numFmtId="168" fontId="23" fillId="0" borderId="2" xfId="3" applyNumberFormat="1" applyFont="1" applyFill="1" applyBorder="1" applyAlignment="1">
      <alignment vertical="center"/>
    </xf>
    <xf numFmtId="0" fontId="33" fillId="0" borderId="32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68" fontId="23" fillId="0" borderId="31" xfId="0" applyNumberFormat="1" applyFont="1" applyBorder="1" applyAlignment="1">
      <alignment horizontal="right" vertical="center"/>
    </xf>
    <xf numFmtId="168" fontId="23" fillId="0" borderId="31" xfId="1" applyNumberFormat="1" applyFont="1" applyFill="1" applyBorder="1" applyAlignment="1">
      <alignment vertical="center"/>
    </xf>
    <xf numFmtId="168" fontId="23" fillId="0" borderId="31" xfId="3" applyNumberFormat="1" applyFont="1" applyFill="1" applyBorder="1" applyAlignment="1">
      <alignment vertical="center"/>
    </xf>
    <xf numFmtId="41" fontId="23" fillId="0" borderId="7" xfId="0" applyNumberFormat="1" applyFont="1" applyBorder="1" applyAlignment="1">
      <alignment horizontal="right" vertical="center"/>
    </xf>
    <xf numFmtId="171" fontId="23" fillId="0" borderId="7" xfId="0" applyNumberFormat="1" applyFont="1" applyBorder="1" applyAlignment="1">
      <alignment horizontal="right" vertical="center"/>
    </xf>
    <xf numFmtId="170" fontId="23" fillId="0" borderId="7" xfId="10" applyNumberFormat="1" applyFont="1" applyFill="1" applyBorder="1" applyAlignment="1">
      <alignment horizontal="right" vertical="center"/>
    </xf>
    <xf numFmtId="165" fontId="23" fillId="0" borderId="7" xfId="0" applyNumberFormat="1" applyFont="1" applyBorder="1" applyAlignment="1">
      <alignment horizontal="right" vertical="center"/>
    </xf>
    <xf numFmtId="165" fontId="23" fillId="0" borderId="7" xfId="1" applyNumberFormat="1" applyFont="1" applyFill="1" applyBorder="1" applyAlignment="1">
      <alignment horizontal="right" vertical="center"/>
    </xf>
    <xf numFmtId="164" fontId="9" fillId="0" borderId="7" xfId="0" applyNumberFormat="1" applyFont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0" xfId="21" applyFont="1" applyAlignment="1">
      <alignment vertical="center"/>
    </xf>
    <xf numFmtId="164" fontId="9" fillId="0" borderId="0" xfId="21" applyNumberFormat="1" applyFont="1" applyAlignment="1">
      <alignment vertical="center"/>
    </xf>
    <xf numFmtId="0" fontId="9" fillId="0" borderId="33" xfId="8" applyFont="1" applyBorder="1" applyAlignment="1">
      <alignment vertical="center"/>
    </xf>
    <xf numFmtId="0" fontId="9" fillId="0" borderId="33" xfId="8" applyFont="1" applyBorder="1" applyAlignment="1">
      <alignment horizontal="center" vertical="center"/>
    </xf>
    <xf numFmtId="44" fontId="9" fillId="0" borderId="34" xfId="5" applyFont="1" applyFill="1" applyBorder="1" applyAlignment="1">
      <alignment horizontal="right" vertical="center"/>
    </xf>
    <xf numFmtId="164" fontId="9" fillId="0" borderId="33" xfId="12" applyNumberFormat="1" applyFont="1" applyFill="1" applyBorder="1" applyAlignment="1">
      <alignment horizontal="right" vertical="center" indent="1"/>
    </xf>
    <xf numFmtId="0" fontId="7" fillId="0" borderId="35" xfId="8" applyFont="1" applyBorder="1" applyAlignment="1">
      <alignment horizontal="center" vertical="center"/>
    </xf>
    <xf numFmtId="44" fontId="9" fillId="0" borderId="36" xfId="5" applyFont="1" applyFill="1" applyBorder="1" applyAlignment="1">
      <alignment vertical="center"/>
    </xf>
    <xf numFmtId="14" fontId="9" fillId="0" borderId="37" xfId="8" applyNumberFormat="1" applyFont="1" applyBorder="1" applyAlignment="1">
      <alignment horizontal="right" vertical="center"/>
    </xf>
    <xf numFmtId="0" fontId="34" fillId="0" borderId="0" xfId="8" applyFont="1" applyAlignment="1">
      <alignment horizontal="center" vertical="center"/>
    </xf>
    <xf numFmtId="0" fontId="34" fillId="0" borderId="0" xfId="8" applyFont="1" applyAlignment="1">
      <alignment vertical="center"/>
    </xf>
    <xf numFmtId="0" fontId="35" fillId="0" borderId="0" xfId="8" applyFont="1" applyAlignment="1">
      <alignment horizontal="center" vertical="center"/>
    </xf>
    <xf numFmtId="0" fontId="35" fillId="0" borderId="0" xfId="8" applyFont="1" applyAlignment="1">
      <alignment vertical="center"/>
    </xf>
    <xf numFmtId="0" fontId="35" fillId="0" borderId="0" xfId="0" applyFont="1" applyAlignment="1">
      <alignment vertical="center"/>
    </xf>
    <xf numFmtId="165" fontId="9" fillId="0" borderId="7" xfId="0" quotePrefix="1" applyNumberFormat="1" applyFont="1" applyBorder="1" applyAlignment="1">
      <alignment horizontal="right" vertical="center"/>
    </xf>
    <xf numFmtId="44" fontId="9" fillId="0" borderId="24" xfId="5" applyFont="1" applyFill="1" applyBorder="1" applyAlignment="1">
      <alignment horizontal="right" vertical="center"/>
    </xf>
    <xf numFmtId="0" fontId="35" fillId="0" borderId="0" xfId="21" applyFont="1" applyAlignment="1">
      <alignment vertical="center"/>
    </xf>
    <xf numFmtId="0" fontId="34" fillId="0" borderId="0" xfId="21" applyFont="1" applyAlignment="1">
      <alignment horizontal="center" vertical="center"/>
    </xf>
    <xf numFmtId="0" fontId="35" fillId="0" borderId="0" xfId="21" applyFont="1" applyAlignment="1">
      <alignment horizontal="center" vertical="center"/>
    </xf>
    <xf numFmtId="0" fontId="43" fillId="0" borderId="0" xfId="21" applyFont="1" applyAlignment="1">
      <alignment horizontal="center" vertical="center"/>
    </xf>
    <xf numFmtId="165" fontId="44" fillId="0" borderId="0" xfId="21" applyNumberFormat="1" applyFont="1" applyAlignment="1">
      <alignment horizontal="center" vertical="center"/>
    </xf>
    <xf numFmtId="0" fontId="35" fillId="2" borderId="9" xfId="21" applyFont="1" applyFill="1" applyBorder="1" applyAlignment="1">
      <alignment horizontal="center" vertical="center"/>
    </xf>
    <xf numFmtId="165" fontId="35" fillId="2" borderId="9" xfId="21" applyNumberFormat="1" applyFont="1" applyFill="1" applyBorder="1" applyAlignment="1">
      <alignment horizontal="center" vertical="center"/>
    </xf>
    <xf numFmtId="1" fontId="35" fillId="2" borderId="9" xfId="21" applyNumberFormat="1" applyFont="1" applyFill="1" applyBorder="1" applyAlignment="1">
      <alignment horizontal="center" vertical="center"/>
    </xf>
    <xf numFmtId="0" fontId="45" fillId="0" borderId="0" xfId="14" applyFont="1" applyFill="1" applyAlignment="1" applyProtection="1">
      <alignment horizontal="left" vertical="center"/>
    </xf>
    <xf numFmtId="0" fontId="35" fillId="0" borderId="2" xfId="21" applyFont="1" applyBorder="1" applyAlignment="1">
      <alignment vertical="center"/>
    </xf>
    <xf numFmtId="165" fontId="9" fillId="0" borderId="0" xfId="21" applyNumberFormat="1" applyFont="1" applyAlignment="1">
      <alignment vertical="center"/>
    </xf>
    <xf numFmtId="172" fontId="29" fillId="0" borderId="0" xfId="21" applyNumberFormat="1" applyFont="1" applyAlignment="1">
      <alignment vertical="center"/>
    </xf>
    <xf numFmtId="172" fontId="18" fillId="0" borderId="0" xfId="21" applyNumberFormat="1" applyFont="1" applyAlignment="1">
      <alignment vertical="center"/>
    </xf>
    <xf numFmtId="165" fontId="14" fillId="0" borderId="0" xfId="21" applyNumberFormat="1" applyFont="1" applyAlignment="1">
      <alignment horizontal="centerContinuous" vertical="center"/>
    </xf>
    <xf numFmtId="172" fontId="18" fillId="0" borderId="0" xfId="21" applyNumberFormat="1" applyFont="1" applyAlignment="1">
      <alignment horizontal="left" vertical="center"/>
    </xf>
    <xf numFmtId="0" fontId="12" fillId="4" borderId="3" xfId="21" applyFont="1" applyFill="1" applyBorder="1" applyAlignment="1">
      <alignment vertical="center"/>
    </xf>
    <xf numFmtId="164" fontId="12" fillId="4" borderId="3" xfId="21" applyNumberFormat="1" applyFont="1" applyFill="1" applyBorder="1" applyAlignment="1">
      <alignment horizontal="center" vertical="center"/>
    </xf>
    <xf numFmtId="0" fontId="12" fillId="0" borderId="1" xfId="21" applyFont="1" applyBorder="1" applyAlignment="1">
      <alignment vertical="center"/>
    </xf>
    <xf numFmtId="164" fontId="12" fillId="0" borderId="1" xfId="21" applyNumberFormat="1" applyFont="1" applyBorder="1" applyAlignment="1">
      <alignment horizontal="center" vertical="center"/>
    </xf>
    <xf numFmtId="0" fontId="12" fillId="0" borderId="2" xfId="21" applyFont="1" applyBorder="1" applyAlignment="1">
      <alignment vertical="center"/>
    </xf>
    <xf numFmtId="164" fontId="12" fillId="0" borderId="2" xfId="21" applyNumberFormat="1" applyFont="1" applyBorder="1" applyAlignment="1">
      <alignment horizontal="center" vertical="center"/>
    </xf>
    <xf numFmtId="164" fontId="35" fillId="0" borderId="2" xfId="21" applyNumberFormat="1" applyFont="1" applyBorder="1" applyAlignment="1">
      <alignment horizontal="center" vertical="center"/>
    </xf>
    <xf numFmtId="0" fontId="14" fillId="0" borderId="0" xfId="21" applyFont="1" applyAlignment="1">
      <alignment vertical="center" wrapText="1"/>
    </xf>
    <xf numFmtId="0" fontId="3" fillId="0" borderId="0" xfId="21" applyAlignment="1">
      <alignment vertical="center" wrapText="1"/>
    </xf>
    <xf numFmtId="164" fontId="14" fillId="0" borderId="0" xfId="21" applyNumberFormat="1" applyFont="1" applyAlignment="1">
      <alignment horizontal="centerContinuous" vertical="center"/>
    </xf>
    <xf numFmtId="0" fontId="12" fillId="0" borderId="0" xfId="21" applyFont="1" applyAlignment="1">
      <alignment horizontal="center" vertical="center"/>
    </xf>
    <xf numFmtId="164" fontId="12" fillId="0" borderId="0" xfId="21" applyNumberFormat="1" applyFont="1" applyAlignment="1">
      <alignment horizontal="center" vertical="center"/>
    </xf>
    <xf numFmtId="0" fontId="13" fillId="0" borderId="0" xfId="21" applyFont="1" applyAlignment="1">
      <alignment vertical="center"/>
    </xf>
    <xf numFmtId="0" fontId="12" fillId="0" borderId="0" xfId="21" applyFont="1" applyAlignment="1">
      <alignment vertical="center"/>
    </xf>
    <xf numFmtId="49" fontId="24" fillId="9" borderId="9" xfId="21" applyNumberFormat="1" applyFont="1" applyFill="1" applyBorder="1" applyAlignment="1">
      <alignment horizontal="left" vertical="center" indent="1"/>
    </xf>
    <xf numFmtId="14" fontId="24" fillId="9" borderId="9" xfId="21" applyNumberFormat="1" applyFont="1" applyFill="1" applyBorder="1" applyAlignment="1">
      <alignment horizontal="left" vertical="center" indent="1"/>
    </xf>
    <xf numFmtId="0" fontId="47" fillId="0" borderId="0" xfId="2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40" fillId="0" borderId="0" xfId="8" quotePrefix="1" applyFont="1" applyAlignment="1">
      <alignment horizontal="left" vertical="center"/>
    </xf>
    <xf numFmtId="0" fontId="35" fillId="0" borderId="0" xfId="8" applyFont="1" applyAlignment="1">
      <alignment horizontal="right" vertical="center" indent="1"/>
    </xf>
    <xf numFmtId="0" fontId="41" fillId="0" borderId="0" xfId="8" quotePrefix="1" applyFont="1" applyAlignment="1">
      <alignment horizontal="left" vertical="center"/>
    </xf>
    <xf numFmtId="0" fontId="40" fillId="0" borderId="0" xfId="8" applyFont="1" applyAlignment="1">
      <alignment horizontal="center" vertical="center"/>
    </xf>
    <xf numFmtId="0" fontId="41" fillId="0" borderId="0" xfId="8" applyFont="1" applyAlignment="1">
      <alignment horizontal="center" vertical="center"/>
    </xf>
    <xf numFmtId="0" fontId="41" fillId="0" borderId="0" xfId="8" applyFont="1" applyAlignment="1">
      <alignment horizontal="right" vertical="center" indent="1"/>
    </xf>
    <xf numFmtId="0" fontId="41" fillId="0" borderId="0" xfId="8" applyFont="1" applyAlignment="1">
      <alignment horizontal="right" vertical="center"/>
    </xf>
    <xf numFmtId="0" fontId="40" fillId="0" borderId="0" xfId="8" applyFont="1" applyAlignment="1">
      <alignment horizontal="left" vertical="center"/>
    </xf>
    <xf numFmtId="0" fontId="40" fillId="0" borderId="0" xfId="8" applyFont="1" applyAlignment="1">
      <alignment horizontal="right" vertical="center" indent="1"/>
    </xf>
    <xf numFmtId="0" fontId="40" fillId="0" borderId="0" xfId="8" applyFont="1" applyAlignment="1">
      <alignment vertical="center"/>
    </xf>
    <xf numFmtId="164" fontId="34" fillId="0" borderId="0" xfId="10" applyNumberFormat="1" applyFont="1" applyFill="1" applyBorder="1" applyAlignment="1">
      <alignment horizontal="right" vertical="center" indent="1"/>
    </xf>
    <xf numFmtId="0" fontId="38" fillId="0" borderId="0" xfId="8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39" fillId="0" borderId="0" xfId="8" applyFont="1" applyAlignment="1">
      <alignment horizontal="center" vertical="center"/>
    </xf>
    <xf numFmtId="0" fontId="36" fillId="0" borderId="0" xfId="8" applyFont="1" applyAlignment="1">
      <alignment vertical="center"/>
    </xf>
    <xf numFmtId="0" fontId="36" fillId="0" borderId="0" xfId="8" applyFont="1" applyAlignment="1">
      <alignment horizontal="center" vertical="center"/>
    </xf>
    <xf numFmtId="0" fontId="36" fillId="0" borderId="0" xfId="8" applyFont="1" applyAlignment="1">
      <alignment horizontal="right" vertical="center" indent="1"/>
    </xf>
    <xf numFmtId="0" fontId="34" fillId="0" borderId="0" xfId="8" applyFont="1" applyAlignment="1">
      <alignment horizontal="left" vertical="center"/>
    </xf>
    <xf numFmtId="0" fontId="34" fillId="0" borderId="0" xfId="8" applyFont="1" applyAlignment="1">
      <alignment horizontal="right" vertical="center" indent="1"/>
    </xf>
    <xf numFmtId="0" fontId="9" fillId="0" borderId="0" xfId="8" applyFont="1" applyAlignment="1">
      <alignment horizontal="right" vertical="center" indent="1"/>
    </xf>
    <xf numFmtId="0" fontId="37" fillId="0" borderId="0" xfId="8" applyFont="1" applyAlignment="1">
      <alignment horizontal="center" vertical="center"/>
    </xf>
    <xf numFmtId="164" fontId="35" fillId="0" borderId="0" xfId="10" applyNumberFormat="1" applyFont="1" applyFill="1" applyBorder="1" applyAlignment="1">
      <alignment horizontal="center" vertical="center"/>
    </xf>
    <xf numFmtId="4" fontId="35" fillId="0" borderId="0" xfId="8" applyNumberFormat="1" applyFont="1" applyAlignment="1">
      <alignment horizontal="center" vertical="center"/>
    </xf>
    <xf numFmtId="4" fontId="35" fillId="0" borderId="0" xfId="8" applyNumberFormat="1" applyFont="1" applyAlignment="1">
      <alignment horizontal="right" vertical="center" indent="1"/>
    </xf>
    <xf numFmtId="0" fontId="9" fillId="0" borderId="42" xfId="8" applyFont="1" applyBorder="1" applyAlignment="1">
      <alignment vertical="center"/>
    </xf>
    <xf numFmtId="0" fontId="9" fillId="0" borderId="42" xfId="8" applyFont="1" applyBorder="1" applyAlignment="1">
      <alignment horizontal="center" vertical="center"/>
    </xf>
    <xf numFmtId="44" fontId="9" fillId="0" borderId="43" xfId="5" applyFont="1" applyFill="1" applyBorder="1" applyAlignment="1">
      <alignment horizontal="right" vertical="center"/>
    </xf>
    <xf numFmtId="164" fontId="9" fillId="0" borderId="42" xfId="12" applyNumberFormat="1" applyFont="1" applyFill="1" applyBorder="1" applyAlignment="1">
      <alignment horizontal="right" vertical="center" indent="1"/>
    </xf>
    <xf numFmtId="0" fontId="7" fillId="0" borderId="44" xfId="8" applyFont="1" applyBorder="1" applyAlignment="1">
      <alignment horizontal="center" vertical="center"/>
    </xf>
    <xf numFmtId="44" fontId="9" fillId="0" borderId="45" xfId="5" applyFont="1" applyFill="1" applyBorder="1" applyAlignment="1">
      <alignment vertical="center"/>
    </xf>
    <xf numFmtId="14" fontId="9" fillId="0" borderId="46" xfId="8" applyNumberFormat="1" applyFont="1" applyBorder="1" applyAlignment="1">
      <alignment horizontal="right" vertical="center"/>
    </xf>
    <xf numFmtId="164" fontId="12" fillId="0" borderId="0" xfId="12" applyNumberFormat="1" applyFont="1" applyFill="1" applyBorder="1" applyAlignment="1">
      <alignment horizontal="right" vertical="center" indent="1"/>
    </xf>
    <xf numFmtId="0" fontId="5" fillId="0" borderId="0" xfId="8" applyFont="1" applyAlignment="1">
      <alignment horizontal="center" vertical="center"/>
    </xf>
    <xf numFmtId="0" fontId="12" fillId="0" borderId="30" xfId="8" applyFont="1" applyBorder="1" applyAlignment="1">
      <alignment horizontal="left" vertical="center"/>
    </xf>
    <xf numFmtId="164" fontId="9" fillId="0" borderId="30" xfId="12" applyNumberFormat="1" applyFont="1" applyBorder="1" applyAlignment="1">
      <alignment vertical="center"/>
    </xf>
    <xf numFmtId="164" fontId="9" fillId="0" borderId="31" xfId="12" applyNumberFormat="1" applyFont="1" applyBorder="1" applyAlignment="1">
      <alignment vertical="center"/>
    </xf>
    <xf numFmtId="0" fontId="34" fillId="3" borderId="13" xfId="8" applyFont="1" applyFill="1" applyBorder="1" applyAlignment="1">
      <alignment horizontal="center" vertical="center" wrapText="1"/>
    </xf>
    <xf numFmtId="0" fontId="34" fillId="3" borderId="14" xfId="8" applyFont="1" applyFill="1" applyBorder="1" applyAlignment="1">
      <alignment horizontal="center" vertical="center" wrapText="1"/>
    </xf>
    <xf numFmtId="0" fontId="34" fillId="3" borderId="15" xfId="8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right" vertical="center"/>
    </xf>
    <xf numFmtId="41" fontId="23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0" fontId="23" fillId="0" borderId="0" xfId="10" applyNumberFormat="1" applyFont="1" applyFill="1" applyBorder="1" applyAlignment="1">
      <alignment horizontal="right" vertical="center"/>
    </xf>
    <xf numFmtId="170" fontId="23" fillId="0" borderId="0" xfId="10" quotePrefix="1" applyNumberFormat="1" applyFont="1" applyFill="1" applyBorder="1" applyAlignment="1">
      <alignment horizontal="right" vertical="center"/>
    </xf>
    <xf numFmtId="170" fontId="23" fillId="0" borderId="5" xfId="10" quotePrefix="1" applyNumberFormat="1" applyFont="1" applyFill="1" applyBorder="1" applyAlignment="1">
      <alignment horizontal="right" vertical="center"/>
    </xf>
    <xf numFmtId="0" fontId="12" fillId="4" borderId="32" xfId="0" applyFont="1" applyFill="1" applyBorder="1" applyAlignment="1">
      <alignment horizontal="right" vertical="center" wrapText="1"/>
    </xf>
    <xf numFmtId="169" fontId="9" fillId="0" borderId="0" xfId="8" applyNumberFormat="1" applyFont="1" applyAlignment="1">
      <alignment horizontal="right" vertical="center"/>
    </xf>
    <xf numFmtId="166" fontId="9" fillId="0" borderId="0" xfId="8" applyNumberFormat="1" applyFont="1" applyAlignment="1">
      <alignment horizontal="right" vertical="center"/>
    </xf>
    <xf numFmtId="0" fontId="9" fillId="7" borderId="3" xfId="0" applyFont="1" applyFill="1" applyBorder="1" applyAlignment="1">
      <alignment vertical="center"/>
    </xf>
    <xf numFmtId="0" fontId="12" fillId="7" borderId="3" xfId="0" applyFont="1" applyFill="1" applyBorder="1" applyAlignment="1">
      <alignment vertical="center"/>
    </xf>
    <xf numFmtId="168" fontId="12" fillId="7" borderId="3" xfId="0" applyNumberFormat="1" applyFont="1" applyFill="1" applyBorder="1" applyAlignment="1">
      <alignment horizontal="right" vertical="center"/>
    </xf>
    <xf numFmtId="14" fontId="49" fillId="0" borderId="0" xfId="21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1" fontId="23" fillId="0" borderId="9" xfId="0" applyNumberFormat="1" applyFont="1" applyBorder="1" applyAlignment="1">
      <alignment horizontal="right" vertical="center"/>
    </xf>
    <xf numFmtId="41" fontId="9" fillId="2" borderId="9" xfId="0" applyNumberFormat="1" applyFont="1" applyFill="1" applyBorder="1" applyAlignment="1">
      <alignment horizontal="right" vertical="center"/>
    </xf>
    <xf numFmtId="171" fontId="9" fillId="2" borderId="9" xfId="0" applyNumberFormat="1" applyFont="1" applyFill="1" applyBorder="1" applyAlignment="1">
      <alignment horizontal="right" vertical="center"/>
    </xf>
    <xf numFmtId="1" fontId="9" fillId="2" borderId="9" xfId="0" applyNumberFormat="1" applyFont="1" applyFill="1" applyBorder="1" applyAlignment="1">
      <alignment horizontal="right" vertical="center"/>
    </xf>
    <xf numFmtId="14" fontId="44" fillId="0" borderId="9" xfId="21" applyNumberFormat="1" applyFont="1" applyBorder="1" applyAlignment="1">
      <alignment horizontal="left" vertical="center"/>
    </xf>
    <xf numFmtId="165" fontId="44" fillId="0" borderId="9" xfId="21" applyNumberFormat="1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14" fontId="12" fillId="2" borderId="9" xfId="21" applyNumberFormat="1" applyFont="1" applyFill="1" applyBorder="1" applyAlignment="1">
      <alignment horizontal="left" vertical="center" indent="1"/>
    </xf>
    <xf numFmtId="0" fontId="12" fillId="2" borderId="9" xfId="21" applyFont="1" applyFill="1" applyBorder="1" applyAlignment="1">
      <alignment horizontal="left" vertical="center" indent="1"/>
    </xf>
    <xf numFmtId="49" fontId="24" fillId="0" borderId="9" xfId="21" applyNumberFormat="1" applyFont="1" applyBorder="1" applyAlignment="1">
      <alignment horizontal="left" vertical="center" indent="1"/>
    </xf>
    <xf numFmtId="49" fontId="24" fillId="0" borderId="26" xfId="21" applyNumberFormat="1" applyFont="1" applyBorder="1" applyAlignment="1">
      <alignment horizontal="left" vertical="center" indent="1"/>
    </xf>
    <xf numFmtId="0" fontId="24" fillId="0" borderId="27" xfId="21" applyFont="1" applyBorder="1" applyAlignment="1">
      <alignment horizontal="left" vertical="center" indent="1"/>
    </xf>
    <xf numFmtId="0" fontId="24" fillId="0" borderId="27" xfId="21" applyFont="1" applyBorder="1" applyAlignment="1">
      <alignment horizontal="left" vertical="center"/>
    </xf>
    <xf numFmtId="0" fontId="24" fillId="0" borderId="28" xfId="21" applyFont="1" applyBorder="1" applyAlignment="1">
      <alignment horizontal="left" vertical="center"/>
    </xf>
    <xf numFmtId="0" fontId="23" fillId="0" borderId="27" xfId="21" applyFont="1" applyBorder="1" applyAlignment="1">
      <alignment vertical="center"/>
    </xf>
    <xf numFmtId="0" fontId="23" fillId="0" borderId="28" xfId="21" applyFont="1" applyBorder="1" applyAlignment="1">
      <alignment vertical="center"/>
    </xf>
    <xf numFmtId="0" fontId="19" fillId="8" borderId="9" xfId="8" applyFont="1" applyFill="1" applyBorder="1" applyAlignment="1">
      <alignment horizontal="centerContinuous" vertical="center"/>
    </xf>
    <xf numFmtId="0" fontId="50" fillId="8" borderId="9" xfId="0" applyFont="1" applyFill="1" applyBorder="1" applyAlignment="1">
      <alignment horizontal="centerContinuous" vertical="center"/>
    </xf>
    <xf numFmtId="0" fontId="9" fillId="0" borderId="0" xfId="8" applyFont="1" applyAlignment="1">
      <alignment vertical="center" wrapText="1"/>
    </xf>
    <xf numFmtId="0" fontId="9" fillId="0" borderId="0" xfId="8" applyFont="1" applyAlignment="1">
      <alignment horizontal="center" vertical="center" wrapText="1"/>
    </xf>
    <xf numFmtId="0" fontId="35" fillId="2" borderId="9" xfId="8" applyFont="1" applyFill="1" applyBorder="1" applyAlignment="1">
      <alignment horizontal="center" vertical="center"/>
    </xf>
    <xf numFmtId="0" fontId="35" fillId="2" borderId="9" xfId="10" applyNumberFormat="1" applyFont="1" applyFill="1" applyBorder="1" applyAlignment="1">
      <alignment horizontal="center" vertical="center"/>
    </xf>
    <xf numFmtId="14" fontId="35" fillId="2" borderId="9" xfId="8" applyNumberFormat="1" applyFont="1" applyFill="1" applyBorder="1" applyAlignment="1">
      <alignment horizontal="center" vertical="center"/>
    </xf>
    <xf numFmtId="4" fontId="35" fillId="2" borderId="9" xfId="8" applyNumberFormat="1" applyFont="1" applyFill="1" applyBorder="1" applyAlignment="1">
      <alignment horizontal="center" vertical="center"/>
    </xf>
    <xf numFmtId="164" fontId="35" fillId="2" borderId="9" xfId="10" applyNumberFormat="1" applyFont="1" applyFill="1" applyBorder="1" applyAlignment="1">
      <alignment horizontal="right" vertical="center" indent="1"/>
    </xf>
    <xf numFmtId="4" fontId="35" fillId="2" borderId="9" xfId="8" applyNumberFormat="1" applyFont="1" applyFill="1" applyBorder="1" applyAlignment="1">
      <alignment horizontal="right" vertical="center" indent="1"/>
    </xf>
    <xf numFmtId="164" fontId="35" fillId="2" borderId="9" xfId="10" applyNumberFormat="1" applyFont="1" applyFill="1" applyBorder="1" applyAlignment="1">
      <alignment horizontal="center" vertical="center"/>
    </xf>
    <xf numFmtId="0" fontId="12" fillId="7" borderId="9" xfId="8" applyFont="1" applyFill="1" applyBorder="1" applyAlignment="1">
      <alignment horizontal="center" vertical="center"/>
    </xf>
    <xf numFmtId="173" fontId="35" fillId="2" borderId="9" xfId="8" applyNumberFormat="1" applyFont="1" applyFill="1" applyBorder="1" applyAlignment="1">
      <alignment horizontal="center" vertical="center"/>
    </xf>
    <xf numFmtId="3" fontId="35" fillId="2" borderId="9" xfId="1" applyNumberFormat="1" applyFont="1" applyFill="1" applyBorder="1" applyAlignment="1">
      <alignment horizontal="right" vertical="center"/>
    </xf>
    <xf numFmtId="3" fontId="34" fillId="0" borderId="0" xfId="1" applyNumberFormat="1" applyFont="1" applyFill="1" applyBorder="1" applyAlignment="1">
      <alignment horizontal="right" vertical="center"/>
    </xf>
    <xf numFmtId="0" fontId="34" fillId="0" borderId="0" xfId="21" applyFont="1" applyAlignment="1">
      <alignment vertical="center"/>
    </xf>
    <xf numFmtId="164" fontId="35" fillId="13" borderId="9" xfId="10" applyNumberFormat="1" applyFont="1" applyFill="1" applyBorder="1" applyAlignment="1">
      <alignment horizontal="center" vertical="center"/>
    </xf>
    <xf numFmtId="174" fontId="9" fillId="9" borderId="9" xfId="10" applyNumberFormat="1" applyFont="1" applyFill="1" applyBorder="1" applyAlignment="1">
      <alignment horizontal="right" vertical="center"/>
    </xf>
    <xf numFmtId="175" fontId="14" fillId="13" borderId="0" xfId="8" applyNumberFormat="1" applyFont="1" applyFill="1" applyAlignment="1">
      <alignment horizontal="center" vertical="center"/>
    </xf>
    <xf numFmtId="164" fontId="14" fillId="0" borderId="0" xfId="8" applyNumberFormat="1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13" fillId="0" borderId="0" xfId="8" applyFont="1" applyAlignment="1">
      <alignment horizontal="center" vertical="center"/>
    </xf>
    <xf numFmtId="164" fontId="14" fillId="0" borderId="0" xfId="10" applyNumberFormat="1" applyFont="1" applyAlignment="1">
      <alignment horizontal="center" vertical="center"/>
    </xf>
    <xf numFmtId="0" fontId="27" fillId="0" borderId="0" xfId="17" applyFont="1" applyBorder="1" applyAlignment="1" applyProtection="1">
      <alignment vertical="center"/>
    </xf>
    <xf numFmtId="0" fontId="13" fillId="0" borderId="0" xfId="21" applyFont="1" applyAlignment="1">
      <alignment vertical="top" wrapText="1"/>
    </xf>
    <xf numFmtId="0" fontId="3" fillId="0" borderId="0" xfId="21" applyAlignment="1">
      <alignment vertical="top" wrapText="1"/>
    </xf>
    <xf numFmtId="0" fontId="3" fillId="0" borderId="0" xfId="21" applyAlignment="1">
      <alignment vertical="center"/>
    </xf>
    <xf numFmtId="172" fontId="3" fillId="0" borderId="0" xfId="21" applyNumberFormat="1"/>
    <xf numFmtId="0" fontId="12" fillId="4" borderId="6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2" fillId="4" borderId="6" xfId="0" applyFont="1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horizontal="right" vertical="center" wrapText="1"/>
    </xf>
    <xf numFmtId="0" fontId="0" fillId="0" borderId="0" xfId="0" applyAlignment="1">
      <alignment vertical="center"/>
    </xf>
    <xf numFmtId="172" fontId="0" fillId="0" borderId="0" xfId="0" applyNumberFormat="1"/>
    <xf numFmtId="0" fontId="9" fillId="4" borderId="6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172" fontId="26" fillId="6" borderId="3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2" fillId="0" borderId="0" xfId="8" applyFont="1" applyAlignment="1">
      <alignment horizontal="center" vertical="center"/>
    </xf>
    <xf numFmtId="0" fontId="42" fillId="5" borderId="9" xfId="8" applyFont="1" applyFill="1" applyBorder="1" applyAlignment="1">
      <alignment horizontal="center" vertical="center" wrapText="1"/>
    </xf>
    <xf numFmtId="0" fontId="42" fillId="5" borderId="9" xfId="0" applyFont="1" applyFill="1" applyBorder="1" applyAlignment="1">
      <alignment horizontal="center" vertical="center" wrapText="1"/>
    </xf>
    <xf numFmtId="164" fontId="42" fillId="5" borderId="9" xfId="8" applyNumberFormat="1" applyFont="1" applyFill="1" applyBorder="1" applyAlignment="1">
      <alignment horizontal="center" vertical="center" wrapText="1"/>
    </xf>
    <xf numFmtId="0" fontId="42" fillId="5" borderId="10" xfId="8" applyFont="1" applyFill="1" applyBorder="1" applyAlignment="1">
      <alignment horizontal="center" vertical="center"/>
    </xf>
    <xf numFmtId="0" fontId="42" fillId="5" borderId="3" xfId="8" applyFont="1" applyFill="1" applyBorder="1" applyAlignment="1">
      <alignment horizontal="center" vertical="center"/>
    </xf>
    <xf numFmtId="0" fontId="42" fillId="5" borderId="11" xfId="8" applyFont="1" applyFill="1" applyBorder="1" applyAlignment="1">
      <alignment horizontal="center" vertical="center"/>
    </xf>
    <xf numFmtId="0" fontId="42" fillId="5" borderId="9" xfId="8" applyFont="1" applyFill="1" applyBorder="1" applyAlignment="1">
      <alignment horizontal="center" vertical="center"/>
    </xf>
    <xf numFmtId="0" fontId="42" fillId="5" borderId="9" xfId="0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0" fontId="42" fillId="8" borderId="0" xfId="2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1" fillId="9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21" applyFont="1" applyAlignment="1">
      <alignment horizontal="right" vertical="center"/>
    </xf>
    <xf numFmtId="0" fontId="10" fillId="0" borderId="38" xfId="0" applyFont="1" applyBorder="1" applyAlignment="1">
      <alignment horizontal="left" vertical="top" wrapText="1" indent="1"/>
    </xf>
    <xf numFmtId="0" fontId="10" fillId="0" borderId="39" xfId="0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vertical="top" wrapText="1" indent="1"/>
    </xf>
    <xf numFmtId="0" fontId="10" fillId="0" borderId="8" xfId="0" applyFont="1" applyBorder="1" applyAlignment="1">
      <alignment horizontal="left" vertical="top" wrapText="1" indent="1"/>
    </xf>
    <xf numFmtId="0" fontId="10" fillId="0" borderId="40" xfId="0" applyFont="1" applyBorder="1" applyAlignment="1">
      <alignment horizontal="left" vertical="top" wrapText="1" indent="1"/>
    </xf>
    <xf numFmtId="0" fontId="10" fillId="0" borderId="41" xfId="0" applyFont="1" applyBorder="1" applyAlignment="1">
      <alignment horizontal="left" vertical="top" wrapText="1" indent="1"/>
    </xf>
    <xf numFmtId="0" fontId="26" fillId="8" borderId="12" xfId="21" applyFont="1" applyFill="1" applyBorder="1" applyAlignment="1">
      <alignment horizontal="center" vertical="center"/>
    </xf>
    <xf numFmtId="0" fontId="26" fillId="8" borderId="0" xfId="21" applyFont="1" applyFill="1" applyAlignment="1">
      <alignment horizontal="center" vertical="center"/>
    </xf>
    <xf numFmtId="0" fontId="26" fillId="10" borderId="9" xfId="8" applyFont="1" applyFill="1" applyBorder="1" applyAlignment="1">
      <alignment horizontal="center" vertical="center"/>
    </xf>
    <xf numFmtId="0" fontId="26" fillId="11" borderId="9" xfId="8" applyFont="1" applyFill="1" applyBorder="1" applyAlignment="1">
      <alignment horizontal="center" vertical="center"/>
    </xf>
    <xf numFmtId="0" fontId="26" fillId="12" borderId="9" xfId="8" applyFont="1" applyFill="1" applyBorder="1" applyAlignment="1">
      <alignment horizontal="center" vertical="center"/>
    </xf>
    <xf numFmtId="0" fontId="28" fillId="5" borderId="0" xfId="14" applyFont="1" applyFill="1" applyBorder="1" applyAlignment="1" applyProtection="1">
      <alignment vertical="center"/>
    </xf>
    <xf numFmtId="0" fontId="53" fillId="14" borderId="0" xfId="29" applyFont="1" applyFill="1" applyAlignment="1">
      <alignment horizontal="left" vertical="center"/>
    </xf>
    <xf numFmtId="0" fontId="49" fillId="0" borderId="0" xfId="29" applyFont="1" applyAlignment="1">
      <alignment horizontal="left" vertical="center"/>
    </xf>
    <xf numFmtId="0" fontId="54" fillId="14" borderId="0" xfId="29" applyFont="1" applyFill="1" applyAlignment="1">
      <alignment horizontal="left" vertical="center"/>
    </xf>
    <xf numFmtId="0" fontId="55" fillId="14" borderId="47" xfId="29" applyFont="1" applyFill="1" applyBorder="1" applyAlignment="1">
      <alignment horizontal="left" vertical="center" indent="1"/>
    </xf>
    <xf numFmtId="0" fontId="55" fillId="14" borderId="48" xfId="29" applyFont="1" applyFill="1" applyBorder="1" applyAlignment="1">
      <alignment horizontal="left" vertical="center" indent="1"/>
    </xf>
    <xf numFmtId="0" fontId="53" fillId="14" borderId="48" xfId="29" applyFont="1" applyFill="1" applyBorder="1" applyAlignment="1">
      <alignment horizontal="left" vertical="center" indent="1"/>
    </xf>
    <xf numFmtId="0" fontId="56" fillId="14" borderId="48" xfId="29" applyFont="1" applyFill="1" applyBorder="1" applyAlignment="1">
      <alignment horizontal="left" vertical="center" indent="1"/>
    </xf>
    <xf numFmtId="0" fontId="57" fillId="14" borderId="48" xfId="29" applyFont="1" applyFill="1" applyBorder="1" applyAlignment="1">
      <alignment horizontal="left" vertical="center" indent="1"/>
    </xf>
    <xf numFmtId="0" fontId="53" fillId="14" borderId="48" xfId="29" applyFont="1" applyFill="1" applyBorder="1" applyAlignment="1">
      <alignment horizontal="left" vertical="center"/>
    </xf>
    <xf numFmtId="0" fontId="53" fillId="14" borderId="49" xfId="29" applyFont="1" applyFill="1" applyBorder="1" applyAlignment="1">
      <alignment horizontal="left" vertical="center"/>
    </xf>
    <xf numFmtId="0" fontId="49" fillId="14" borderId="0" xfId="29" applyFont="1" applyFill="1" applyAlignment="1">
      <alignment horizontal="left" vertical="center"/>
    </xf>
    <xf numFmtId="0" fontId="58" fillId="0" borderId="0" xfId="29" applyFont="1" applyAlignment="1">
      <alignment horizontal="left" vertical="center"/>
    </xf>
    <xf numFmtId="0" fontId="59" fillId="0" borderId="0" xfId="29" applyFont="1" applyAlignment="1">
      <alignment horizontal="left" vertical="center"/>
    </xf>
    <xf numFmtId="0" fontId="49" fillId="14" borderId="50" xfId="29" applyFont="1" applyFill="1" applyBorder="1" applyAlignment="1">
      <alignment horizontal="left" vertical="center"/>
    </xf>
    <xf numFmtId="0" fontId="55" fillId="14" borderId="50" xfId="29" applyFont="1" applyFill="1" applyBorder="1" applyAlignment="1">
      <alignment horizontal="left" vertical="center"/>
    </xf>
    <xf numFmtId="0" fontId="49" fillId="14" borderId="51" xfId="29" applyFont="1" applyFill="1" applyBorder="1" applyAlignment="1">
      <alignment horizontal="left" vertical="center"/>
    </xf>
    <xf numFmtId="0" fontId="55" fillId="14" borderId="51" xfId="29" applyFont="1" applyFill="1" applyBorder="1" applyAlignment="1">
      <alignment horizontal="left" vertical="center"/>
    </xf>
    <xf numFmtId="0" fontId="42" fillId="14" borderId="0" xfId="29" applyFont="1" applyFill="1" applyAlignment="1">
      <alignment horizontal="left" vertical="center"/>
    </xf>
    <xf numFmtId="0" fontId="42" fillId="14" borderId="0" xfId="29" applyFont="1" applyFill="1" applyAlignment="1">
      <alignment horizontal="left" vertical="center"/>
    </xf>
    <xf numFmtId="0" fontId="60" fillId="14" borderId="0" xfId="29" applyFont="1" applyFill="1" applyAlignment="1">
      <alignment horizontal="left" vertical="center" indent="1"/>
    </xf>
    <xf numFmtId="0" fontId="42" fillId="14" borderId="0" xfId="30" applyNumberFormat="1" applyFont="1" applyFill="1" applyAlignment="1">
      <alignment horizontal="left" vertical="center"/>
    </xf>
    <xf numFmtId="0" fontId="42" fillId="14" borderId="0" xfId="14" applyFont="1" applyFill="1" applyAlignment="1" applyProtection="1">
      <alignment horizontal="left" vertical="center"/>
    </xf>
  </cellXfs>
  <cellStyles count="31">
    <cellStyle name="Comma" xfId="1" builtinId="3"/>
    <cellStyle name="Comma 2" xfId="2" xr:uid="{00000000-0005-0000-0000-000001000000}"/>
    <cellStyle name="Comma 2 2" xfId="3" xr:uid="{00000000-0005-0000-0000-000002000000}"/>
    <cellStyle name="Comma 5" xfId="22" xr:uid="{00000000-0005-0000-0000-000003000000}"/>
    <cellStyle name="Currency 2" xfId="4" xr:uid="{00000000-0005-0000-0000-000004000000}"/>
    <cellStyle name="Currency 2 2" xfId="5" xr:uid="{00000000-0005-0000-0000-000005000000}"/>
    <cellStyle name="Currency 3" xfId="6" xr:uid="{00000000-0005-0000-0000-000006000000}"/>
    <cellStyle name="Hyperlink" xfId="14" builtinId="8"/>
    <cellStyle name="Hyperlink 2" xfId="17" xr:uid="{00000000-0005-0000-0000-000008000000}"/>
    <cellStyle name="Hyperlink 3" xfId="30" xr:uid="{30D9A504-72F5-4766-9AB7-434EB1B75D61}"/>
    <cellStyle name="Normal" xfId="0" builtinId="0"/>
    <cellStyle name="Normal 10" xfId="21" xr:uid="{00000000-0005-0000-0000-00000A000000}"/>
    <cellStyle name="Normal 11" xfId="29" xr:uid="{3BEB852A-7348-47CB-BC7C-CCB899BB6293}"/>
    <cellStyle name="Normal 2" xfId="7" xr:uid="{00000000-0005-0000-0000-00000B000000}"/>
    <cellStyle name="Normal 2 2" xfId="8" xr:uid="{00000000-0005-0000-0000-00000C000000}"/>
    <cellStyle name="Normal 2 2 2" xfId="20" xr:uid="{00000000-0005-0000-0000-00000D000000}"/>
    <cellStyle name="Normal 2 2 2 2" xfId="28" xr:uid="{00000000-0005-0000-0000-00000E000000}"/>
    <cellStyle name="Normal 2 3" xfId="18" xr:uid="{00000000-0005-0000-0000-00000F000000}"/>
    <cellStyle name="Normal 3" xfId="9" xr:uid="{00000000-0005-0000-0000-000010000000}"/>
    <cellStyle name="Normal 3 2" xfId="23" xr:uid="{00000000-0005-0000-0000-000011000000}"/>
    <cellStyle name="Normal 4" xfId="16" xr:uid="{00000000-0005-0000-0000-000012000000}"/>
    <cellStyle name="Normal 5" xfId="19" xr:uid="{00000000-0005-0000-0000-000013000000}"/>
    <cellStyle name="Normal 6" xfId="15" xr:uid="{00000000-0005-0000-0000-000014000000}"/>
    <cellStyle name="Normal 6 2" xfId="24" xr:uid="{00000000-0005-0000-0000-000015000000}"/>
    <cellStyle name="Normal 7" xfId="25" xr:uid="{00000000-0005-0000-0000-000016000000}"/>
    <cellStyle name="Normal 8" xfId="26" xr:uid="{00000000-0005-0000-0000-000017000000}"/>
    <cellStyle name="Normal 9" xfId="27" xr:uid="{00000000-0005-0000-0000-000018000000}"/>
    <cellStyle name="Percent" xfId="10" builtinId="5"/>
    <cellStyle name="Percent 2" xfId="11" xr:uid="{00000000-0005-0000-0000-00001A000000}"/>
    <cellStyle name="Percent 2 2" xfId="12" xr:uid="{00000000-0005-0000-0000-00001B000000}"/>
    <cellStyle name="Percent 3" xfId="13" xr:uid="{00000000-0005-0000-0000-00001C000000}"/>
  </cellStyles>
  <dxfs count="5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345680"/>
      <color rgb="FF104985"/>
      <color rgb="FF264D74"/>
      <color rgb="FFF3E7FF"/>
      <color rgb="FFCCFFCC"/>
      <color rgb="FFFFFFCC"/>
      <color rgb="FF339966"/>
      <color rgb="FF99FF99"/>
      <color rgb="FFE6CD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68852459016424E-2"/>
          <c:y val="0.11706419611817263"/>
          <c:w val="0.90027322404371579"/>
          <c:h val="0.688064168608765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64D74"/>
            </a:solidFill>
          </c:spPr>
          <c:invertIfNegative val="0"/>
          <c:dLbls>
            <c:dLbl>
              <c:idx val="0"/>
              <c:tx>
                <c:strRef>
                  <c:f>'VII. Free Cash Flow '!$E$10</c:f>
                  <c:strCache>
                    <c:ptCount val="1"/>
                    <c:pt idx="0">
                      <c:v> (19.9)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{76563D7D-49A0-447C-BBE9-9C17F5E3801B}</c15:txfldGUID>
                      <c15:f>'VII. Free Cash Flow '!$E$10</c15:f>
                      <c15:dlblFieldTableCache>
                        <c:ptCount val="1"/>
                        <c:pt idx="0">
                          <c:v> (19.9)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50B-4CB8-87B4-665C00A8E7F6}"/>
                </c:ext>
              </c:extLst>
            </c:dLbl>
            <c:dLbl>
              <c:idx val="1"/>
              <c:tx>
                <c:strRef>
                  <c:f>'VII. Free Cash Flow '!$F$10</c:f>
                  <c:strCache>
                    <c:ptCount val="1"/>
                    <c:pt idx="0">
                      <c:v> (14.8)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{FFF29C15-9075-400B-8051-5D9BBA5806CF}</c15:txfldGUID>
                      <c15:f>'VII. Free Cash Flow '!$F$10</c15:f>
                      <c15:dlblFieldTableCache>
                        <c:ptCount val="1"/>
                        <c:pt idx="0">
                          <c:v> (14.8)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50B-4CB8-87B4-665C00A8E7F6}"/>
                </c:ext>
              </c:extLst>
            </c:dLbl>
            <c:dLbl>
              <c:idx val="2"/>
              <c:tx>
                <c:strRef>
                  <c:f>'VII. Free Cash Flow '!$G$10</c:f>
                  <c:strCache>
                    <c:ptCount val="1"/>
                    <c:pt idx="0">
                      <c:v> (6.0)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{926D7AC5-0247-4D5D-88A2-AFFEB115503E}</c15:txfldGUID>
                      <c15:f>'VII. Free Cash Flow '!$G$10</c15:f>
                      <c15:dlblFieldTableCache>
                        <c:ptCount val="1"/>
                        <c:pt idx="0">
                          <c:v> (6.0)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50B-4CB8-87B4-665C00A8E7F6}"/>
                </c:ext>
              </c:extLst>
            </c:dLbl>
            <c:dLbl>
              <c:idx val="3"/>
              <c:tx>
                <c:strRef>
                  <c:f>'VII. Free Cash Flow '!$H$10</c:f>
                  <c:strCache>
                    <c:ptCount val="1"/>
                    <c:pt idx="0">
                      <c:v> 1.7 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{08EC5684-07C1-47B2-B245-AF20337233F6}</c15:txfldGUID>
                      <c15:f>'VII. Free Cash Flow '!$H$10</c15:f>
                      <c15:dlblFieldTableCache>
                        <c:ptCount val="1"/>
                        <c:pt idx="0">
                          <c:v> 1.7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50B-4CB8-87B4-665C00A8E7F6}"/>
                </c:ext>
              </c:extLst>
            </c:dLbl>
            <c:dLbl>
              <c:idx val="4"/>
              <c:tx>
                <c:strRef>
                  <c:f>'VII. Free Cash Flow '!$I$10</c:f>
                  <c:strCache>
                    <c:ptCount val="1"/>
                    <c:pt idx="0">
                      <c:v> 3.8 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{0872315C-AFD6-4DF4-B0A5-45C5562875D1}</c15:txfldGUID>
                      <c15:f>'VII. Free Cash Flow '!$I$10</c15:f>
                      <c15:dlblFieldTableCache>
                        <c:ptCount val="1"/>
                        <c:pt idx="0">
                          <c:v> 3.8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50B-4CB8-87B4-665C00A8E7F6}"/>
                </c:ext>
              </c:extLst>
            </c:dLbl>
            <c:dLbl>
              <c:idx val="5"/>
              <c:tx>
                <c:strRef>
                  <c:f>'VII. Free Cash Flow '!$J$10</c:f>
                  <c:strCache>
                    <c:ptCount val="1"/>
                    <c:pt idx="0">
                      <c:v> (13.2)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{055587EF-BAA1-4C71-9FFC-FE99F425F3C1}</c15:txfldGUID>
                      <c15:f>'VII. Free Cash Flow '!$J$10</c15:f>
                      <c15:dlblFieldTableCache>
                        <c:ptCount val="1"/>
                        <c:pt idx="0">
                          <c:v> (13.2)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650B-4CB8-87B4-665C00A8E7F6}"/>
                </c:ext>
              </c:extLst>
            </c:dLbl>
            <c:dLbl>
              <c:idx val="6"/>
              <c:tx>
                <c:strRef>
                  <c:f>'VII. Free Cash Flow '!$K$10</c:f>
                  <c:strCache>
                    <c:ptCount val="1"/>
                    <c:pt idx="0">
                      <c:v> (6.6)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{C4ABEC67-0A98-4EF2-B7CD-4CBB6E00A6CC}</c15:txfldGUID>
                      <c15:f>'VII. Free Cash Flow '!$K$10</c15:f>
                      <c15:dlblFieldTableCache>
                        <c:ptCount val="1"/>
                        <c:pt idx="0">
                          <c:v> (6.6)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50B-4CB8-87B4-665C00A8E7F6}"/>
                </c:ext>
              </c:extLst>
            </c:dLbl>
            <c:dLbl>
              <c:idx val="7"/>
              <c:tx>
                <c:strRef>
                  <c:f>'VII. Free Cash Flow '!$L$10</c:f>
                  <c:strCache>
                    <c:ptCount val="1"/>
                    <c:pt idx="0">
                      <c:v> (28.4)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{4C9DD287-9733-4108-AF9A-FF52E25B0F06}</c15:txfldGUID>
                      <c15:f>'VII. Free Cash Flow '!$L$10</c15:f>
                      <c15:dlblFieldTableCache>
                        <c:ptCount val="1"/>
                        <c:pt idx="0">
                          <c:v> (28.4)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650B-4CB8-87B4-665C00A8E7F6}"/>
                </c:ext>
              </c:extLst>
            </c:dLbl>
            <c:dLbl>
              <c:idx val="8"/>
              <c:tx>
                <c:strRef>
                  <c:f>'VII. Free Cash Flow '!$M$10</c:f>
                  <c:strCache>
                    <c:ptCount val="1"/>
                    <c:pt idx="0">
                      <c:v> (38.0)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{B7DDB879-DB89-4BD3-A8E8-6A23A61B330E}</c15:txfldGUID>
                      <c15:f>'VII. Free Cash Flow '!$M$10</c15:f>
                      <c15:dlblFieldTableCache>
                        <c:ptCount val="1"/>
                        <c:pt idx="0">
                          <c:v> (38.0)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50B-4CB8-87B4-665C00A8E7F6}"/>
                </c:ext>
              </c:extLst>
            </c:dLbl>
            <c:dLbl>
              <c:idx val="9"/>
              <c:tx>
                <c:strRef>
                  <c:f>'VII. Free Cash Flow '!$N$10</c:f>
                  <c:strCache>
                    <c:ptCount val="1"/>
                    <c:pt idx="0">
                      <c:v> (11.8)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{E62D7276-BD09-46D0-BA9C-8A7FBBB7463D}</c15:txfldGUID>
                      <c15:f>'VII. Free Cash Flow '!$N$10</c15:f>
                      <c15:dlblFieldTableCache>
                        <c:ptCount val="1"/>
                        <c:pt idx="0">
                          <c:v> (11.8)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650B-4CB8-87B4-665C00A8E7F6}"/>
                </c:ext>
              </c:extLst>
            </c:dLbl>
            <c:dLbl>
              <c:idx val="10"/>
              <c:tx>
                <c:strRef>
                  <c:f>'VII. Free Cash Flow '!$O$10</c:f>
                  <c:strCache>
                    <c:ptCount val="1"/>
                    <c:pt idx="0">
                      <c:v> (14.4)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{D586B220-6739-44DE-BEFC-90AD7A549F9E}</c15:txfldGUID>
                      <c15:f>'VII. Free Cash Flow '!$O$10</c15:f>
                      <c15:dlblFieldTableCache>
                        <c:ptCount val="1"/>
                        <c:pt idx="0">
                          <c:v> (14.4)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650B-4CB8-87B4-665C00A8E7F6}"/>
                </c:ext>
              </c:extLst>
            </c:dLbl>
            <c:dLbl>
              <c:idx val="11"/>
              <c:tx>
                <c:strRef>
                  <c:f>'VII. Free Cash Flow '!$P$10</c:f>
                  <c:strCache>
                    <c:ptCount val="1"/>
                    <c:pt idx="0">
                      <c:v> (13.5)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{F3766729-A83E-4BA3-BF5F-8E6C3E0AE256}</c15:txfldGUID>
                      <c15:f>'VII. Free Cash Flow '!$P$10</c15:f>
                      <c15:dlblFieldTableCache>
                        <c:ptCount val="1"/>
                        <c:pt idx="0">
                          <c:v> (13.5)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650B-4CB8-87B4-665C00A8E7F6}"/>
                </c:ext>
              </c:extLst>
            </c:dLbl>
            <c:dLbl>
              <c:idx val="12"/>
              <c:tx>
                <c:strRef>
                  <c:f>'VII. Free Cash Flow '!$Q$10</c:f>
                  <c:strCache>
                    <c:ptCount val="1"/>
                    <c:pt idx="0">
                      <c:v> (26.8)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{F8614C99-D5AE-4522-89BD-753D4F3FABA1}</c15:txfldGUID>
                      <c15:f>'VII. Free Cash Flow '!$Q$10</c15:f>
                      <c15:dlblFieldTableCache>
                        <c:ptCount val="1"/>
                        <c:pt idx="0">
                          <c:v> (26.8)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650B-4CB8-87B4-665C00A8E7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'VII. Free Cash Flow '!$E$6:$AB$6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'VII. Free Cash Flow '!$E$10:$AB$10</c:f>
              <c:numCache>
                <c:formatCode>_(* #,##0.0_);_(* \(#,##0.0\);_(* "-"?_);_(@_)</c:formatCode>
                <c:ptCount val="24"/>
                <c:pt idx="0">
                  <c:v>-19.883555999999999</c:v>
                </c:pt>
                <c:pt idx="1">
                  <c:v>-14.843695556000002</c:v>
                </c:pt>
                <c:pt idx="2">
                  <c:v>-6.027144251555999</c:v>
                </c:pt>
                <c:pt idx="3">
                  <c:v>1.6875917409079868</c:v>
                </c:pt>
                <c:pt idx="4">
                  <c:v>3.8225563586488942</c:v>
                </c:pt>
                <c:pt idx="5">
                  <c:v>-13.220751684992459</c:v>
                </c:pt>
                <c:pt idx="6">
                  <c:v>-6.5531839999999946</c:v>
                </c:pt>
                <c:pt idx="7">
                  <c:v>-28.37044400000001</c:v>
                </c:pt>
                <c:pt idx="8">
                  <c:v>-38.045028999999992</c:v>
                </c:pt>
                <c:pt idx="9">
                  <c:v>-11.825255999999996</c:v>
                </c:pt>
                <c:pt idx="10">
                  <c:v>-14.39337999999999</c:v>
                </c:pt>
                <c:pt idx="11">
                  <c:v>-13.52889600000001</c:v>
                </c:pt>
                <c:pt idx="12">
                  <c:v>-26.776076000000003</c:v>
                </c:pt>
                <c:pt idx="13">
                  <c:v>-23.99986800000001</c:v>
                </c:pt>
                <c:pt idx="14">
                  <c:v>-28.222163000000005</c:v>
                </c:pt>
                <c:pt idx="15">
                  <c:v>-24.824524</c:v>
                </c:pt>
                <c:pt idx="16">
                  <c:v>-38.044535999999994</c:v>
                </c:pt>
                <c:pt idx="17">
                  <c:v>-37.500044999999993</c:v>
                </c:pt>
                <c:pt idx="18">
                  <c:v>-46.62341</c:v>
                </c:pt>
                <c:pt idx="19">
                  <c:v>-58.522277000000003</c:v>
                </c:pt>
                <c:pt idx="20">
                  <c:v>-96.944047999999981</c:v>
                </c:pt>
                <c:pt idx="21">
                  <c:v>-84.432039000000003</c:v>
                </c:pt>
                <c:pt idx="22">
                  <c:v>-89.896893000000006</c:v>
                </c:pt>
                <c:pt idx="23">
                  <c:v>-87.5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50B-4CB8-87B4-665C00A8E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48728576"/>
        <c:axId val="248771328"/>
      </c:barChart>
      <c:catAx>
        <c:axId val="2487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48771328"/>
        <c:crosses val="autoZero"/>
        <c:auto val="1"/>
        <c:lblAlgn val="ctr"/>
        <c:lblOffset val="100"/>
        <c:tickLblSkip val="1"/>
        <c:noMultiLvlLbl val="0"/>
      </c:catAx>
      <c:valAx>
        <c:axId val="248771328"/>
        <c:scaling>
          <c:orientation val="minMax"/>
          <c:min val="-1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9500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en-US" b="1"/>
                  <a:t>$ Billions</a:t>
                </a:r>
              </a:p>
            </c:rich>
          </c:tx>
          <c:layout>
            <c:manualLayout>
              <c:xMode val="edge"/>
              <c:yMode val="edge"/>
              <c:x val="1.0895939123934618E-2"/>
              <c:y val="1.9611428241156997E-2"/>
            </c:manualLayout>
          </c:layout>
          <c:overlay val="0"/>
        </c:title>
        <c:numFmt formatCode="#,##0_);\(#,##0\)" sourceLinked="0"/>
        <c:majorTickMark val="out"/>
        <c:minorTickMark val="out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48728576"/>
        <c:crosses val="autoZero"/>
        <c:crossBetween val="between"/>
        <c:majorUnit val="10"/>
        <c:minorUnit val="5"/>
      </c:valAx>
      <c:spPr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563660</xdr:colOff>
      <xdr:row>7</xdr:row>
      <xdr:rowOff>133349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2C1A240-B243-4826-A94B-1E1263CA6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4325" y="266700"/>
          <a:ext cx="877985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238123</xdr:colOff>
      <xdr:row>14</xdr:row>
      <xdr:rowOff>133350</xdr:rowOff>
    </xdr:from>
    <xdr:to>
      <xdr:col>26</xdr:col>
      <xdr:colOff>247649</xdr:colOff>
      <xdr:row>37</xdr:row>
      <xdr:rowOff>123825</xdr:rowOff>
    </xdr:to>
    <xdr:graphicFrame macro="">
      <xdr:nvGraphicFramePr>
        <xdr:cNvPr id="61446" name="Chart 2">
          <a:extLst>
            <a:ext uri="{FF2B5EF4-FFF2-40B4-BE49-F238E27FC236}">
              <a16:creationId xmlns:a16="http://schemas.microsoft.com/office/drawing/2014/main" id="{00000000-0008-0000-0800-000006F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4</xdr:col>
      <xdr:colOff>0</xdr:colOff>
      <xdr:row>16</xdr:row>
      <xdr:rowOff>2765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EDE2F-084B-49A2-9F86-99E962EF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81175"/>
          <a:ext cx="2943225" cy="81239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4</xdr:col>
      <xdr:colOff>0</xdr:colOff>
      <xdr:row>19</xdr:row>
      <xdr:rowOff>102985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9E26A7-7889-4B24-B233-841300004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81175"/>
          <a:ext cx="2943225" cy="139838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Credit_Ratings.xlsx" TargetMode="External"/><Relationship Id="rId1" Type="http://schemas.openxmlformats.org/officeDocument/2006/relationships/externalLinkPath" Target="2024_Q4_Credit_Ratin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\Dropbox\YEAR%20END%20UPDATES\2024_Q4_Stock_Performance.xlsx" TargetMode="External"/><Relationship Id="rId1" Type="http://schemas.openxmlformats.org/officeDocument/2006/relationships/externalLinkPath" Target="2024_Q4_Stock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CR"/>
      <sheetName val="Company List"/>
      <sheetName val="I. S&amp;P Ratings Distribution"/>
      <sheetName val="II. Upgrades &amp; Downgrades"/>
      <sheetName val="III. Total Ratings Actions"/>
      <sheetName val="IV. Direction Ratings Actions"/>
      <sheetName val="V. S&amp;P Ratings by Category"/>
      <sheetName val="VI. Credit Ratings Scales"/>
      <sheetName val="S&amp;P Scale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C6" t="str">
            <v>2024</v>
          </cell>
          <cell r="F6">
            <v>45657</v>
          </cell>
          <cell r="I6" t="str">
            <v>Q4</v>
          </cell>
        </row>
        <row r="7">
          <cell r="C7">
            <v>45291</v>
          </cell>
          <cell r="I7" t="str">
            <v>2024 Q4</v>
          </cell>
        </row>
        <row r="9">
          <cell r="I9" t="str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SP"/>
      <sheetName val="Company List"/>
      <sheetName val="I. Index"/>
      <sheetName val="II. Category"/>
      <sheetName val="III. Total Return"/>
      <sheetName val="IV. 10Y Monthly"/>
      <sheetName val="V. 10Y Daily"/>
      <sheetName val="VI. NG Spot"/>
      <sheetName val="VII. NG Futures"/>
      <sheetName val="VIII. Returns by Quarter"/>
      <sheetName val="IX &amp; X. Sectors"/>
      <sheetName val="XI. Market Cap"/>
      <sheetName val="XII. EEI Market Cap"/>
      <sheetName val="XIII. Comp Category Return"/>
      <sheetName val="XIV. EEI Index Top 10"/>
      <sheetName val="Category_Calc"/>
      <sheetName val="MASTER"/>
      <sheetName val="Master_Lookup"/>
      <sheetName val="12-Month Calculation"/>
      <sheetName val="YTD Calculation"/>
      <sheetName val="Calc_LTM"/>
      <sheetName val="Calc_YTD"/>
      <sheetName val="CompanyList"/>
      <sheetName val="Reg_Percent"/>
      <sheetName val="Settings"/>
      <sheetName val="En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C6" t="str">
            <v>2024</v>
          </cell>
        </row>
        <row r="11">
          <cell r="I11" t="str">
            <v>2024.4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i.org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tfrc.com/articles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etfrc.com/articles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2B8C-407C-44C6-BE7B-118362CF0C1A}">
  <sheetPr>
    <tabColor rgb="FF345680"/>
  </sheetPr>
  <dimension ref="A1:D75"/>
  <sheetViews>
    <sheetView showGridLines="0" tabSelected="1" workbookViewId="0"/>
  </sheetViews>
  <sheetFormatPr defaultColWidth="0" defaultRowHeight="11.1" customHeight="1" zeroHeight="1"/>
  <cols>
    <col min="1" max="2" width="4.7109375" style="318" customWidth="1"/>
    <col min="3" max="3" width="12.7109375" style="318" customWidth="1"/>
    <col min="4" max="4" width="58.7109375" style="318" customWidth="1"/>
    <col min="5" max="16384" width="9.140625" style="318" hidden="1"/>
  </cols>
  <sheetData>
    <row r="1" spans="1:4" ht="11.1" customHeight="1">
      <c r="A1" s="327"/>
      <c r="B1" s="327"/>
      <c r="C1" s="327"/>
      <c r="D1" s="327"/>
    </row>
    <row r="2" spans="1:4" ht="11.1" customHeight="1"/>
    <row r="3" spans="1:4" ht="11.1" customHeight="1"/>
    <row r="4" spans="1:4" ht="11.1" customHeight="1">
      <c r="D4" s="328" t="s">
        <v>323</v>
      </c>
    </row>
    <row r="5" spans="1:4" ht="11.1" customHeight="1">
      <c r="D5" s="328"/>
    </row>
    <row r="6" spans="1:4" ht="11.1" customHeight="1">
      <c r="D6" s="328"/>
    </row>
    <row r="7" spans="1:4" ht="11.1" customHeight="1">
      <c r="D7" s="329" t="s">
        <v>177</v>
      </c>
    </row>
    <row r="8" spans="1:4" ht="11.1" customHeight="1"/>
    <row r="9" spans="1:4" ht="11.1" customHeight="1"/>
    <row r="10" spans="1:4" ht="11.1" customHeight="1">
      <c r="A10" s="327"/>
      <c r="B10" s="327"/>
      <c r="C10" s="327"/>
      <c r="D10" s="327"/>
    </row>
    <row r="11" spans="1:4" ht="11.1" customHeight="1">
      <c r="A11" s="330"/>
      <c r="B11" s="331" t="s">
        <v>144</v>
      </c>
      <c r="C11" s="331"/>
      <c r="D11" s="331"/>
    </row>
    <row r="12" spans="1:4" ht="11.1" customHeight="1">
      <c r="A12" s="332"/>
      <c r="B12" s="333"/>
      <c r="C12" s="333"/>
      <c r="D12" s="333"/>
    </row>
    <row r="13" spans="1:4" ht="11.1" customHeight="1">
      <c r="A13" s="327"/>
      <c r="B13" s="327"/>
      <c r="C13" s="327"/>
      <c r="D13" s="327"/>
    </row>
    <row r="14" spans="1:4" ht="11.1" customHeight="1">
      <c r="A14" s="327"/>
      <c r="B14" s="334" t="s">
        <v>324</v>
      </c>
      <c r="C14" s="338" t="s">
        <v>149</v>
      </c>
      <c r="D14" s="338"/>
    </row>
    <row r="15" spans="1:4" ht="11.1" customHeight="1">
      <c r="A15" s="327"/>
      <c r="B15" s="334" t="s">
        <v>325</v>
      </c>
      <c r="C15" s="338" t="s">
        <v>148</v>
      </c>
      <c r="D15" s="338"/>
    </row>
    <row r="16" spans="1:4" ht="11.1" customHeight="1">
      <c r="A16" s="327"/>
      <c r="B16" s="334" t="s">
        <v>326</v>
      </c>
      <c r="C16" s="338" t="s">
        <v>220</v>
      </c>
      <c r="D16" s="338"/>
    </row>
    <row r="17" spans="1:4" ht="11.1" customHeight="1">
      <c r="A17" s="327"/>
      <c r="B17" s="334" t="s">
        <v>327</v>
      </c>
      <c r="C17" s="338" t="s">
        <v>219</v>
      </c>
      <c r="D17" s="338"/>
    </row>
    <row r="18" spans="1:4" ht="11.1" customHeight="1">
      <c r="A18" s="327"/>
      <c r="B18" s="334" t="s">
        <v>328</v>
      </c>
      <c r="C18" s="338" t="s">
        <v>218</v>
      </c>
      <c r="D18" s="338"/>
    </row>
    <row r="19" spans="1:4" ht="11.1" customHeight="1">
      <c r="A19" s="327"/>
      <c r="B19" s="334" t="s">
        <v>329</v>
      </c>
      <c r="C19" s="338" t="s">
        <v>150</v>
      </c>
      <c r="D19" s="338"/>
    </row>
    <row r="20" spans="1:4" ht="11.1" customHeight="1">
      <c r="A20" s="327"/>
      <c r="B20" s="334" t="s">
        <v>330</v>
      </c>
      <c r="C20" s="338" t="s">
        <v>113</v>
      </c>
      <c r="D20" s="338"/>
    </row>
    <row r="21" spans="1:4" ht="11.1" customHeight="1">
      <c r="A21" s="327"/>
      <c r="B21" s="334"/>
      <c r="C21" s="335"/>
      <c r="D21" s="335"/>
    </row>
    <row r="22" spans="1:4" ht="11.1" customHeight="1">
      <c r="A22" s="327"/>
      <c r="B22" s="334"/>
      <c r="C22" s="335"/>
      <c r="D22" s="335"/>
    </row>
    <row r="23" spans="1:4" ht="11.1" customHeight="1">
      <c r="A23" s="327"/>
      <c r="B23" s="334"/>
      <c r="C23" s="335"/>
      <c r="D23" s="335"/>
    </row>
    <row r="24" spans="1:4" ht="11.1" customHeight="1">
      <c r="A24" s="327"/>
      <c r="B24" s="334"/>
      <c r="C24" s="335"/>
      <c r="D24" s="335"/>
    </row>
    <row r="25" spans="1:4" ht="11.1" customHeight="1">
      <c r="A25" s="327"/>
      <c r="B25" s="334"/>
      <c r="C25" s="335"/>
      <c r="D25" s="335"/>
    </row>
    <row r="26" spans="1:4" ht="11.1" customHeight="1">
      <c r="A26" s="327"/>
      <c r="B26" s="334"/>
      <c r="C26" s="335"/>
      <c r="D26" s="335"/>
    </row>
    <row r="27" spans="1:4" ht="11.1" customHeight="1">
      <c r="A27" s="327"/>
      <c r="B27" s="327"/>
      <c r="C27" s="327"/>
      <c r="D27" s="327"/>
    </row>
    <row r="28" spans="1:4" ht="11.1" customHeight="1">
      <c r="A28" s="330"/>
      <c r="B28" s="331" t="s">
        <v>143</v>
      </c>
      <c r="C28" s="331"/>
      <c r="D28" s="331"/>
    </row>
    <row r="29" spans="1:4" ht="11.1" customHeight="1">
      <c r="A29" s="332"/>
      <c r="B29" s="333"/>
      <c r="C29" s="333"/>
      <c r="D29" s="333"/>
    </row>
    <row r="30" spans="1:4" ht="11.1" customHeight="1">
      <c r="A30" s="327"/>
      <c r="B30" s="327"/>
      <c r="C30" s="327"/>
      <c r="D30" s="327"/>
    </row>
    <row r="31" spans="1:4" ht="11.1" customHeight="1">
      <c r="A31" s="327"/>
      <c r="B31" s="335" t="s">
        <v>141</v>
      </c>
      <c r="C31" s="335"/>
      <c r="D31" s="335"/>
    </row>
    <row r="32" spans="1:4" ht="11.1" customHeight="1">
      <c r="A32" s="327"/>
      <c r="B32" s="336" t="s">
        <v>331</v>
      </c>
      <c r="C32" s="336"/>
      <c r="D32" s="336"/>
    </row>
    <row r="33" spans="1:4" ht="11.1" customHeight="1">
      <c r="A33" s="327"/>
      <c r="B33" s="336" t="s">
        <v>145</v>
      </c>
      <c r="C33" s="336"/>
      <c r="D33" s="336"/>
    </row>
    <row r="34" spans="1:4" ht="11.1" customHeight="1">
      <c r="A34" s="327"/>
      <c r="B34" s="336" t="s">
        <v>142</v>
      </c>
      <c r="C34" s="336"/>
      <c r="D34" s="336"/>
    </row>
    <row r="35" spans="1:4" ht="11.1" customHeight="1">
      <c r="A35" s="327"/>
      <c r="B35" s="317"/>
      <c r="C35" s="327"/>
      <c r="D35" s="327"/>
    </row>
    <row r="36" spans="1:4" ht="11.1" customHeight="1">
      <c r="A36" s="327"/>
      <c r="B36" s="335" t="s">
        <v>206</v>
      </c>
      <c r="C36" s="335"/>
      <c r="D36" s="335"/>
    </row>
    <row r="37" spans="1:4" ht="11.1" customHeight="1">
      <c r="A37" s="327"/>
      <c r="B37" s="336" t="s">
        <v>207</v>
      </c>
      <c r="C37" s="336"/>
      <c r="D37" s="336"/>
    </row>
    <row r="38" spans="1:4" ht="11.1" customHeight="1">
      <c r="A38" s="327"/>
      <c r="B38" s="336" t="s">
        <v>209</v>
      </c>
      <c r="C38" s="336"/>
      <c r="D38" s="336"/>
    </row>
    <row r="39" spans="1:4" ht="11.1" customHeight="1">
      <c r="A39" s="327"/>
      <c r="B39" s="336" t="s">
        <v>208</v>
      </c>
      <c r="C39" s="336"/>
      <c r="D39" s="336"/>
    </row>
    <row r="40" spans="1:4" ht="11.1" customHeight="1">
      <c r="A40" s="327"/>
      <c r="B40" s="317"/>
      <c r="C40" s="327"/>
      <c r="D40" s="327"/>
    </row>
    <row r="41" spans="1:4" ht="11.1" customHeight="1">
      <c r="A41" s="327"/>
      <c r="B41" s="335" t="s">
        <v>221</v>
      </c>
      <c r="C41" s="335"/>
      <c r="D41" s="335"/>
    </row>
    <row r="42" spans="1:4" ht="11.1" customHeight="1">
      <c r="A42" s="327"/>
      <c r="B42" s="336" t="s">
        <v>222</v>
      </c>
      <c r="C42" s="336"/>
      <c r="D42" s="336"/>
    </row>
    <row r="43" spans="1:4" ht="11.1" customHeight="1">
      <c r="A43" s="327"/>
      <c r="B43" s="336" t="s">
        <v>223</v>
      </c>
      <c r="C43" s="336"/>
      <c r="D43" s="336"/>
    </row>
    <row r="44" spans="1:4" ht="11.1" customHeight="1">
      <c r="A44" s="327"/>
      <c r="B44" s="336" t="s">
        <v>224</v>
      </c>
      <c r="C44" s="336"/>
      <c r="D44" s="336"/>
    </row>
    <row r="45" spans="1:4" ht="11.1" customHeight="1">
      <c r="A45" s="327"/>
      <c r="B45" s="327"/>
      <c r="C45" s="327"/>
      <c r="D45" s="327"/>
    </row>
    <row r="46" spans="1:4" ht="11.1" customHeight="1">
      <c r="A46" s="330"/>
      <c r="B46" s="331" t="s">
        <v>147</v>
      </c>
      <c r="C46" s="331"/>
      <c r="D46" s="331"/>
    </row>
    <row r="47" spans="1:4" ht="11.1" customHeight="1">
      <c r="A47" s="332"/>
      <c r="B47" s="333"/>
      <c r="C47" s="333"/>
      <c r="D47" s="333"/>
    </row>
    <row r="48" spans="1:4" ht="11.1" customHeight="1">
      <c r="A48" s="327"/>
      <c r="B48" s="327"/>
      <c r="C48" s="327"/>
      <c r="D48" s="327"/>
    </row>
    <row r="49" spans="1:4" ht="11.1" customHeight="1">
      <c r="A49" s="327"/>
      <c r="B49" s="337" t="s">
        <v>146</v>
      </c>
      <c r="C49" s="337"/>
      <c r="D49" s="337"/>
    </row>
    <row r="50" spans="1:4" ht="11.1" customHeight="1">
      <c r="A50" s="327"/>
      <c r="B50" s="327"/>
      <c r="C50" s="327"/>
      <c r="D50" s="327"/>
    </row>
    <row r="51" spans="1:4" ht="11.1" customHeight="1">
      <c r="A51" s="327"/>
      <c r="B51" s="327"/>
      <c r="C51" s="327"/>
      <c r="D51" s="327"/>
    </row>
    <row r="65" s="318" customFormat="1" ht="11.1" hidden="1" customHeight="1"/>
    <row r="66" s="318" customFormat="1" ht="11.1" hidden="1" customHeight="1"/>
    <row r="67" s="318" customFormat="1" ht="11.1" hidden="1" customHeight="1"/>
    <row r="68" s="318" customFormat="1" ht="11.1" hidden="1" customHeight="1"/>
    <row r="69" s="318" customFormat="1" ht="11.1" hidden="1" customHeight="1"/>
    <row r="70" s="318" customFormat="1" ht="11.1" hidden="1" customHeight="1"/>
    <row r="71" s="318" customFormat="1" ht="11.1" hidden="1" customHeight="1"/>
    <row r="72" s="318" customFormat="1" ht="11.1" hidden="1" customHeight="1"/>
    <row r="73" s="318" customFormat="1" ht="11.1" hidden="1" customHeight="1"/>
    <row r="74" s="318" customFormat="1" ht="11.1" hidden="1" customHeight="1"/>
    <row r="75" s="318" customFormat="1" ht="11.1" hidden="1" customHeight="1"/>
  </sheetData>
  <mergeCells count="30">
    <mergeCell ref="B41:D41"/>
    <mergeCell ref="B42:D42"/>
    <mergeCell ref="B43:D43"/>
    <mergeCell ref="B44:D44"/>
    <mergeCell ref="B46:D47"/>
    <mergeCell ref="B49:D49"/>
    <mergeCell ref="B33:D33"/>
    <mergeCell ref="B34:D34"/>
    <mergeCell ref="B36:D36"/>
    <mergeCell ref="B37:D37"/>
    <mergeCell ref="B38:D38"/>
    <mergeCell ref="B39:D39"/>
    <mergeCell ref="C24:D24"/>
    <mergeCell ref="C25:D25"/>
    <mergeCell ref="C26:D26"/>
    <mergeCell ref="B28:D29"/>
    <mergeCell ref="B31:D31"/>
    <mergeCell ref="B32:D32"/>
    <mergeCell ref="C18:D18"/>
    <mergeCell ref="C19:D19"/>
    <mergeCell ref="C20:D20"/>
    <mergeCell ref="C21:D21"/>
    <mergeCell ref="C22:D22"/>
    <mergeCell ref="C23:D23"/>
    <mergeCell ref="D4:D6"/>
    <mergeCell ref="B11:D12"/>
    <mergeCell ref="C14:D14"/>
    <mergeCell ref="C15:D15"/>
    <mergeCell ref="C16:D16"/>
    <mergeCell ref="C17:D17"/>
  </mergeCells>
  <hyperlinks>
    <hyperlink ref="B49:D49" r:id="rId1" display="Edison Electric Institute (EEI)" xr:uid="{D0D1CFDF-AEFA-432A-8B72-23BDDD8CC586}"/>
    <hyperlink ref="C14:D14" location="'I. Sector Payout Ratio'!A1" display="Sector Payout Ratio" xr:uid="{18299966-6B9A-436A-B124-B696821967C5}"/>
    <hyperlink ref="C15:D15" location="'II. Sector Yield'!A1" display="Sector Yield" xr:uid="{2F1D142B-EDC7-4ECB-8AF4-639A08BFEC86}"/>
    <hyperlink ref="C16:D16" location="'III. Dividend Patterns'!A1" display="Dividend Patterns" xr:uid="{97232173-C606-4A3E-A643-610A8CC33951}"/>
    <hyperlink ref="C17:D17" location="'IV. Category Payout Ratio'!A1" display="Category Payout Ratio" xr:uid="{6D9A5803-E361-4F98-91F8-42B3F886DBC2}"/>
    <hyperlink ref="C18:D18" location="'V. Category Yield'!A1" display="Category Yield" xr:uid="{D60A7362-D1D7-4D2A-BCE8-4D8AA1D3C7EA}"/>
    <hyperlink ref="C19:D19" location="'VI. Dividend Summary'!A1" display="Dividend Summary" xr:uid="{9C16658A-E6AE-4A2E-90F0-2B9C4EC9518D}"/>
    <hyperlink ref="C20:D20" location="'VII. Free Cash Flow '!A1" display="Free Cash Flow" xr:uid="{ABF5F906-61AC-45ED-B09A-11C369032252}"/>
  </hyperlinks>
  <printOptions horizontalCentered="1"/>
  <pageMargins left="0.75" right="0.75" top="0.75" bottom="0.75" header="0.3" footer="0.3"/>
  <pageSetup scale="11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6305-D487-418B-91BB-B6ECC61D4544}">
  <sheetPr codeName="Sheet6"/>
  <dimension ref="B2:BI10"/>
  <sheetViews>
    <sheetView showGridLines="0" zoomScale="80" zoomScaleNormal="80" workbookViewId="0">
      <selection activeCell="BK2" sqref="BK2"/>
    </sheetView>
  </sheetViews>
  <sheetFormatPr defaultColWidth="9.140625" defaultRowHeight="12.75"/>
  <cols>
    <col min="1" max="1" width="2.7109375" style="144" customWidth="1"/>
    <col min="2" max="2" width="14.7109375" style="144" customWidth="1"/>
    <col min="3" max="11" width="14.7109375" style="146" customWidth="1"/>
    <col min="12" max="12" width="2.7109375" style="146" customWidth="1"/>
    <col min="13" max="32" width="2.7109375" style="144" customWidth="1"/>
    <col min="33" max="41" width="3.7109375" style="144" customWidth="1"/>
    <col min="42" max="62" width="2.7109375" style="144" customWidth="1"/>
    <col min="63" max="16384" width="9.140625" style="144"/>
  </cols>
  <sheetData>
    <row r="2" spans="2:61">
      <c r="C2" s="145" t="s">
        <v>128</v>
      </c>
      <c r="D2" s="145" t="s">
        <v>130</v>
      </c>
      <c r="E2" s="145" t="s">
        <v>131</v>
      </c>
      <c r="F2" s="145" t="s">
        <v>132</v>
      </c>
      <c r="G2" s="145" t="s">
        <v>133</v>
      </c>
      <c r="H2" s="145" t="s">
        <v>134</v>
      </c>
      <c r="I2" s="145" t="s">
        <v>135</v>
      </c>
      <c r="J2" s="145" t="s">
        <v>136</v>
      </c>
      <c r="K2" s="145" t="s">
        <v>129</v>
      </c>
      <c r="M2" s="300" t="s">
        <v>212</v>
      </c>
      <c r="N2" s="300"/>
      <c r="O2" s="300"/>
      <c r="P2" s="300"/>
      <c r="Q2" s="300"/>
      <c r="R2" s="300"/>
      <c r="S2" s="300"/>
      <c r="T2" s="300"/>
      <c r="U2" s="300"/>
      <c r="W2" s="300" t="s">
        <v>213</v>
      </c>
      <c r="X2" s="300"/>
      <c r="Y2" s="300"/>
      <c r="Z2" s="300"/>
      <c r="AA2" s="300"/>
      <c r="AB2" s="300"/>
      <c r="AC2" s="300"/>
      <c r="AD2" s="300"/>
      <c r="AE2" s="300"/>
      <c r="AG2" s="300" t="s">
        <v>214</v>
      </c>
      <c r="AH2" s="300"/>
      <c r="AI2" s="300"/>
      <c r="AJ2" s="300"/>
      <c r="AK2" s="300"/>
      <c r="AL2" s="300"/>
      <c r="AM2" s="300"/>
      <c r="AN2" s="300"/>
      <c r="AO2" s="300"/>
      <c r="AQ2" s="300" t="s">
        <v>215</v>
      </c>
      <c r="AR2" s="300"/>
      <c r="AS2" s="300"/>
      <c r="AT2" s="300"/>
      <c r="AU2" s="300"/>
      <c r="AV2" s="300"/>
      <c r="AW2" s="300"/>
      <c r="AX2" s="300"/>
      <c r="AY2" s="300"/>
      <c r="BA2" s="300" t="s">
        <v>216</v>
      </c>
      <c r="BB2" s="300"/>
      <c r="BC2" s="300"/>
      <c r="BD2" s="300"/>
      <c r="BE2" s="300"/>
      <c r="BF2" s="300"/>
      <c r="BG2" s="300"/>
      <c r="BH2" s="300"/>
      <c r="BI2" s="300"/>
    </row>
    <row r="3" spans="2:61">
      <c r="C3" s="147" t="s">
        <v>97</v>
      </c>
      <c r="D3" s="147" t="s">
        <v>98</v>
      </c>
      <c r="E3" s="147" t="s">
        <v>99</v>
      </c>
      <c r="F3" s="147" t="s">
        <v>73</v>
      </c>
      <c r="G3" s="147" t="s">
        <v>100</v>
      </c>
      <c r="H3" s="147" t="s">
        <v>101</v>
      </c>
      <c r="I3" s="147" t="s">
        <v>102</v>
      </c>
      <c r="J3" s="147" t="s">
        <v>2</v>
      </c>
      <c r="K3" s="147" t="s">
        <v>103</v>
      </c>
      <c r="L3" s="147"/>
    </row>
    <row r="4" spans="2:61">
      <c r="B4" s="238">
        <v>45657</v>
      </c>
      <c r="C4" s="239">
        <v>22.3</v>
      </c>
      <c r="D4" s="239">
        <v>52.4</v>
      </c>
      <c r="E4" s="239">
        <v>48.5</v>
      </c>
      <c r="F4" s="239">
        <v>25.7</v>
      </c>
      <c r="G4" s="239">
        <v>34.5</v>
      </c>
      <c r="H4" s="239">
        <v>36.299999999999997</v>
      </c>
      <c r="I4" s="239">
        <v>43.9</v>
      </c>
      <c r="J4" s="239">
        <v>27</v>
      </c>
      <c r="K4" s="239">
        <v>58.1</v>
      </c>
      <c r="L4" s="148"/>
      <c r="M4" s="149">
        <f t="shared" ref="M4:U4" si="0">RANK(C4,$C4:$K4,0)</f>
        <v>9</v>
      </c>
      <c r="N4" s="149">
        <f t="shared" si="0"/>
        <v>2</v>
      </c>
      <c r="O4" s="149">
        <f t="shared" si="0"/>
        <v>3</v>
      </c>
      <c r="P4" s="149">
        <f t="shared" si="0"/>
        <v>8</v>
      </c>
      <c r="Q4" s="149">
        <f t="shared" si="0"/>
        <v>6</v>
      </c>
      <c r="R4" s="149">
        <f t="shared" si="0"/>
        <v>5</v>
      </c>
      <c r="S4" s="149">
        <f t="shared" si="0"/>
        <v>4</v>
      </c>
      <c r="T4" s="149">
        <f t="shared" si="0"/>
        <v>7</v>
      </c>
      <c r="U4" s="149">
        <f t="shared" si="0"/>
        <v>1</v>
      </c>
      <c r="W4" s="149">
        <f>COUNTIF($M4:M4,M4)-1</f>
        <v>0</v>
      </c>
      <c r="X4" s="149">
        <f>COUNTIF($M4:N4,N4)-1</f>
        <v>0</v>
      </c>
      <c r="Y4" s="149">
        <f>COUNTIF($M4:O4,O4)-1</f>
        <v>0</v>
      </c>
      <c r="Z4" s="149">
        <f>COUNTIF($M4:P4,P4)-1</f>
        <v>0</v>
      </c>
      <c r="AA4" s="149">
        <f>COUNTIF($M4:Q4,Q4)-1</f>
        <v>0</v>
      </c>
      <c r="AB4" s="149">
        <f>COUNTIF($M4:R4,R4)-1</f>
        <v>0</v>
      </c>
      <c r="AC4" s="149">
        <f>COUNTIF($M4:S4,S4)-1</f>
        <v>0</v>
      </c>
      <c r="AD4" s="149">
        <f>COUNTIF($M4:T4,T4)-1</f>
        <v>0</v>
      </c>
      <c r="AE4" s="149">
        <f>COUNTIF($M4:U4,U4)-1</f>
        <v>0</v>
      </c>
      <c r="AG4" s="150">
        <f>M4+W4/10</f>
        <v>9</v>
      </c>
      <c r="AH4" s="150">
        <f t="shared" ref="AH4:AO4" si="1">N4+X4/10</f>
        <v>2</v>
      </c>
      <c r="AI4" s="150">
        <f t="shared" si="1"/>
        <v>3</v>
      </c>
      <c r="AJ4" s="150">
        <f t="shared" si="1"/>
        <v>8</v>
      </c>
      <c r="AK4" s="150">
        <f t="shared" si="1"/>
        <v>6</v>
      </c>
      <c r="AL4" s="150">
        <f t="shared" si="1"/>
        <v>5</v>
      </c>
      <c r="AM4" s="150">
        <f t="shared" si="1"/>
        <v>4</v>
      </c>
      <c r="AN4" s="150">
        <f t="shared" si="1"/>
        <v>7</v>
      </c>
      <c r="AO4" s="150">
        <f t="shared" si="1"/>
        <v>1</v>
      </c>
      <c r="AQ4" s="151">
        <f t="shared" ref="AQ4:AY4" si="2">RANK(AG4,$AG4:$AO4,1)</f>
        <v>9</v>
      </c>
      <c r="AR4" s="151">
        <f t="shared" si="2"/>
        <v>2</v>
      </c>
      <c r="AS4" s="151">
        <f t="shared" si="2"/>
        <v>3</v>
      </c>
      <c r="AT4" s="151">
        <f t="shared" si="2"/>
        <v>8</v>
      </c>
      <c r="AU4" s="151">
        <f t="shared" si="2"/>
        <v>6</v>
      </c>
      <c r="AV4" s="151">
        <f t="shared" si="2"/>
        <v>5</v>
      </c>
      <c r="AW4" s="151">
        <f t="shared" si="2"/>
        <v>4</v>
      </c>
      <c r="AX4" s="151">
        <f t="shared" si="2"/>
        <v>7</v>
      </c>
      <c r="AY4" s="151">
        <f t="shared" si="2"/>
        <v>1</v>
      </c>
      <c r="BA4" s="151">
        <f>MATCH(1,$AQ$4:$AY$4,0)</f>
        <v>9</v>
      </c>
      <c r="BB4" s="151">
        <f>MATCH(2,$AQ$4:$AY$4,0)</f>
        <v>2</v>
      </c>
      <c r="BC4" s="151">
        <f>MATCH(3,$AQ$4:$AY$4,0)</f>
        <v>3</v>
      </c>
      <c r="BD4" s="151">
        <f>MATCH(4,$AQ$4:$AY$4,0)</f>
        <v>7</v>
      </c>
      <c r="BE4" s="151">
        <f>MATCH(5,$AQ$4:$AY$4,0)</f>
        <v>6</v>
      </c>
      <c r="BF4" s="151">
        <f>MATCH(6,$AQ$4:$AY$4,0)</f>
        <v>5</v>
      </c>
      <c r="BG4" s="151">
        <f>MATCH(7,$AQ$4:$AY$4,0)</f>
        <v>8</v>
      </c>
      <c r="BH4" s="151">
        <f>MATCH(8,$AQ$4:$AY$4,0)</f>
        <v>4</v>
      </c>
      <c r="BI4" s="151">
        <f>MATCH(9,$AQ$4:$AY$4,0)</f>
        <v>1</v>
      </c>
    </row>
    <row r="6" spans="2:61">
      <c r="B6" s="152" t="s">
        <v>198</v>
      </c>
    </row>
    <row r="8" spans="2:61">
      <c r="B8" s="230" t="s">
        <v>272</v>
      </c>
      <c r="C8" s="144"/>
      <c r="D8" s="144"/>
      <c r="E8" s="144"/>
      <c r="F8" s="144"/>
      <c r="G8" s="144"/>
      <c r="H8" s="144"/>
      <c r="I8" s="144"/>
      <c r="J8" s="144"/>
      <c r="K8" s="144"/>
    </row>
    <row r="10" spans="2:61">
      <c r="B10" s="265" t="s">
        <v>297</v>
      </c>
    </row>
  </sheetData>
  <mergeCells count="5">
    <mergeCell ref="M2:U2"/>
    <mergeCell ref="W2:AE2"/>
    <mergeCell ref="AG2:AO2"/>
    <mergeCell ref="AQ2:AY2"/>
    <mergeCell ref="BA2:BI2"/>
  </mergeCells>
  <hyperlinks>
    <hyperlink ref="B6" r:id="rId1" xr:uid="{E0FE5E37-038A-4657-A120-3128C0A9E358}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37C1-D4B4-4535-A59A-F52077FE0CFB}">
  <sheetPr codeName="Sheet7"/>
  <dimension ref="B2:BI10"/>
  <sheetViews>
    <sheetView showGridLines="0" zoomScale="80" zoomScaleNormal="80" workbookViewId="0">
      <selection activeCell="BK2" sqref="BK2"/>
    </sheetView>
  </sheetViews>
  <sheetFormatPr defaultColWidth="9.140625" defaultRowHeight="12.75"/>
  <cols>
    <col min="1" max="1" width="2.7109375" style="144" customWidth="1"/>
    <col min="2" max="2" width="14.7109375" style="144" customWidth="1"/>
    <col min="3" max="11" width="14.7109375" style="146" customWidth="1"/>
    <col min="12" max="12" width="2.7109375" style="146" customWidth="1"/>
    <col min="13" max="32" width="2.7109375" style="144" customWidth="1"/>
    <col min="33" max="41" width="3.7109375" style="144" customWidth="1"/>
    <col min="42" max="62" width="2.7109375" style="144" customWidth="1"/>
    <col min="63" max="16384" width="9.140625" style="144"/>
  </cols>
  <sheetData>
    <row r="2" spans="2:61">
      <c r="C2" s="145" t="s">
        <v>128</v>
      </c>
      <c r="D2" s="145" t="s">
        <v>130</v>
      </c>
      <c r="E2" s="145" t="s">
        <v>131</v>
      </c>
      <c r="F2" s="145" t="s">
        <v>132</v>
      </c>
      <c r="G2" s="145" t="s">
        <v>133</v>
      </c>
      <c r="H2" s="145" t="s">
        <v>134</v>
      </c>
      <c r="I2" s="145" t="s">
        <v>135</v>
      </c>
      <c r="J2" s="145" t="s">
        <v>136</v>
      </c>
      <c r="K2" s="145" t="s">
        <v>129</v>
      </c>
      <c r="M2" s="300" t="s">
        <v>212</v>
      </c>
      <c r="N2" s="300"/>
      <c r="O2" s="300"/>
      <c r="P2" s="300"/>
      <c r="Q2" s="300"/>
      <c r="R2" s="300"/>
      <c r="S2" s="300"/>
      <c r="T2" s="300"/>
      <c r="U2" s="300"/>
      <c r="W2" s="300" t="s">
        <v>213</v>
      </c>
      <c r="X2" s="300"/>
      <c r="Y2" s="300"/>
      <c r="Z2" s="300"/>
      <c r="AA2" s="300"/>
      <c r="AB2" s="300"/>
      <c r="AC2" s="300"/>
      <c r="AD2" s="300"/>
      <c r="AE2" s="300"/>
      <c r="AG2" s="300" t="s">
        <v>214</v>
      </c>
      <c r="AH2" s="300"/>
      <c r="AI2" s="300"/>
      <c r="AJ2" s="300"/>
      <c r="AK2" s="300"/>
      <c r="AL2" s="300"/>
      <c r="AM2" s="300"/>
      <c r="AN2" s="300"/>
      <c r="AO2" s="300"/>
      <c r="AQ2" s="300" t="s">
        <v>215</v>
      </c>
      <c r="AR2" s="300"/>
      <c r="AS2" s="300"/>
      <c r="AT2" s="300"/>
      <c r="AU2" s="300"/>
      <c r="AV2" s="300"/>
      <c r="AW2" s="300"/>
      <c r="AX2" s="300"/>
      <c r="AY2" s="300"/>
      <c r="BA2" s="300" t="s">
        <v>216</v>
      </c>
      <c r="BB2" s="300"/>
      <c r="BC2" s="300"/>
      <c r="BD2" s="300"/>
      <c r="BE2" s="300"/>
      <c r="BF2" s="300"/>
      <c r="BG2" s="300"/>
      <c r="BH2" s="300"/>
      <c r="BI2" s="300"/>
    </row>
    <row r="3" spans="2:61">
      <c r="C3" s="147" t="s">
        <v>97</v>
      </c>
      <c r="D3" s="147" t="s">
        <v>98</v>
      </c>
      <c r="E3" s="147" t="s">
        <v>99</v>
      </c>
      <c r="F3" s="147" t="s">
        <v>73</v>
      </c>
      <c r="G3" s="147" t="s">
        <v>100</v>
      </c>
      <c r="H3" s="147" t="s">
        <v>101</v>
      </c>
      <c r="I3" s="147" t="s">
        <v>102</v>
      </c>
      <c r="J3" s="147" t="s">
        <v>2</v>
      </c>
      <c r="K3" s="147" t="s">
        <v>103</v>
      </c>
      <c r="L3" s="147"/>
    </row>
    <row r="4" spans="2:61">
      <c r="B4" s="238">
        <v>45657</v>
      </c>
      <c r="C4" s="239">
        <v>0.8</v>
      </c>
      <c r="D4" s="239">
        <v>2.7</v>
      </c>
      <c r="E4" s="239">
        <v>3.5</v>
      </c>
      <c r="F4" s="239">
        <v>1.5</v>
      </c>
      <c r="G4" s="239">
        <v>1.7</v>
      </c>
      <c r="H4" s="239">
        <v>1.5</v>
      </c>
      <c r="I4" s="239">
        <v>2.1</v>
      </c>
      <c r="J4" s="239">
        <v>0.8</v>
      </c>
      <c r="K4" s="239">
        <v>3.1</v>
      </c>
      <c r="L4" s="148"/>
      <c r="M4" s="149">
        <f t="shared" ref="M4:U4" si="0">RANK(C4,$C4:$K4,0)</f>
        <v>8</v>
      </c>
      <c r="N4" s="149">
        <f t="shared" si="0"/>
        <v>3</v>
      </c>
      <c r="O4" s="149">
        <f t="shared" si="0"/>
        <v>1</v>
      </c>
      <c r="P4" s="149">
        <f t="shared" si="0"/>
        <v>6</v>
      </c>
      <c r="Q4" s="149">
        <f t="shared" si="0"/>
        <v>5</v>
      </c>
      <c r="R4" s="149">
        <f t="shared" si="0"/>
        <v>6</v>
      </c>
      <c r="S4" s="149">
        <f t="shared" si="0"/>
        <v>4</v>
      </c>
      <c r="T4" s="149">
        <f t="shared" si="0"/>
        <v>8</v>
      </c>
      <c r="U4" s="149">
        <f t="shared" si="0"/>
        <v>2</v>
      </c>
      <c r="W4" s="149">
        <f>COUNTIF($M4:M4,M4)-1</f>
        <v>0</v>
      </c>
      <c r="X4" s="149">
        <f>COUNTIF($M4:N4,N4)-1</f>
        <v>0</v>
      </c>
      <c r="Y4" s="149">
        <f>COUNTIF($M4:O4,O4)-1</f>
        <v>0</v>
      </c>
      <c r="Z4" s="149">
        <f>COUNTIF($M4:P4,P4)-1</f>
        <v>0</v>
      </c>
      <c r="AA4" s="149">
        <f>COUNTIF($M4:Q4,Q4)-1</f>
        <v>0</v>
      </c>
      <c r="AB4" s="149">
        <f>COUNTIF($M4:R4,R4)-1</f>
        <v>1</v>
      </c>
      <c r="AC4" s="149">
        <f>COUNTIF($M4:S4,S4)-1</f>
        <v>0</v>
      </c>
      <c r="AD4" s="149">
        <f>COUNTIF($M4:T4,T4)-1</f>
        <v>1</v>
      </c>
      <c r="AE4" s="149">
        <f>COUNTIF($M4:U4,U4)-1</f>
        <v>0</v>
      </c>
      <c r="AG4" s="150">
        <f>M4+W4/10</f>
        <v>8</v>
      </c>
      <c r="AH4" s="150">
        <f t="shared" ref="AH4:AO4" si="1">N4+X4/10</f>
        <v>3</v>
      </c>
      <c r="AI4" s="150">
        <f t="shared" si="1"/>
        <v>1</v>
      </c>
      <c r="AJ4" s="150">
        <f t="shared" si="1"/>
        <v>6</v>
      </c>
      <c r="AK4" s="150">
        <f t="shared" si="1"/>
        <v>5</v>
      </c>
      <c r="AL4" s="150">
        <f t="shared" si="1"/>
        <v>6.1</v>
      </c>
      <c r="AM4" s="150">
        <f t="shared" si="1"/>
        <v>4</v>
      </c>
      <c r="AN4" s="150">
        <f t="shared" si="1"/>
        <v>8.1</v>
      </c>
      <c r="AO4" s="150">
        <f t="shared" si="1"/>
        <v>2</v>
      </c>
      <c r="AQ4" s="151">
        <f t="shared" ref="AQ4:AY4" si="2">RANK(AG4,$AG4:$AO4,1)</f>
        <v>8</v>
      </c>
      <c r="AR4" s="151">
        <f t="shared" si="2"/>
        <v>3</v>
      </c>
      <c r="AS4" s="151">
        <f t="shared" si="2"/>
        <v>1</v>
      </c>
      <c r="AT4" s="151">
        <f t="shared" si="2"/>
        <v>6</v>
      </c>
      <c r="AU4" s="151">
        <f t="shared" si="2"/>
        <v>5</v>
      </c>
      <c r="AV4" s="151">
        <f t="shared" si="2"/>
        <v>7</v>
      </c>
      <c r="AW4" s="151">
        <f t="shared" si="2"/>
        <v>4</v>
      </c>
      <c r="AX4" s="151">
        <f t="shared" si="2"/>
        <v>9</v>
      </c>
      <c r="AY4" s="151">
        <f t="shared" si="2"/>
        <v>2</v>
      </c>
      <c r="BA4" s="151">
        <f>MATCH(1,$AQ$4:$AY$4,0)</f>
        <v>3</v>
      </c>
      <c r="BB4" s="151">
        <f>MATCH(2,$AQ$4:$AY$4,0)</f>
        <v>9</v>
      </c>
      <c r="BC4" s="151">
        <f>MATCH(3,$AQ$4:$AY$4,0)</f>
        <v>2</v>
      </c>
      <c r="BD4" s="151">
        <f>MATCH(4,$AQ$4:$AY$4,0)</f>
        <v>7</v>
      </c>
      <c r="BE4" s="151">
        <f>MATCH(5,$AQ$4:$AY$4,0)</f>
        <v>5</v>
      </c>
      <c r="BF4" s="151">
        <f>MATCH(6,$AQ$4:$AY$4,0)</f>
        <v>4</v>
      </c>
      <c r="BG4" s="151">
        <f>MATCH(7,$AQ$4:$AY$4,0)</f>
        <v>6</v>
      </c>
      <c r="BH4" s="151">
        <f>MATCH(8,$AQ$4:$AY$4,0)</f>
        <v>1</v>
      </c>
      <c r="BI4" s="151">
        <f>MATCH(9,$AQ$4:$AY$4,0)</f>
        <v>8</v>
      </c>
    </row>
    <row r="6" spans="2:61">
      <c r="B6" s="152" t="s">
        <v>198</v>
      </c>
    </row>
    <row r="8" spans="2:61">
      <c r="B8" s="230" t="s">
        <v>272</v>
      </c>
      <c r="C8" s="144"/>
      <c r="D8" s="144"/>
      <c r="E8" s="144"/>
      <c r="F8" s="144"/>
      <c r="G8" s="144"/>
      <c r="H8" s="144"/>
      <c r="I8" s="144"/>
      <c r="J8" s="144"/>
      <c r="K8" s="144"/>
    </row>
    <row r="10" spans="2:61">
      <c r="B10" s="265" t="s">
        <v>297</v>
      </c>
    </row>
  </sheetData>
  <mergeCells count="5">
    <mergeCell ref="M2:U2"/>
    <mergeCell ref="W2:AE2"/>
    <mergeCell ref="AG2:AO2"/>
    <mergeCell ref="AQ2:AY2"/>
    <mergeCell ref="BA2:BI2"/>
  </mergeCells>
  <hyperlinks>
    <hyperlink ref="B6" r:id="rId1" xr:uid="{C9DCA1EE-D87E-4FB4-94F1-75E003E5A2F4}"/>
  </hyperlinks>
  <pageMargins left="0.7" right="0.7" top="0.75" bottom="0.7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F185-DD68-4C00-B0E2-2663DE3470F7}">
  <dimension ref="B1:Z12"/>
  <sheetViews>
    <sheetView showGridLines="0" zoomScaleNormal="100" workbookViewId="0">
      <selection activeCell="N2" sqref="N2"/>
    </sheetView>
  </sheetViews>
  <sheetFormatPr defaultColWidth="9.28515625" defaultRowHeight="12.75"/>
  <cols>
    <col min="1" max="1" width="2.7109375" style="1" customWidth="1"/>
    <col min="2" max="2" width="10.7109375" style="1" customWidth="1"/>
    <col min="3" max="10" width="10.7109375" style="7" customWidth="1"/>
    <col min="11" max="12" width="10.7109375" style="1" customWidth="1"/>
    <col min="13" max="13" width="2.7109375" style="1" customWidth="1"/>
    <col min="14" max="16384" width="9.28515625" style="1"/>
  </cols>
  <sheetData>
    <row r="1" spans="2:26">
      <c r="B1" s="3"/>
      <c r="C1" s="5"/>
      <c r="D1" s="5"/>
      <c r="E1" s="5"/>
      <c r="F1" s="5"/>
      <c r="G1" s="5"/>
      <c r="H1" s="5"/>
      <c r="I1" s="5"/>
      <c r="J1" s="5"/>
    </row>
    <row r="2" spans="2:26" ht="12.75" customHeight="1">
      <c r="B2" s="240"/>
      <c r="C2" s="240" t="s">
        <v>276</v>
      </c>
      <c r="D2" s="240" t="s">
        <v>277</v>
      </c>
      <c r="E2" s="240" t="s">
        <v>278</v>
      </c>
      <c r="F2" s="240" t="s">
        <v>279</v>
      </c>
      <c r="G2" s="240" t="s">
        <v>280</v>
      </c>
      <c r="H2" s="240" t="s">
        <v>281</v>
      </c>
      <c r="I2" s="240" t="s">
        <v>282</v>
      </c>
      <c r="J2" s="240" t="s">
        <v>283</v>
      </c>
      <c r="K2" s="240" t="s">
        <v>284</v>
      </c>
      <c r="L2" s="240" t="s">
        <v>285</v>
      </c>
    </row>
    <row r="3" spans="2:26">
      <c r="B3" s="176"/>
      <c r="C3" s="232"/>
      <c r="D3" s="233"/>
      <c r="E3" s="233"/>
      <c r="F3" s="233"/>
      <c r="G3" s="233"/>
      <c r="H3" s="233"/>
      <c r="I3" s="233"/>
      <c r="J3" s="233"/>
      <c r="K3" s="233"/>
      <c r="L3" s="233"/>
    </row>
    <row r="4" spans="2:26">
      <c r="B4" s="237" t="str">
        <f>Quarter_EOP_Current_Full</f>
        <v>2024 Q4</v>
      </c>
      <c r="C4" s="235">
        <f>'VI. Dividend Summary'!$E$80</f>
        <v>10</v>
      </c>
      <c r="D4" s="235">
        <f>'VI. Dividend Summary'!$E$81</f>
        <v>28</v>
      </c>
      <c r="E4" s="235">
        <f>'VI. Dividend Summary'!$E$82</f>
        <v>0</v>
      </c>
      <c r="F4" s="235">
        <f>'VI. Dividend Summary'!$E$83</f>
        <v>0</v>
      </c>
      <c r="G4" s="235">
        <f>'VI. Dividend Summary'!$E$84</f>
        <v>0</v>
      </c>
      <c r="H4" s="235">
        <f>'VI. Dividend Summary'!$E$85</f>
        <v>1</v>
      </c>
      <c r="I4" s="235">
        <f>'VI. Dividend Summary'!$E$86</f>
        <v>39</v>
      </c>
      <c r="J4" s="236">
        <f>'VI. Dividend Summary'!$G$47</f>
        <v>0.61794492957051972</v>
      </c>
      <c r="K4" s="267">
        <f>IF(Quarter_EOP_Current="Q1",'VI. Dividend Summary'!$BD$47,IF(Quarter_EOP_Current="Q2",'VI. Dividend Summary'!$AZ$47,IF(Quarter_EOP_Current="Q3",'VI. Dividend Summary'!$AV$47,'VI. Dividend Summary'!$AR$47)))</f>
        <v>4.8846940099001653E-2</v>
      </c>
      <c r="L4" s="267" t="str">
        <f>IF(Quarter_EOP_Current="Q1",'VI. Dividend Summary'!$BE$47,IF(Quarter_EOP_Current="Q2",'VI. Dividend Summary'!$BA$47,IF(Quarter_EOP_Current="Q3",'VI. Dividend Summary'!$AW$47,'VI. Dividend Summary'!$AS$47)))</f>
        <v>-</v>
      </c>
      <c r="N4" s="303" t="s">
        <v>273</v>
      </c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</row>
    <row r="6" spans="2:26">
      <c r="B6" s="237" t="str">
        <f>Date_Current_Year</f>
        <v>2024</v>
      </c>
      <c r="C6" s="234">
        <v>36</v>
      </c>
      <c r="D6" s="234">
        <v>2</v>
      </c>
      <c r="E6" s="234">
        <v>0</v>
      </c>
      <c r="F6" s="234">
        <v>0</v>
      </c>
      <c r="G6" s="234">
        <v>0</v>
      </c>
      <c r="H6" s="234">
        <v>1</v>
      </c>
      <c r="I6" s="234">
        <v>39</v>
      </c>
      <c r="J6" s="236">
        <f>IF(Quarter_EOP_Current="Q4",'VI. Dividend Summary'!$G$47,"Q4 ONLY")</f>
        <v>0.61794492957051972</v>
      </c>
      <c r="N6" s="303" t="s">
        <v>274</v>
      </c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</row>
    <row r="8" spans="2:26">
      <c r="C8" s="231" t="s">
        <v>268</v>
      </c>
      <c r="D8" s="231" t="s">
        <v>268</v>
      </c>
      <c r="E8" s="231" t="s">
        <v>268</v>
      </c>
      <c r="F8" s="231" t="s">
        <v>268</v>
      </c>
      <c r="G8" s="231" t="s">
        <v>268</v>
      </c>
      <c r="H8" s="231" t="s">
        <v>268</v>
      </c>
      <c r="I8" s="231" t="s">
        <v>268</v>
      </c>
    </row>
    <row r="9" spans="2:26">
      <c r="C9" s="1"/>
      <c r="D9" s="1"/>
      <c r="E9" s="1"/>
      <c r="F9" s="1"/>
      <c r="G9" s="1"/>
      <c r="H9" s="1"/>
      <c r="I9" s="1"/>
    </row>
    <row r="10" spans="2:26">
      <c r="C10" s="301" t="s">
        <v>275</v>
      </c>
      <c r="D10" s="301"/>
      <c r="E10" s="301"/>
      <c r="F10" s="301"/>
      <c r="G10" s="301"/>
      <c r="H10" s="301"/>
      <c r="I10" s="301"/>
    </row>
    <row r="11" spans="2:26">
      <c r="C11" s="302" t="s">
        <v>269</v>
      </c>
      <c r="D11" s="302"/>
      <c r="E11" s="302"/>
      <c r="F11" s="302"/>
      <c r="G11" s="302"/>
      <c r="H11" s="302"/>
      <c r="I11" s="302"/>
    </row>
    <row r="12" spans="2:26">
      <c r="C12" s="1"/>
      <c r="D12" s="1"/>
    </row>
  </sheetData>
  <mergeCells count="4">
    <mergeCell ref="C10:I10"/>
    <mergeCell ref="C11:I11"/>
    <mergeCell ref="N4:Z4"/>
    <mergeCell ref="N6:Z6"/>
  </mergeCells>
  <pageMargins left="0.17" right="0.75" top="1" bottom="1" header="0.5" footer="0.5"/>
  <pageSetup scale="90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7B21-FDF2-4E51-9833-89551AB4EB6E}">
  <sheetPr codeName="Sheet8">
    <tabColor rgb="FFFFFF00"/>
  </sheetPr>
  <dimension ref="B2:L20"/>
  <sheetViews>
    <sheetView showGridLines="0" zoomScaleNormal="100" workbookViewId="0"/>
  </sheetViews>
  <sheetFormatPr defaultColWidth="8.85546875" defaultRowHeight="18" customHeight="1"/>
  <cols>
    <col min="1" max="1" width="2.7109375" style="128" customWidth="1"/>
    <col min="2" max="2" width="26.7109375" style="128" customWidth="1"/>
    <col min="3" max="3" width="20.7109375" style="128" customWidth="1"/>
    <col min="4" max="4" width="2.7109375" style="128" customWidth="1"/>
    <col min="5" max="5" width="26.7109375" style="128" customWidth="1"/>
    <col min="6" max="6" width="20.7109375" style="128" customWidth="1"/>
    <col min="7" max="7" width="2.7109375" style="128" customWidth="1"/>
    <col min="8" max="8" width="26.7109375" style="128" customWidth="1"/>
    <col min="9" max="9" width="20.7109375" style="128" customWidth="1"/>
    <col min="10" max="10" width="2.7109375" style="128" customWidth="1"/>
    <col min="11" max="11" width="26.7109375" style="128" customWidth="1"/>
    <col min="12" max="12" width="20.7109375" style="128" customWidth="1"/>
    <col min="13" max="13" width="2.7109375" style="128" customWidth="1"/>
    <col min="14" max="16384" width="8.85546875" style="128"/>
  </cols>
  <sheetData>
    <row r="2" spans="2:12" ht="18" customHeight="1">
      <c r="B2" s="311" t="s">
        <v>227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4" spans="2:12" ht="18" customHeight="1">
      <c r="B4" s="313" t="s">
        <v>228</v>
      </c>
      <c r="C4" s="313"/>
      <c r="E4" s="313" t="s">
        <v>229</v>
      </c>
      <c r="F4" s="313"/>
      <c r="H4" s="314" t="s">
        <v>230</v>
      </c>
      <c r="I4" s="314"/>
      <c r="K4" s="315" t="s">
        <v>287</v>
      </c>
      <c r="L4" s="315"/>
    </row>
    <row r="6" spans="2:12" ht="18" customHeight="1">
      <c r="B6" s="172" t="s">
        <v>231</v>
      </c>
      <c r="C6" s="173" t="s">
        <v>289</v>
      </c>
      <c r="E6" s="172" t="s">
        <v>225</v>
      </c>
      <c r="F6" s="174">
        <v>45657</v>
      </c>
      <c r="H6" s="172" t="s">
        <v>232</v>
      </c>
      <c r="I6" s="241" t="str">
        <f>IF(Month_EOP_Current="12","Q4",IF(Month_EOP_Current="9","Q3",IF(Month_EOP_Current="6","Q2",IF(Month_EOP_Current="3","Q1",""))))</f>
        <v>Q4</v>
      </c>
      <c r="K6" s="172" t="s">
        <v>233</v>
      </c>
      <c r="L6" s="243" t="s">
        <v>296</v>
      </c>
    </row>
    <row r="7" spans="2:12" ht="18" customHeight="1">
      <c r="B7" s="172" t="s">
        <v>250</v>
      </c>
      <c r="C7" s="174">
        <v>45291</v>
      </c>
      <c r="E7" s="172" t="s">
        <v>226</v>
      </c>
      <c r="F7" s="174">
        <v>45565</v>
      </c>
      <c r="H7" s="172" t="s">
        <v>234</v>
      </c>
      <c r="I7" s="242" t="str">
        <f>Date_Current_Year&amp;" "&amp;Quarter_EOP_Current</f>
        <v>2024 Q4</v>
      </c>
    </row>
    <row r="8" spans="2:12" ht="18" customHeight="1">
      <c r="K8" s="172" t="s">
        <v>235</v>
      </c>
      <c r="L8" s="244" t="s">
        <v>236</v>
      </c>
    </row>
    <row r="9" spans="2:12" ht="18" customHeight="1">
      <c r="E9" s="172" t="s">
        <v>242</v>
      </c>
      <c r="F9" s="173" t="s">
        <v>237</v>
      </c>
      <c r="H9" s="172" t="s">
        <v>238</v>
      </c>
      <c r="I9" s="242" t="str">
        <f>TEXT(Date_EOP_Current,"M")</f>
        <v>12</v>
      </c>
      <c r="L9" s="245" t="s">
        <v>239</v>
      </c>
    </row>
    <row r="10" spans="2:12" ht="18" customHeight="1">
      <c r="L10" s="245" t="s">
        <v>270</v>
      </c>
    </row>
    <row r="11" spans="2:12" ht="18" customHeight="1">
      <c r="E11" s="305" t="s">
        <v>243</v>
      </c>
      <c r="F11" s="306"/>
      <c r="H11" s="176" t="s">
        <v>244</v>
      </c>
      <c r="I11" s="242" t="str">
        <f>Date_Current_Year&amp;" "&amp;"Q1"</f>
        <v>2024 Q1</v>
      </c>
      <c r="L11" s="246"/>
    </row>
    <row r="12" spans="2:12" ht="18" customHeight="1">
      <c r="E12" s="307"/>
      <c r="F12" s="308"/>
      <c r="H12" s="176" t="s">
        <v>245</v>
      </c>
      <c r="I12" s="242" t="str">
        <f>Date_Current_Year&amp;" "&amp;"Q2"</f>
        <v>2024 Q2</v>
      </c>
      <c r="L12" s="247"/>
    </row>
    <row r="13" spans="2:12" ht="18" customHeight="1">
      <c r="E13" s="307"/>
      <c r="F13" s="308"/>
      <c r="H13" s="176" t="s">
        <v>246</v>
      </c>
      <c r="I13" s="242" t="str">
        <f>Date_Current_Year&amp;" "&amp;"Q3"</f>
        <v>2024 Q3</v>
      </c>
    </row>
    <row r="14" spans="2:12" ht="18" customHeight="1">
      <c r="E14" s="307"/>
      <c r="F14" s="308"/>
      <c r="H14" s="176" t="s">
        <v>247</v>
      </c>
      <c r="I14" s="242" t="str">
        <f>Date_Current_Year&amp;" "&amp;"Q4"</f>
        <v>2024 Q4</v>
      </c>
      <c r="K14" s="172" t="s">
        <v>241</v>
      </c>
      <c r="L14" s="244" t="s">
        <v>156</v>
      </c>
    </row>
    <row r="15" spans="2:12" ht="18" customHeight="1">
      <c r="E15" s="307"/>
      <c r="F15" s="308"/>
      <c r="L15" s="248"/>
    </row>
    <row r="16" spans="2:12" ht="18" customHeight="1">
      <c r="E16" s="309"/>
      <c r="F16" s="310"/>
      <c r="H16" s="172" t="s">
        <v>240</v>
      </c>
      <c r="I16" s="241">
        <f>IF(Payout_Ratio_Lag="Yes",Date_EOP_Last,Date_EOP_Current)</f>
        <v>45565</v>
      </c>
      <c r="L16" s="248"/>
    </row>
    <row r="17" spans="2:12" ht="18" customHeight="1">
      <c r="E17" s="177"/>
      <c r="F17" s="177"/>
      <c r="L17" s="248"/>
    </row>
    <row r="18" spans="2:12" ht="18" customHeight="1">
      <c r="B18" s="175"/>
      <c r="E18" s="177"/>
      <c r="F18" s="177"/>
      <c r="L18" s="249"/>
    </row>
    <row r="20" spans="2:12" ht="18" customHeight="1">
      <c r="K20" s="304" t="s">
        <v>286</v>
      </c>
      <c r="L20" s="304"/>
    </row>
  </sheetData>
  <mergeCells count="7">
    <mergeCell ref="K20:L20"/>
    <mergeCell ref="E11:F16"/>
    <mergeCell ref="B2:L2"/>
    <mergeCell ref="B4:C4"/>
    <mergeCell ref="E4:F4"/>
    <mergeCell ref="H4:I4"/>
    <mergeCell ref="K4:L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_End">
    <tabColor rgb="FFFFC000"/>
  </sheetPr>
  <dimension ref="A1:C1"/>
  <sheetViews>
    <sheetView showGridLines="0" showRowColHeaders="0" workbookViewId="0">
      <selection sqref="A1:B1"/>
    </sheetView>
  </sheetViews>
  <sheetFormatPr defaultColWidth="9.28515625" defaultRowHeight="12.75"/>
  <cols>
    <col min="1" max="16384" width="9.28515625" style="66"/>
  </cols>
  <sheetData>
    <row r="1" spans="1:3" ht="15.75">
      <c r="A1" s="316" t="s">
        <v>155</v>
      </c>
      <c r="B1" s="316"/>
      <c r="C1" s="74"/>
    </row>
  </sheetData>
  <mergeCells count="1">
    <mergeCell ref="A1:B1"/>
  </mergeCells>
  <hyperlinks>
    <hyperlink ref="A1" location="Index!A1" display="Return to Index" xr:uid="{00000000-0004-0000-3900-000000000000}"/>
    <hyperlink ref="A1:B1" location="Contents!A1" display="Go to Contents" xr:uid="{00000000-0004-0000-39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33E1-8671-481F-9437-F3DF2948FD5F}">
  <sheetPr>
    <tabColor rgb="FF345680"/>
  </sheetPr>
  <dimension ref="A1:D51"/>
  <sheetViews>
    <sheetView showGridLines="0" workbookViewId="0"/>
  </sheetViews>
  <sheetFormatPr defaultColWidth="0" defaultRowHeight="11.1" customHeight="1" zeroHeight="1"/>
  <cols>
    <col min="1" max="1" width="4.7109375" style="318" customWidth="1"/>
    <col min="2" max="3" width="35.7109375" style="318" customWidth="1"/>
    <col min="4" max="4" width="4.7109375" style="318" customWidth="1"/>
    <col min="5" max="16384" width="9.140625" style="318" hidden="1"/>
  </cols>
  <sheetData>
    <row r="1" spans="1:4" ht="11.1" customHeight="1">
      <c r="A1" s="317"/>
      <c r="B1" s="317"/>
      <c r="C1" s="317"/>
      <c r="D1" s="317"/>
    </row>
    <row r="2" spans="1:4" ht="11.1" customHeight="1">
      <c r="A2" s="317"/>
      <c r="B2" s="319" t="s">
        <v>178</v>
      </c>
      <c r="C2" s="319"/>
      <c r="D2" s="317"/>
    </row>
    <row r="3" spans="1:4" ht="11.1" customHeight="1">
      <c r="A3" s="317"/>
      <c r="B3" s="319"/>
      <c r="C3" s="319"/>
      <c r="D3" s="317"/>
    </row>
    <row r="4" spans="1:4" ht="11.1" customHeight="1">
      <c r="A4" s="317"/>
      <c r="B4" s="319"/>
      <c r="C4" s="319"/>
      <c r="D4" s="317"/>
    </row>
    <row r="5" spans="1:4" ht="11.1" customHeight="1">
      <c r="A5" s="317"/>
      <c r="B5" s="317"/>
      <c r="C5" s="317"/>
      <c r="D5" s="317"/>
    </row>
    <row r="6" spans="1:4" ht="11.1" customHeight="1">
      <c r="A6" s="317"/>
      <c r="B6" s="320" t="s">
        <v>309</v>
      </c>
      <c r="C6" s="320" t="s">
        <v>310</v>
      </c>
      <c r="D6" s="317"/>
    </row>
    <row r="7" spans="1:4" ht="11.1" customHeight="1">
      <c r="A7" s="317"/>
      <c r="B7" s="321"/>
      <c r="C7" s="321"/>
      <c r="D7" s="317"/>
    </row>
    <row r="8" spans="1:4" ht="11.1" customHeight="1">
      <c r="A8" s="317"/>
      <c r="B8" s="321"/>
      <c r="C8" s="321"/>
      <c r="D8" s="317"/>
    </row>
    <row r="9" spans="1:4" ht="11.1" customHeight="1">
      <c r="A9" s="317"/>
      <c r="B9" s="322" t="s">
        <v>18</v>
      </c>
      <c r="C9" s="322" t="s">
        <v>15</v>
      </c>
      <c r="D9" s="317"/>
    </row>
    <row r="10" spans="1:4" ht="11.1" customHeight="1">
      <c r="A10" s="317"/>
      <c r="B10" s="322" t="s">
        <v>61</v>
      </c>
      <c r="C10" s="322" t="s">
        <v>188</v>
      </c>
      <c r="D10" s="317"/>
    </row>
    <row r="11" spans="1:4" ht="11.1" customHeight="1">
      <c r="A11" s="317"/>
      <c r="B11" s="322" t="s">
        <v>311</v>
      </c>
      <c r="C11" s="323" t="s">
        <v>183</v>
      </c>
      <c r="D11" s="317"/>
    </row>
    <row r="12" spans="1:4" ht="11.1" customHeight="1">
      <c r="A12" s="317"/>
      <c r="B12" s="322" t="s">
        <v>24</v>
      </c>
      <c r="C12" s="322" t="s">
        <v>81</v>
      </c>
      <c r="D12" s="317"/>
    </row>
    <row r="13" spans="1:4" ht="11.1" customHeight="1">
      <c r="A13" s="317"/>
      <c r="B13" s="322" t="s">
        <v>26</v>
      </c>
      <c r="C13" s="322" t="s">
        <v>83</v>
      </c>
      <c r="D13" s="317"/>
    </row>
    <row r="14" spans="1:4" ht="11.1" customHeight="1">
      <c r="A14" s="317"/>
      <c r="B14" s="322" t="s">
        <v>28</v>
      </c>
      <c r="C14" s="322" t="s">
        <v>116</v>
      </c>
      <c r="D14" s="317"/>
    </row>
    <row r="15" spans="1:4" ht="11.1" customHeight="1">
      <c r="A15" s="317"/>
      <c r="B15" s="323" t="s">
        <v>190</v>
      </c>
      <c r="C15" s="322" t="s">
        <v>87</v>
      </c>
      <c r="D15" s="317"/>
    </row>
    <row r="16" spans="1:4" ht="11.1" customHeight="1">
      <c r="A16" s="317"/>
      <c r="B16" s="322" t="s">
        <v>76</v>
      </c>
      <c r="C16" s="322"/>
      <c r="D16" s="317"/>
    </row>
    <row r="17" spans="1:4" ht="11.1" customHeight="1">
      <c r="A17" s="317"/>
      <c r="B17" s="322" t="s">
        <v>31</v>
      </c>
      <c r="C17" s="322"/>
      <c r="D17" s="317"/>
    </row>
    <row r="18" spans="1:4" ht="11.1" customHeight="1">
      <c r="A18" s="317"/>
      <c r="B18" s="322" t="s">
        <v>199</v>
      </c>
      <c r="C18" s="322"/>
      <c r="D18" s="317"/>
    </row>
    <row r="19" spans="1:4" ht="11.1" customHeight="1">
      <c r="A19" s="317"/>
      <c r="B19" s="323" t="s">
        <v>179</v>
      </c>
      <c r="C19" s="322"/>
      <c r="D19" s="317"/>
    </row>
    <row r="20" spans="1:4" ht="11.1" customHeight="1">
      <c r="A20" s="317"/>
      <c r="B20" s="322" t="s">
        <v>33</v>
      </c>
      <c r="C20" s="322"/>
      <c r="D20" s="317"/>
    </row>
    <row r="21" spans="1:4" ht="11.1" customHeight="1">
      <c r="A21" s="317"/>
      <c r="B21" s="322" t="s">
        <v>77</v>
      </c>
      <c r="C21" s="322"/>
      <c r="D21" s="317"/>
    </row>
    <row r="22" spans="1:4" ht="11.1" customHeight="1">
      <c r="A22" s="317"/>
      <c r="B22" s="322" t="s">
        <v>78</v>
      </c>
      <c r="C22" s="322"/>
      <c r="D22" s="317"/>
    </row>
    <row r="23" spans="1:4" ht="11.1" customHeight="1">
      <c r="A23" s="317"/>
      <c r="B23" s="322" t="s">
        <v>79</v>
      </c>
      <c r="C23" s="322"/>
      <c r="D23" s="317"/>
    </row>
    <row r="24" spans="1:4" ht="11.1" customHeight="1">
      <c r="A24" s="317"/>
      <c r="B24" s="322" t="s">
        <v>200</v>
      </c>
      <c r="C24" s="322"/>
      <c r="D24" s="317"/>
    </row>
    <row r="25" spans="1:4" ht="11.1" customHeight="1">
      <c r="A25" s="317"/>
      <c r="B25" s="322" t="s">
        <v>184</v>
      </c>
      <c r="C25" s="322"/>
      <c r="D25" s="317"/>
    </row>
    <row r="26" spans="1:4" ht="11.1" customHeight="1">
      <c r="A26" s="317"/>
      <c r="B26" s="322" t="s">
        <v>38</v>
      </c>
      <c r="C26" s="322"/>
      <c r="D26" s="317"/>
    </row>
    <row r="27" spans="1:4" ht="11.1" customHeight="1">
      <c r="A27" s="317"/>
      <c r="B27" s="322" t="s">
        <v>312</v>
      </c>
      <c r="C27" s="322"/>
      <c r="D27" s="317"/>
    </row>
    <row r="28" spans="1:4" ht="11.1" customHeight="1">
      <c r="A28" s="317"/>
      <c r="B28" s="322" t="s">
        <v>82</v>
      </c>
      <c r="C28" s="322"/>
      <c r="D28" s="317"/>
    </row>
    <row r="29" spans="1:4" ht="11.1" customHeight="1">
      <c r="A29" s="317"/>
      <c r="B29" s="323" t="s">
        <v>180</v>
      </c>
      <c r="C29" s="322"/>
      <c r="D29" s="317"/>
    </row>
    <row r="30" spans="1:4" ht="11.1" customHeight="1">
      <c r="A30" s="317"/>
      <c r="B30" s="322" t="s">
        <v>84</v>
      </c>
      <c r="C30" s="322"/>
      <c r="D30" s="317"/>
    </row>
    <row r="31" spans="1:4" ht="11.1" customHeight="1">
      <c r="A31" s="317"/>
      <c r="B31" s="322" t="s">
        <v>85</v>
      </c>
      <c r="C31" s="322"/>
      <c r="D31" s="317"/>
    </row>
    <row r="32" spans="1:4" ht="11.1" customHeight="1">
      <c r="A32" s="317"/>
      <c r="B32" s="322" t="s">
        <v>299</v>
      </c>
      <c r="C32" s="322"/>
      <c r="D32" s="317"/>
    </row>
    <row r="33" spans="1:4" ht="11.1" customHeight="1">
      <c r="A33" s="317"/>
      <c r="B33" s="322" t="s">
        <v>313</v>
      </c>
      <c r="C33" s="322"/>
      <c r="D33" s="317"/>
    </row>
    <row r="34" spans="1:4" ht="11.1" customHeight="1">
      <c r="A34" s="317"/>
      <c r="B34" s="322" t="s">
        <v>88</v>
      </c>
      <c r="C34" s="322"/>
      <c r="D34" s="317"/>
    </row>
    <row r="35" spans="1:4" ht="11.1" customHeight="1">
      <c r="A35" s="317"/>
      <c r="B35" s="322" t="s">
        <v>89</v>
      </c>
      <c r="C35" s="322"/>
      <c r="D35" s="317"/>
    </row>
    <row r="36" spans="1:4" ht="11.1" customHeight="1">
      <c r="A36" s="317"/>
      <c r="B36" s="322" t="s">
        <v>63</v>
      </c>
      <c r="C36" s="322"/>
      <c r="D36" s="317"/>
    </row>
    <row r="37" spans="1:4" ht="11.1" customHeight="1">
      <c r="A37" s="317"/>
      <c r="B37" s="322" t="s">
        <v>50</v>
      </c>
      <c r="C37" s="322"/>
      <c r="D37" s="317"/>
    </row>
    <row r="38" spans="1:4" ht="11.1" customHeight="1">
      <c r="A38" s="317"/>
      <c r="B38" s="322" t="s">
        <v>314</v>
      </c>
      <c r="C38" s="322"/>
      <c r="D38" s="317"/>
    </row>
    <row r="39" spans="1:4" ht="11.1" customHeight="1">
      <c r="A39" s="317"/>
      <c r="B39" s="323" t="s">
        <v>181</v>
      </c>
      <c r="C39" s="322"/>
      <c r="D39" s="317"/>
    </row>
    <row r="40" spans="1:4" ht="11.1" customHeight="1">
      <c r="A40" s="317"/>
      <c r="B40" s="322" t="s">
        <v>315</v>
      </c>
      <c r="C40" s="324" t="s">
        <v>316</v>
      </c>
      <c r="D40" s="317"/>
    </row>
    <row r="41" spans="1:4" ht="11.1" customHeight="1">
      <c r="A41" s="317"/>
      <c r="B41" s="322" t="s">
        <v>93</v>
      </c>
      <c r="C41" s="324"/>
      <c r="D41" s="317"/>
    </row>
    <row r="42" spans="1:4" ht="11.1" customHeight="1">
      <c r="A42" s="317"/>
      <c r="B42" s="322" t="s">
        <v>317</v>
      </c>
      <c r="C42" s="324" t="s">
        <v>318</v>
      </c>
      <c r="D42" s="317"/>
    </row>
    <row r="43" spans="1:4" ht="11.1" customHeight="1">
      <c r="A43" s="317"/>
      <c r="B43" s="322" t="s">
        <v>94</v>
      </c>
      <c r="C43" s="324"/>
      <c r="D43" s="317"/>
    </row>
    <row r="44" spans="1:4" ht="11.1" customHeight="1">
      <c r="A44" s="317"/>
      <c r="B44" s="322" t="s">
        <v>187</v>
      </c>
      <c r="C44" s="324" t="s">
        <v>319</v>
      </c>
      <c r="D44" s="317"/>
    </row>
    <row r="45" spans="1:4" ht="11.1" customHeight="1">
      <c r="A45" s="317"/>
      <c r="B45" s="322" t="s">
        <v>104</v>
      </c>
      <c r="C45" s="324" t="s">
        <v>320</v>
      </c>
      <c r="D45" s="317"/>
    </row>
    <row r="46" spans="1:4" ht="11.1" customHeight="1">
      <c r="A46" s="317"/>
      <c r="B46" s="322"/>
      <c r="C46" s="324"/>
      <c r="D46" s="317"/>
    </row>
    <row r="47" spans="1:4" ht="11.1" customHeight="1">
      <c r="A47" s="317"/>
      <c r="B47" s="325"/>
      <c r="C47" s="324" t="s">
        <v>321</v>
      </c>
      <c r="D47" s="317"/>
    </row>
    <row r="48" spans="1:4" ht="11.1" customHeight="1">
      <c r="A48" s="317"/>
      <c r="B48" s="324" t="s">
        <v>182</v>
      </c>
      <c r="C48" s="324" t="s">
        <v>322</v>
      </c>
      <c r="D48" s="317"/>
    </row>
    <row r="49" spans="1:4" ht="11.1" customHeight="1">
      <c r="A49" s="317"/>
      <c r="B49" s="326"/>
      <c r="C49" s="326"/>
      <c r="D49" s="317"/>
    </row>
    <row r="50" spans="1:4" ht="11.1" customHeight="1">
      <c r="A50" s="317"/>
      <c r="B50" s="317"/>
      <c r="C50" s="317"/>
      <c r="D50" s="317"/>
    </row>
    <row r="51" spans="1:4" ht="11.1" customHeight="1">
      <c r="A51" s="317"/>
      <c r="B51" s="317"/>
      <c r="C51" s="317"/>
      <c r="D51" s="317"/>
    </row>
  </sheetData>
  <mergeCells count="3">
    <mergeCell ref="B2:C4"/>
    <mergeCell ref="B6:B8"/>
    <mergeCell ref="C6:C8"/>
  </mergeCells>
  <printOptions horizontalCentered="1"/>
  <pageMargins left="0.75" right="0.75" top="0.75" bottom="0.75" header="0.3" footer="0.3"/>
  <pageSetup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23F9-36B9-49FF-93A4-9332730B4355}">
  <sheetPr codeName="Sheet4"/>
  <dimension ref="A1:D24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28" customWidth="1"/>
    <col min="3" max="3" width="35.7109375" style="128" customWidth="1"/>
    <col min="4" max="4" width="21.7109375" style="154" customWidth="1"/>
    <col min="5" max="16384" width="9.28515625" style="128"/>
  </cols>
  <sheetData>
    <row r="1" spans="1:4">
      <c r="A1" s="274" t="s">
        <v>155</v>
      </c>
      <c r="B1" s="277"/>
      <c r="C1" s="278"/>
    </row>
    <row r="2" spans="1:4" ht="18.75">
      <c r="B2" s="155" t="s">
        <v>66</v>
      </c>
    </row>
    <row r="3" spans="1:4">
      <c r="C3" s="156" t="str">
        <f>"EEI: 12-month period ending " &amp; TEXT(Date_Payout_Ratio,"m/dd/yyyy")</f>
        <v>EEI: 12-month period ending 9/30/2024</v>
      </c>
      <c r="D3" s="157"/>
    </row>
    <row r="4" spans="1:4">
      <c r="C4" s="158" t="str">
        <f>"S&amp;P Sectors: "&amp;Date_Current_Year&amp;"E as of " &amp; TEXT(Date_EOP_Current,"m/dd/yyyy")</f>
        <v>S&amp;P Sectors: 2024E as of 12/31/2024</v>
      </c>
      <c r="D4" s="157"/>
    </row>
    <row r="6" spans="1:4">
      <c r="C6" s="159" t="s">
        <v>1</v>
      </c>
      <c r="D6" s="160" t="s">
        <v>105</v>
      </c>
    </row>
    <row r="7" spans="1:4">
      <c r="C7" s="161" t="s">
        <v>114</v>
      </c>
      <c r="D7" s="162">
        <f>'VI. Dividend Summary'!E94</f>
        <v>0.59884989176509629</v>
      </c>
    </row>
    <row r="8" spans="1:4">
      <c r="C8" s="163"/>
      <c r="D8" s="164"/>
    </row>
    <row r="9" spans="1:4">
      <c r="C9" s="153" t="str">
        <f ca="1">OFFSET('SPDR Payout'!C$3,0,'SPDR Payout'!BA$4-1)</f>
        <v>Utilities</v>
      </c>
      <c r="D9" s="165">
        <f ca="1">OFFSET('SPDR Payout'!C$4,0,'SPDR Payout'!BA$4-1)/100</f>
        <v>0.58099999999999996</v>
      </c>
    </row>
    <row r="10" spans="1:4">
      <c r="C10" s="153" t="str">
        <f ca="1">OFFSET('SPDR Payout'!C$3,0,'SPDR Payout'!BB$4-1)</f>
        <v>Consumer Staples</v>
      </c>
      <c r="D10" s="165">
        <f ca="1">OFFSET('SPDR Payout'!C$4,0,'SPDR Payout'!BB$4-1)/100</f>
        <v>0.52400000000000002</v>
      </c>
    </row>
    <row r="11" spans="1:4">
      <c r="C11" s="153" t="str">
        <f ca="1">OFFSET('SPDR Payout'!C$3,0,'SPDR Payout'!BC$4-1)</f>
        <v>Energy</v>
      </c>
      <c r="D11" s="165">
        <f ca="1">OFFSET('SPDR Payout'!C$4,0,'SPDR Payout'!BC$4-1)/100</f>
        <v>0.48499999999999999</v>
      </c>
    </row>
    <row r="12" spans="1:4">
      <c r="C12" s="153" t="str">
        <f ca="1">OFFSET('SPDR Payout'!C$3,0,'SPDR Payout'!BD$4-1)</f>
        <v>Materials</v>
      </c>
      <c r="D12" s="165">
        <f ca="1">OFFSET('SPDR Payout'!C$4,0,'SPDR Payout'!BD$4-1)/100</f>
        <v>0.439</v>
      </c>
    </row>
    <row r="13" spans="1:4">
      <c r="C13" s="153" t="str">
        <f ca="1">OFFSET('SPDR Payout'!C$3,0,'SPDR Payout'!BE$4-1)</f>
        <v>Industrial</v>
      </c>
      <c r="D13" s="165">
        <f ca="1">OFFSET('SPDR Payout'!C$4,0,'SPDR Payout'!BE$4-1)/100</f>
        <v>0.36299999999999999</v>
      </c>
    </row>
    <row r="14" spans="1:4">
      <c r="C14" s="153" t="str">
        <f ca="1">OFFSET('SPDR Payout'!C$3,0,'SPDR Payout'!BF$4-1)</f>
        <v>Health Care</v>
      </c>
      <c r="D14" s="165">
        <f ca="1">OFFSET('SPDR Payout'!C$4,0,'SPDR Payout'!BF$4-1)/100</f>
        <v>0.34499999999999997</v>
      </c>
    </row>
    <row r="15" spans="1:4">
      <c r="C15" s="153" t="str">
        <f ca="1">OFFSET('SPDR Payout'!C$3,0,'SPDR Payout'!BG$4-1)</f>
        <v>Technology</v>
      </c>
      <c r="D15" s="165">
        <f ca="1">OFFSET('SPDR Payout'!C$4,0,'SPDR Payout'!BG$4-1)/100</f>
        <v>0.27</v>
      </c>
    </row>
    <row r="16" spans="1:4">
      <c r="C16" s="153" t="str">
        <f ca="1">OFFSET('SPDR Payout'!C$3,0,'SPDR Payout'!BH$4-1)</f>
        <v>Financial</v>
      </c>
      <c r="D16" s="165">
        <f ca="1">OFFSET('SPDR Payout'!C$4,0,'SPDR Payout'!BH$4-1)/100</f>
        <v>0.25700000000000001</v>
      </c>
    </row>
    <row r="17" spans="3:4">
      <c r="C17" s="153" t="str">
        <f ca="1">OFFSET('SPDR Payout'!C$3,0,'SPDR Payout'!BI$4-1)</f>
        <v>Consumer Discretionary</v>
      </c>
      <c r="D17" s="165">
        <f ca="1">OFFSET('SPDR Payout'!C$4,0,'SPDR Payout'!BI$4-1)/100</f>
        <v>0.223</v>
      </c>
    </row>
    <row r="19" spans="3:4">
      <c r="C19" s="166" t="s">
        <v>139</v>
      </c>
      <c r="D19" s="167"/>
    </row>
    <row r="20" spans="3:4" ht="24" customHeight="1">
      <c r="C20" s="275" t="s">
        <v>138</v>
      </c>
      <c r="D20" s="276"/>
    </row>
    <row r="21" spans="3:4" ht="24" customHeight="1">
      <c r="C21" s="275" t="str">
        <f>"2. S&amp;P sector payout ratios based on "&amp;Date_Current_Year&amp;"E dividends and earnings per share (estimates as of " &amp; TEXT(Date_EOP_Current,"m/dd/yyyy")&amp;")."</f>
        <v>2. S&amp;P sector payout ratios based on 2024E dividends and earnings per share (estimates as of 12/31/2024).</v>
      </c>
      <c r="D21" s="276"/>
    </row>
    <row r="22" spans="3:4" ht="24" customHeight="1">
      <c r="C22" s="275" t="s">
        <v>118</v>
      </c>
      <c r="D22" s="276"/>
    </row>
    <row r="23" spans="3:4" ht="24" customHeight="1">
      <c r="C23" s="275" t="s">
        <v>217</v>
      </c>
      <c r="D23" s="276"/>
    </row>
    <row r="24" spans="3:4" ht="24" customHeight="1">
      <c r="C24" s="275" t="s">
        <v>137</v>
      </c>
      <c r="D24" s="276"/>
    </row>
  </sheetData>
  <mergeCells count="6">
    <mergeCell ref="C24:D24"/>
    <mergeCell ref="A1:C1"/>
    <mergeCell ref="C20:D20"/>
    <mergeCell ref="C21:D21"/>
    <mergeCell ref="C22:D22"/>
    <mergeCell ref="C23:D23"/>
  </mergeCells>
  <hyperlinks>
    <hyperlink ref="A1" location="Index!A1" display="Return to Index" xr:uid="{CA6AF466-A2C1-4B8F-987E-15D0E90F9D2C}"/>
    <hyperlink ref="A1:B1" location="Contents!A1" display="Go to Contents" xr:uid="{CE76EADE-5BA4-4ED4-BF09-24892F4A51D8}"/>
  </hyperlink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D06A-4E84-48D1-A719-935B8A3870CE}">
  <sheetPr codeName="Sheet5"/>
  <dimension ref="A1:D24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28" customWidth="1"/>
    <col min="3" max="3" width="35.7109375" style="128" customWidth="1"/>
    <col min="4" max="4" width="21.7109375" style="129" customWidth="1"/>
    <col min="5" max="16384" width="9.28515625" style="128"/>
  </cols>
  <sheetData>
    <row r="1" spans="1:4">
      <c r="A1" s="274" t="s">
        <v>155</v>
      </c>
      <c r="B1" s="277"/>
      <c r="C1" s="278"/>
    </row>
    <row r="2" spans="1:4" ht="18.75">
      <c r="B2" s="155" t="s">
        <v>67</v>
      </c>
    </row>
    <row r="3" spans="1:4">
      <c r="C3" s="156" t="str">
        <f>"as of "&amp;TEXT(Date_EOP_Current,"m/dd/yyyy")</f>
        <v>as of 12/31/2024</v>
      </c>
      <c r="D3" s="168"/>
    </row>
    <row r="4" spans="1:4">
      <c r="C4" s="156"/>
      <c r="D4" s="168"/>
    </row>
    <row r="5" spans="1:4">
      <c r="C5" s="169"/>
      <c r="D5" s="170"/>
    </row>
    <row r="6" spans="1:4">
      <c r="C6" s="159" t="s">
        <v>1</v>
      </c>
      <c r="D6" s="160" t="s">
        <v>3</v>
      </c>
    </row>
    <row r="7" spans="1:4">
      <c r="C7" s="161" t="s">
        <v>74</v>
      </c>
      <c r="D7" s="162">
        <f>'VI. Dividend Summary'!$H$47</f>
        <v>3.584356711554168E-2</v>
      </c>
    </row>
    <row r="8" spans="1:4">
      <c r="C8" s="163"/>
      <c r="D8" s="164"/>
    </row>
    <row r="9" spans="1:4">
      <c r="C9" s="153" t="str">
        <f ca="1">OFFSET('SPDR Yield'!C$3,0,'SPDR Yield'!BA$4-1)</f>
        <v>Energy</v>
      </c>
      <c r="D9" s="165">
        <f ca="1">OFFSET('SPDR Yield'!C$4,0,'SPDR Yield'!BA$4-1)/100</f>
        <v>3.5000000000000003E-2</v>
      </c>
    </row>
    <row r="10" spans="1:4">
      <c r="C10" s="153" t="str">
        <f ca="1">OFFSET('SPDR Yield'!C$3,0,'SPDR Yield'!BB$4-1)</f>
        <v>Utilities</v>
      </c>
      <c r="D10" s="165">
        <f ca="1">OFFSET('SPDR Yield'!C$4,0,'SPDR Yield'!BB$4-1)/100</f>
        <v>3.1E-2</v>
      </c>
    </row>
    <row r="11" spans="1:4">
      <c r="C11" s="153" t="str">
        <f ca="1">OFFSET('SPDR Yield'!C$3,0,'SPDR Yield'!BC$4-1)</f>
        <v>Consumer Staples</v>
      </c>
      <c r="D11" s="165">
        <f ca="1">OFFSET('SPDR Yield'!C$4,0,'SPDR Yield'!BC$4-1)/100</f>
        <v>2.7000000000000003E-2</v>
      </c>
    </row>
    <row r="12" spans="1:4">
      <c r="C12" s="153" t="str">
        <f ca="1">OFFSET('SPDR Yield'!C$3,0,'SPDR Yield'!BD$4-1)</f>
        <v>Materials</v>
      </c>
      <c r="D12" s="165">
        <f ca="1">OFFSET('SPDR Yield'!C$4,0,'SPDR Yield'!BD$4-1)/100</f>
        <v>2.1000000000000001E-2</v>
      </c>
    </row>
    <row r="13" spans="1:4">
      <c r="C13" s="153" t="str">
        <f ca="1">OFFSET('SPDR Yield'!C$3,0,'SPDR Yield'!BE$4-1)</f>
        <v>Health Care</v>
      </c>
      <c r="D13" s="165">
        <f ca="1">OFFSET('SPDR Yield'!C$4,0,'SPDR Yield'!BE$4-1)/100</f>
        <v>1.7000000000000001E-2</v>
      </c>
    </row>
    <row r="14" spans="1:4">
      <c r="C14" s="153" t="str">
        <f ca="1">OFFSET('SPDR Yield'!C$3,0,'SPDR Yield'!BF$4-1)</f>
        <v>Financial</v>
      </c>
      <c r="D14" s="165">
        <f ca="1">OFFSET('SPDR Yield'!C$4,0,'SPDR Yield'!BF$4-1)/100</f>
        <v>1.4999999999999999E-2</v>
      </c>
    </row>
    <row r="15" spans="1:4">
      <c r="C15" s="153" t="str">
        <f ca="1">OFFSET('SPDR Yield'!C$3,0,'SPDR Yield'!BG$4-1)</f>
        <v>Industrial</v>
      </c>
      <c r="D15" s="165">
        <f ca="1">OFFSET('SPDR Yield'!C$4,0,'SPDR Yield'!BG$4-1)/100</f>
        <v>1.4999999999999999E-2</v>
      </c>
    </row>
    <row r="16" spans="1:4">
      <c r="C16" s="153" t="str">
        <f ca="1">OFFSET('SPDR Yield'!C$3,0,'SPDR Yield'!BH$4-1)</f>
        <v>Consumer Discretionary</v>
      </c>
      <c r="D16" s="165">
        <f ca="1">OFFSET('SPDR Yield'!C$4,0,'SPDR Yield'!BH$4-1)/100</f>
        <v>8.0000000000000002E-3</v>
      </c>
    </row>
    <row r="17" spans="3:4">
      <c r="C17" s="153" t="str">
        <f ca="1">OFFSET('SPDR Yield'!C$3,0,'SPDR Yield'!BI$4-1)</f>
        <v>Technology</v>
      </c>
      <c r="D17" s="165">
        <f ca="1">OFFSET('SPDR Yield'!C$4,0,'SPDR Yield'!BI$4-1)/100</f>
        <v>8.0000000000000002E-3</v>
      </c>
    </row>
    <row r="19" spans="3:4">
      <c r="C19" s="166" t="s">
        <v>139</v>
      </c>
    </row>
    <row r="20" spans="3:4" ht="24" customHeight="1">
      <c r="C20" s="275" t="str">
        <f>"1. EEI Index Companies' yield based on last announced, annualized dividend rates (as of "&amp;TEXT(Date_EOP_Current,"m/dd/yyyy")&amp;"); S&amp;P sector yields based on "&amp;Date_Current_Year&amp;"E cash dividends (as of "&amp;TEXT(Date_EOP_Current,"m/dd/yyyy")&amp;")."</f>
        <v>1. EEI Index Companies' yield based on last announced, annualized dividend rates (as of 12/31/2024); S&amp;P sector yields based on 2024E cash dividends (as of 12/31/2024).</v>
      </c>
      <c r="D20" s="276"/>
    </row>
    <row r="21" spans="3:4" ht="24" customHeight="1">
      <c r="C21" s="275" t="s">
        <v>118</v>
      </c>
      <c r="D21" s="276"/>
    </row>
    <row r="22" spans="3:4" ht="24" customHeight="1">
      <c r="C22" s="275" t="s">
        <v>217</v>
      </c>
      <c r="D22" s="276"/>
    </row>
    <row r="23" spans="3:4">
      <c r="C23" s="171"/>
    </row>
    <row r="24" spans="3:4">
      <c r="C24" s="171"/>
    </row>
  </sheetData>
  <mergeCells count="4">
    <mergeCell ref="A1:C1"/>
    <mergeCell ref="C20:D20"/>
    <mergeCell ref="C21:D21"/>
    <mergeCell ref="C22:D22"/>
  </mergeCells>
  <hyperlinks>
    <hyperlink ref="A1" location="Index!A1" display="Return to Index" xr:uid="{BCBF7B40-D281-4FD2-8810-CE82F72547C3}"/>
    <hyperlink ref="A1:B1" location="Contents!A1" display="Go to Contents" xr:uid="{0884EDE4-7132-4A9F-BA8B-D9582713141D}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_Report_03"/>
  <dimension ref="A1:N45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" customWidth="1"/>
    <col min="3" max="3" width="10.7109375" style="1" customWidth="1"/>
    <col min="4" max="10" width="8.7109375" style="7" customWidth="1"/>
    <col min="11" max="11" width="10.7109375" style="7" customWidth="1"/>
    <col min="12" max="13" width="10.7109375" style="1" customWidth="1"/>
    <col min="14" max="14" width="4.7109375" style="1" customWidth="1"/>
    <col min="15" max="16384" width="9.28515625" style="1"/>
  </cols>
  <sheetData>
    <row r="1" spans="1:14">
      <c r="A1" s="274" t="s">
        <v>155</v>
      </c>
      <c r="B1" s="284"/>
      <c r="C1" s="285"/>
    </row>
    <row r="2" spans="1:14" ht="18.75">
      <c r="B2" s="67" t="s">
        <v>68</v>
      </c>
      <c r="C2" s="2"/>
    </row>
    <row r="3" spans="1:14">
      <c r="C3" s="10" t="s">
        <v>194</v>
      </c>
    </row>
    <row r="4" spans="1:14">
      <c r="C4" s="3"/>
      <c r="D4" s="5"/>
      <c r="E4" s="5"/>
      <c r="F4" s="5"/>
      <c r="G4" s="5"/>
      <c r="H4" s="5"/>
      <c r="I4" s="5"/>
      <c r="J4" s="5"/>
      <c r="K4" s="5"/>
    </row>
    <row r="5" spans="1:14">
      <c r="C5" s="286"/>
      <c r="D5" s="279" t="s">
        <v>58</v>
      </c>
      <c r="E5" s="279" t="s">
        <v>151</v>
      </c>
      <c r="F5" s="279" t="s">
        <v>59</v>
      </c>
      <c r="G5" s="279" t="s">
        <v>14</v>
      </c>
      <c r="H5" s="279" t="s">
        <v>154</v>
      </c>
      <c r="I5" s="279" t="s">
        <v>153</v>
      </c>
      <c r="J5" s="279" t="s">
        <v>60</v>
      </c>
      <c r="K5" s="279" t="s">
        <v>267</v>
      </c>
      <c r="L5" s="279" t="s">
        <v>174</v>
      </c>
      <c r="M5" s="280"/>
      <c r="N5" s="281"/>
    </row>
    <row r="6" spans="1:14">
      <c r="C6" s="287"/>
      <c r="D6" s="283"/>
      <c r="E6" s="283"/>
      <c r="F6" s="283"/>
      <c r="G6" s="283"/>
      <c r="H6" s="283"/>
      <c r="I6" s="283"/>
      <c r="J6" s="283"/>
      <c r="K6" s="283"/>
      <c r="L6" s="224" t="s">
        <v>172</v>
      </c>
      <c r="M6" s="224" t="s">
        <v>173</v>
      </c>
      <c r="N6" s="282"/>
    </row>
    <row r="7" spans="1:14">
      <c r="C7" s="60"/>
      <c r="D7" s="58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12.75" customHeight="1">
      <c r="C8" s="61">
        <v>2000</v>
      </c>
      <c r="D8" s="59">
        <v>26</v>
      </c>
      <c r="E8" s="59">
        <v>39</v>
      </c>
      <c r="F8" s="59">
        <v>3</v>
      </c>
      <c r="G8" s="59">
        <v>1</v>
      </c>
      <c r="H8" s="59">
        <v>0</v>
      </c>
      <c r="I8" s="59">
        <v>2</v>
      </c>
      <c r="J8" s="57">
        <f t="shared" ref="J8:J15" si="0">SUM(D8:I8)</f>
        <v>71</v>
      </c>
      <c r="K8" s="63">
        <v>0.63900000000000001</v>
      </c>
      <c r="L8" s="100">
        <v>0.30499999999999999</v>
      </c>
      <c r="M8" s="100">
        <v>-0.42799999999999999</v>
      </c>
      <c r="N8" s="57"/>
    </row>
    <row r="9" spans="1:14">
      <c r="C9" s="61">
        <v>2001</v>
      </c>
      <c r="D9" s="59">
        <v>21</v>
      </c>
      <c r="E9" s="59">
        <v>40</v>
      </c>
      <c r="F9" s="59">
        <v>3</v>
      </c>
      <c r="G9" s="59">
        <v>2</v>
      </c>
      <c r="H9" s="59">
        <v>0</v>
      </c>
      <c r="I9" s="59">
        <v>3</v>
      </c>
      <c r="J9" s="57">
        <f t="shared" si="0"/>
        <v>69</v>
      </c>
      <c r="K9" s="63">
        <v>0.64100000000000001</v>
      </c>
      <c r="L9" s="100">
        <v>6.1199999999999997E-2</v>
      </c>
      <c r="M9" s="100">
        <v>-0.437</v>
      </c>
      <c r="N9" s="57"/>
    </row>
    <row r="10" spans="1:14">
      <c r="C10" s="62">
        <v>2002</v>
      </c>
      <c r="D10" s="59">
        <v>26</v>
      </c>
      <c r="E10" s="59">
        <v>27</v>
      </c>
      <c r="F10" s="59">
        <v>6</v>
      </c>
      <c r="G10" s="59">
        <v>3</v>
      </c>
      <c r="H10" s="59">
        <v>0</v>
      </c>
      <c r="I10" s="59">
        <v>3</v>
      </c>
      <c r="J10" s="57">
        <f t="shared" si="0"/>
        <v>65</v>
      </c>
      <c r="K10" s="63">
        <v>0.67500000000000004</v>
      </c>
      <c r="L10" s="100">
        <v>0.111</v>
      </c>
      <c r="M10" s="100">
        <v>-0.48270000000000002</v>
      </c>
      <c r="N10" s="57"/>
    </row>
    <row r="11" spans="1:14">
      <c r="C11" s="61">
        <v>2003</v>
      </c>
      <c r="D11" s="59">
        <v>26</v>
      </c>
      <c r="E11" s="59">
        <v>24</v>
      </c>
      <c r="F11" s="59">
        <v>7</v>
      </c>
      <c r="G11" s="59">
        <v>2</v>
      </c>
      <c r="H11" s="59">
        <v>1</v>
      </c>
      <c r="I11" s="59">
        <v>5</v>
      </c>
      <c r="J11" s="57">
        <f t="shared" si="0"/>
        <v>65</v>
      </c>
      <c r="K11" s="63">
        <v>0.63700000000000001</v>
      </c>
      <c r="L11" s="100">
        <v>5.8099999999999999E-2</v>
      </c>
      <c r="M11" s="100">
        <v>-0.3836</v>
      </c>
      <c r="N11" s="57"/>
    </row>
    <row r="12" spans="1:14">
      <c r="C12" s="61">
        <v>2004</v>
      </c>
      <c r="D12" s="59">
        <v>35</v>
      </c>
      <c r="E12" s="59">
        <v>22</v>
      </c>
      <c r="F12" s="59">
        <v>1</v>
      </c>
      <c r="G12" s="59">
        <v>0</v>
      </c>
      <c r="H12" s="59">
        <v>0</v>
      </c>
      <c r="I12" s="59">
        <v>7</v>
      </c>
      <c r="J12" s="57">
        <f t="shared" si="0"/>
        <v>65</v>
      </c>
      <c r="K12" s="63">
        <v>0.67900000000000005</v>
      </c>
      <c r="L12" s="100">
        <v>0.18709999999999999</v>
      </c>
      <c r="M12" s="100">
        <v>-0.47370000000000001</v>
      </c>
      <c r="N12" s="57"/>
    </row>
    <row r="13" spans="1:14">
      <c r="C13" s="61">
        <v>2005</v>
      </c>
      <c r="D13" s="59">
        <v>34</v>
      </c>
      <c r="E13" s="59">
        <v>22</v>
      </c>
      <c r="F13" s="59">
        <v>1</v>
      </c>
      <c r="G13" s="59">
        <v>1</v>
      </c>
      <c r="H13" s="59">
        <v>2</v>
      </c>
      <c r="I13" s="59">
        <v>5</v>
      </c>
      <c r="J13" s="57">
        <f t="shared" si="0"/>
        <v>65</v>
      </c>
      <c r="K13" s="63">
        <v>0.66469999999999996</v>
      </c>
      <c r="L13" s="100">
        <v>8.4000000000000005E-2</v>
      </c>
      <c r="M13" s="100">
        <v>-0.4</v>
      </c>
      <c r="N13" s="57"/>
    </row>
    <row r="14" spans="1:14">
      <c r="C14" s="62">
        <v>2006</v>
      </c>
      <c r="D14" s="59">
        <v>41</v>
      </c>
      <c r="E14" s="59">
        <v>17</v>
      </c>
      <c r="F14" s="59">
        <v>0</v>
      </c>
      <c r="G14" s="59">
        <v>0</v>
      </c>
      <c r="H14" s="59">
        <v>0</v>
      </c>
      <c r="I14" s="59">
        <v>6</v>
      </c>
      <c r="J14" s="57">
        <f t="shared" si="0"/>
        <v>64</v>
      </c>
      <c r="K14" s="63">
        <v>0.63500000000000001</v>
      </c>
      <c r="L14" s="100">
        <v>9.1999999999999998E-2</v>
      </c>
      <c r="M14" s="223" t="s">
        <v>193</v>
      </c>
      <c r="N14" s="57"/>
    </row>
    <row r="15" spans="1:14">
      <c r="C15" s="62">
        <v>2007</v>
      </c>
      <c r="D15" s="59">
        <v>40</v>
      </c>
      <c r="E15" s="59">
        <v>15</v>
      </c>
      <c r="F15" s="59">
        <v>0</v>
      </c>
      <c r="G15" s="59">
        <v>0</v>
      </c>
      <c r="H15" s="59">
        <v>3</v>
      </c>
      <c r="I15" s="59">
        <v>3</v>
      </c>
      <c r="J15" s="57">
        <f t="shared" si="0"/>
        <v>61</v>
      </c>
      <c r="K15" s="63">
        <v>0.621</v>
      </c>
      <c r="L15" s="100">
        <v>7.4380268751332052E-2</v>
      </c>
      <c r="M15" s="223" t="s">
        <v>193</v>
      </c>
      <c r="N15" s="57"/>
    </row>
    <row r="16" spans="1:14">
      <c r="C16" s="62">
        <v>2008</v>
      </c>
      <c r="D16" s="59">
        <v>36</v>
      </c>
      <c r="E16" s="59">
        <v>20</v>
      </c>
      <c r="F16" s="59">
        <v>1</v>
      </c>
      <c r="G16" s="59">
        <v>0</v>
      </c>
      <c r="H16" s="59">
        <v>1</v>
      </c>
      <c r="I16" s="59">
        <v>1</v>
      </c>
      <c r="J16" s="57">
        <f>SUM(D16:I16)</f>
        <v>59</v>
      </c>
      <c r="K16" s="63">
        <v>0.66761280752433305</v>
      </c>
      <c r="L16" s="100">
        <v>9.4172730104315525E-2</v>
      </c>
      <c r="M16" s="100">
        <v>-0.45652173913043481</v>
      </c>
      <c r="N16" s="57"/>
    </row>
    <row r="17" spans="3:14">
      <c r="C17" s="62">
        <v>2009</v>
      </c>
      <c r="D17" s="59">
        <v>31</v>
      </c>
      <c r="E17" s="59">
        <v>23</v>
      </c>
      <c r="F17" s="59">
        <v>3</v>
      </c>
      <c r="G17" s="59">
        <v>0</v>
      </c>
      <c r="H17" s="59">
        <v>0</v>
      </c>
      <c r="I17" s="59">
        <v>1</v>
      </c>
      <c r="J17" s="57">
        <f t="shared" ref="J17:J18" si="1">SUM(D17:I17)</f>
        <v>58</v>
      </c>
      <c r="K17" s="63">
        <v>0.69597757354279988</v>
      </c>
      <c r="L17" s="100">
        <v>7.1999999999999995E-2</v>
      </c>
      <c r="M17" s="100">
        <v>-0.46369432878481814</v>
      </c>
      <c r="N17" s="57"/>
    </row>
    <row r="18" spans="3:14">
      <c r="C18" s="62">
        <v>2010</v>
      </c>
      <c r="D18" s="59">
        <v>34</v>
      </c>
      <c r="E18" s="59">
        <v>22</v>
      </c>
      <c r="F18" s="59">
        <v>0</v>
      </c>
      <c r="G18" s="59">
        <v>0</v>
      </c>
      <c r="H18" s="59">
        <v>0</v>
      </c>
      <c r="I18" s="59">
        <v>1</v>
      </c>
      <c r="J18" s="57">
        <f t="shared" si="1"/>
        <v>57</v>
      </c>
      <c r="K18" s="63">
        <v>0.61970592274082226</v>
      </c>
      <c r="L18" s="100">
        <v>8.2450600336073321E-2</v>
      </c>
      <c r="M18" s="223" t="s">
        <v>193</v>
      </c>
      <c r="N18" s="57"/>
    </row>
    <row r="19" spans="3:14">
      <c r="C19" s="62">
        <v>2011</v>
      </c>
      <c r="D19" s="59">
        <v>31</v>
      </c>
      <c r="E19" s="59">
        <v>22</v>
      </c>
      <c r="F19" s="59">
        <v>0</v>
      </c>
      <c r="G19" s="59">
        <v>1</v>
      </c>
      <c r="H19" s="59">
        <v>1</v>
      </c>
      <c r="I19" s="59">
        <v>0</v>
      </c>
      <c r="J19" s="57">
        <f t="shared" ref="J19" si="2">SUM(D19:I19)</f>
        <v>55</v>
      </c>
      <c r="K19" s="63">
        <v>0.6283609221661477</v>
      </c>
      <c r="L19" s="100">
        <v>6.7566777049226145E-2</v>
      </c>
      <c r="M19" s="100">
        <v>-1</v>
      </c>
      <c r="N19" s="57"/>
    </row>
    <row r="20" spans="3:14">
      <c r="C20" s="62">
        <v>2012</v>
      </c>
      <c r="D20" s="59">
        <v>36</v>
      </c>
      <c r="E20" s="59">
        <v>14</v>
      </c>
      <c r="F20" s="59">
        <v>0</v>
      </c>
      <c r="G20" s="59">
        <v>0</v>
      </c>
      <c r="H20" s="59">
        <v>1</v>
      </c>
      <c r="I20" s="59">
        <v>0</v>
      </c>
      <c r="J20" s="57">
        <v>51</v>
      </c>
      <c r="K20" s="63">
        <v>0.64161881026115708</v>
      </c>
      <c r="L20" s="100">
        <v>7.2001326635749013E-2</v>
      </c>
      <c r="M20" s="223" t="s">
        <v>193</v>
      </c>
      <c r="N20" s="57"/>
    </row>
    <row r="21" spans="3:14">
      <c r="C21" s="62">
        <v>2013</v>
      </c>
      <c r="D21" s="59">
        <v>36</v>
      </c>
      <c r="E21" s="59">
        <v>12</v>
      </c>
      <c r="F21" s="59">
        <v>1</v>
      </c>
      <c r="G21" s="59">
        <v>0</v>
      </c>
      <c r="H21" s="59">
        <v>0</v>
      </c>
      <c r="I21" s="59">
        <v>0</v>
      </c>
      <c r="J21" s="57">
        <v>49</v>
      </c>
      <c r="K21" s="63">
        <v>0.61499999999999999</v>
      </c>
      <c r="L21" s="100">
        <v>5.2612579334584519E-2</v>
      </c>
      <c r="M21" s="100">
        <v>-0.41</v>
      </c>
      <c r="N21" s="57"/>
    </row>
    <row r="22" spans="3:14">
      <c r="C22" s="62">
        <v>2014</v>
      </c>
      <c r="D22" s="59">
        <v>38</v>
      </c>
      <c r="E22" s="59">
        <v>9</v>
      </c>
      <c r="F22" s="59">
        <v>1</v>
      </c>
      <c r="G22" s="59">
        <v>0</v>
      </c>
      <c r="H22" s="59">
        <v>0</v>
      </c>
      <c r="I22" s="59">
        <v>0</v>
      </c>
      <c r="J22" s="57">
        <v>48</v>
      </c>
      <c r="K22" s="63">
        <v>0.60362408551680646</v>
      </c>
      <c r="L22" s="100">
        <v>5.6591171318945838E-2</v>
      </c>
      <c r="M22" s="100">
        <v>-0.34545454545454557</v>
      </c>
      <c r="N22" s="57"/>
    </row>
    <row r="23" spans="3:14">
      <c r="C23" s="62">
        <v>2015</v>
      </c>
      <c r="D23" s="59">
        <v>39</v>
      </c>
      <c r="E23" s="59">
        <v>7</v>
      </c>
      <c r="F23" s="59">
        <v>0</v>
      </c>
      <c r="G23" s="59">
        <v>0</v>
      </c>
      <c r="H23" s="59">
        <v>0</v>
      </c>
      <c r="I23" s="59">
        <v>0</v>
      </c>
      <c r="J23" s="57">
        <v>46</v>
      </c>
      <c r="K23" s="63">
        <v>0.67034268427968402</v>
      </c>
      <c r="L23" s="100">
        <v>5.8125752566266252E-2</v>
      </c>
      <c r="M23" s="223" t="s">
        <v>193</v>
      </c>
      <c r="N23" s="57"/>
    </row>
    <row r="24" spans="3:14">
      <c r="C24" s="62">
        <v>2016</v>
      </c>
      <c r="D24" s="59">
        <v>40</v>
      </c>
      <c r="E24" s="59">
        <v>4</v>
      </c>
      <c r="F24" s="59">
        <v>0</v>
      </c>
      <c r="G24" s="59">
        <v>0</v>
      </c>
      <c r="H24" s="59">
        <v>0</v>
      </c>
      <c r="I24" s="59">
        <v>0</v>
      </c>
      <c r="J24" s="57">
        <v>44</v>
      </c>
      <c r="K24" s="63">
        <v>0.62941931908529536</v>
      </c>
      <c r="L24" s="100">
        <v>5.6088458741017123E-2</v>
      </c>
      <c r="M24" s="223" t="s">
        <v>193</v>
      </c>
      <c r="N24" s="57"/>
    </row>
    <row r="25" spans="3:14">
      <c r="C25" s="62">
        <v>2017</v>
      </c>
      <c r="D25" s="59">
        <v>38</v>
      </c>
      <c r="E25" s="59">
        <v>4</v>
      </c>
      <c r="F25" s="59">
        <v>0</v>
      </c>
      <c r="G25" s="59">
        <v>1</v>
      </c>
      <c r="H25" s="59">
        <v>0</v>
      </c>
      <c r="I25" s="59">
        <v>0</v>
      </c>
      <c r="J25" s="57">
        <v>43</v>
      </c>
      <c r="K25" s="63">
        <v>0.64049596438166345</v>
      </c>
      <c r="L25" s="100">
        <v>5.6463091075104589E-2</v>
      </c>
      <c r="M25" s="223" t="s">
        <v>193</v>
      </c>
      <c r="N25" s="57"/>
    </row>
    <row r="26" spans="3:14">
      <c r="C26" s="62">
        <v>2018</v>
      </c>
      <c r="D26" s="59">
        <v>39</v>
      </c>
      <c r="E26" s="59">
        <v>1</v>
      </c>
      <c r="F26" s="59">
        <v>1</v>
      </c>
      <c r="G26" s="59">
        <v>0</v>
      </c>
      <c r="H26" s="59">
        <v>0</v>
      </c>
      <c r="I26" s="59">
        <v>1</v>
      </c>
      <c r="J26" s="57">
        <v>42</v>
      </c>
      <c r="K26" s="63">
        <v>0.63946001505405781</v>
      </c>
      <c r="L26" s="100">
        <v>5.7167498823388688E-2</v>
      </c>
      <c r="M26" s="223">
        <v>-0.79804081632653068</v>
      </c>
      <c r="N26" s="57"/>
    </row>
    <row r="27" spans="3:14">
      <c r="C27" s="62">
        <v>2019</v>
      </c>
      <c r="D27" s="59">
        <v>37</v>
      </c>
      <c r="E27" s="59">
        <v>2</v>
      </c>
      <c r="F27" s="59">
        <v>0</v>
      </c>
      <c r="G27" s="59">
        <v>0</v>
      </c>
      <c r="H27" s="59">
        <v>0</v>
      </c>
      <c r="I27" s="59">
        <v>1</v>
      </c>
      <c r="J27" s="57">
        <v>40</v>
      </c>
      <c r="K27" s="63">
        <v>0.62564556563662987</v>
      </c>
      <c r="L27" s="100">
        <v>5.0956814154979463E-2</v>
      </c>
      <c r="M27" s="223" t="s">
        <v>193</v>
      </c>
      <c r="N27" s="57"/>
    </row>
    <row r="28" spans="3:14">
      <c r="C28" s="62">
        <v>2020</v>
      </c>
      <c r="D28" s="59">
        <v>34</v>
      </c>
      <c r="E28" s="59">
        <v>2</v>
      </c>
      <c r="F28" s="59">
        <v>2</v>
      </c>
      <c r="G28" s="59">
        <v>0</v>
      </c>
      <c r="H28" s="59">
        <v>0</v>
      </c>
      <c r="I28" s="59">
        <v>1</v>
      </c>
      <c r="J28" s="57">
        <v>39</v>
      </c>
      <c r="K28" s="63">
        <v>0.65274518260671377</v>
      </c>
      <c r="L28" s="100">
        <v>5.0895870363991277E-2</v>
      </c>
      <c r="M28" s="223">
        <v>-0.40627292736610415</v>
      </c>
      <c r="N28" s="57"/>
    </row>
    <row r="29" spans="3:14">
      <c r="C29" s="62">
        <v>2021</v>
      </c>
      <c r="D29" s="59">
        <v>32</v>
      </c>
      <c r="E29" s="59">
        <v>6</v>
      </c>
      <c r="F29" s="59">
        <v>0</v>
      </c>
      <c r="G29" s="59">
        <v>0</v>
      </c>
      <c r="H29" s="59">
        <v>0</v>
      </c>
      <c r="I29" s="59">
        <v>1</v>
      </c>
      <c r="J29" s="57">
        <v>39</v>
      </c>
      <c r="K29" s="63">
        <v>0.61576174009991214</v>
      </c>
      <c r="L29" s="100">
        <v>4.8417000000000002E-2</v>
      </c>
      <c r="M29" s="223" t="s">
        <v>193</v>
      </c>
      <c r="N29" s="57"/>
    </row>
    <row r="30" spans="3:14">
      <c r="C30" s="62">
        <v>2022</v>
      </c>
      <c r="D30" s="59">
        <v>34</v>
      </c>
      <c r="E30" s="59">
        <v>3</v>
      </c>
      <c r="F30" s="59">
        <v>1</v>
      </c>
      <c r="G30" s="59">
        <v>0</v>
      </c>
      <c r="H30" s="59">
        <v>0</v>
      </c>
      <c r="I30" s="59">
        <v>1</v>
      </c>
      <c r="J30" s="57">
        <v>39</v>
      </c>
      <c r="K30" s="63">
        <v>0.70768107611161002</v>
      </c>
      <c r="L30" s="100">
        <v>5.1812718432866244E-2</v>
      </c>
      <c r="M30" s="223">
        <v>-0.51807228915662651</v>
      </c>
      <c r="N30" s="57"/>
    </row>
    <row r="31" spans="3:14">
      <c r="C31" s="77">
        <v>2023</v>
      </c>
      <c r="D31" s="117">
        <v>33</v>
      </c>
      <c r="E31" s="117">
        <v>4</v>
      </c>
      <c r="F31" s="117">
        <v>0</v>
      </c>
      <c r="G31" s="117">
        <v>1</v>
      </c>
      <c r="H31" s="117">
        <v>1</v>
      </c>
      <c r="I31" s="117">
        <v>0</v>
      </c>
      <c r="J31" s="78">
        <v>39</v>
      </c>
      <c r="K31" s="118">
        <v>0.68521035694060062</v>
      </c>
      <c r="L31" s="119">
        <v>5.0965693550502955E-2</v>
      </c>
      <c r="M31" s="119">
        <v>-1</v>
      </c>
      <c r="N31" s="78"/>
    </row>
    <row r="32" spans="3:14">
      <c r="C32" s="217"/>
      <c r="D32" s="218"/>
      <c r="E32" s="218"/>
      <c r="F32" s="218"/>
      <c r="G32" s="218"/>
      <c r="H32" s="218"/>
      <c r="I32" s="218"/>
      <c r="J32" s="219"/>
      <c r="K32" s="220"/>
      <c r="L32" s="221"/>
      <c r="M32" s="222"/>
      <c r="N32" s="219"/>
    </row>
    <row r="33" spans="3:14">
      <c r="C33" s="75" t="s">
        <v>291</v>
      </c>
      <c r="D33" s="76">
        <v>20</v>
      </c>
      <c r="E33" s="76">
        <v>18</v>
      </c>
      <c r="F33" s="76">
        <v>0</v>
      </c>
      <c r="G33" s="76">
        <v>0</v>
      </c>
      <c r="H33" s="76">
        <v>0</v>
      </c>
      <c r="I33" s="76">
        <v>1</v>
      </c>
      <c r="J33" s="76">
        <v>39</v>
      </c>
      <c r="K33" s="79">
        <v>0.63752107573944894</v>
      </c>
      <c r="L33" s="104">
        <v>5.2805617587226926E-2</v>
      </c>
      <c r="M33" s="104" t="s">
        <v>193</v>
      </c>
      <c r="N33" s="76"/>
    </row>
    <row r="34" spans="3:14">
      <c r="C34" s="62" t="s">
        <v>295</v>
      </c>
      <c r="D34" s="59">
        <v>2</v>
      </c>
      <c r="E34" s="59">
        <v>36</v>
      </c>
      <c r="F34" s="59">
        <v>0</v>
      </c>
      <c r="G34" s="59">
        <v>0</v>
      </c>
      <c r="H34" s="59">
        <v>0</v>
      </c>
      <c r="I34" s="59">
        <v>1</v>
      </c>
      <c r="J34" s="59">
        <v>39</v>
      </c>
      <c r="K34" s="63">
        <v>0.61450631545839018</v>
      </c>
      <c r="L34" s="100">
        <v>4.0601503759398527E-2</v>
      </c>
      <c r="M34" s="100" t="s">
        <v>193</v>
      </c>
      <c r="N34" s="59"/>
    </row>
    <row r="35" spans="3:14">
      <c r="C35" s="62" t="s">
        <v>288</v>
      </c>
      <c r="D35" s="59">
        <v>5</v>
      </c>
      <c r="E35" s="59">
        <v>33</v>
      </c>
      <c r="F35" s="59">
        <v>0</v>
      </c>
      <c r="G35" s="59">
        <v>0</v>
      </c>
      <c r="H35" s="59">
        <v>0</v>
      </c>
      <c r="I35" s="59">
        <v>1</v>
      </c>
      <c r="J35" s="59">
        <v>39</v>
      </c>
      <c r="K35" s="63">
        <v>0.61199165524102994</v>
      </c>
      <c r="L35" s="100">
        <v>3.3887387047245053E-2</v>
      </c>
      <c r="M35" s="100" t="s">
        <v>193</v>
      </c>
      <c r="N35" s="59"/>
    </row>
    <row r="36" spans="3:14">
      <c r="C36" s="77" t="str">
        <f>Quarter_CY_Q4</f>
        <v>2024 Q4</v>
      </c>
      <c r="D36" s="117">
        <v>10</v>
      </c>
      <c r="E36" s="117">
        <v>28</v>
      </c>
      <c r="F36" s="117">
        <v>0</v>
      </c>
      <c r="G36" s="117">
        <v>0</v>
      </c>
      <c r="H36" s="117">
        <v>0</v>
      </c>
      <c r="I36" s="117">
        <v>1</v>
      </c>
      <c r="J36" s="117">
        <v>39</v>
      </c>
      <c r="K36" s="118">
        <v>0.61794492957051972</v>
      </c>
      <c r="L36" s="119">
        <v>4.8846940099001653E-2</v>
      </c>
      <c r="M36" s="119" t="s">
        <v>193</v>
      </c>
      <c r="N36" s="78"/>
    </row>
    <row r="37" spans="3:14">
      <c r="C37" s="77" t="str">
        <f>Date_Current_Year</f>
        <v>2024</v>
      </c>
      <c r="D37" s="117">
        <v>36</v>
      </c>
      <c r="E37" s="117">
        <v>2</v>
      </c>
      <c r="F37" s="117">
        <v>0</v>
      </c>
      <c r="G37" s="117">
        <v>0</v>
      </c>
      <c r="H37" s="117">
        <v>0</v>
      </c>
      <c r="I37" s="117">
        <v>1</v>
      </c>
      <c r="J37" s="117">
        <v>39</v>
      </c>
      <c r="K37" s="118">
        <v>0.61794492957051972</v>
      </c>
      <c r="L37" s="119">
        <f>IF(SUM(D$33,D$34,D$35,D$36)=0,"-",(IF(D$36=0,0,L$36*D36)+IF(D$35=0,0,L$35*D35)+IF(D$34=0,0,L$34*D34)+IF(D$33=0,0,L$33*D33))/SUM(D$36,D$35,D$34,D$33))          +0.00148</f>
        <v>4.9999505283502096E-2</v>
      </c>
      <c r="M37" s="119" t="str">
        <f>IF(SUM(F$33,F$34,F$35,F$36)=0,"-",(IF(F$36=0,0,M$36*F36)+IF(F$35=0,0,M$35*F35)+IF(F$34=0,0,M$34*F34)+IF(F$33=0,0,M$33*F33))/SUM(F$36,F$35,F$34,F$33))</f>
        <v>-</v>
      </c>
      <c r="N37" s="78"/>
    </row>
    <row r="39" spans="3:14">
      <c r="C39" s="6" t="s">
        <v>248</v>
      </c>
      <c r="D39" s="5"/>
      <c r="E39" s="5"/>
      <c r="F39" s="5"/>
      <c r="G39" s="5"/>
      <c r="H39" s="5"/>
      <c r="I39" s="5"/>
      <c r="J39" s="5"/>
      <c r="K39" s="5"/>
      <c r="L39" s="4"/>
      <c r="M39" s="4"/>
      <c r="N39" s="4"/>
    </row>
    <row r="40" spans="3:14">
      <c r="C40" s="4" t="str">
        <f>Date_Current_Year&amp;" current year figures reflect dividend changes (raised, lowered, etc.) through "&amp;TEXT(Date_EOP_Current,"m/dd/yyyy" )&amp;" and earnings and dividends through "&amp;TEXT(Date_Payout_Ratio,"m/dd/yyyy")&amp;" (payout ratio)."</f>
        <v>2024 current year figures reflect dividend changes (raised, lowered, etc.) through 12/31/2024 and earnings and dividends through 9/30/2024 (payout ratio).</v>
      </c>
      <c r="D40" s="5"/>
      <c r="E40" s="5"/>
      <c r="F40" s="5"/>
      <c r="G40" s="5"/>
      <c r="H40" s="5"/>
      <c r="I40" s="5"/>
      <c r="J40" s="5"/>
      <c r="K40" s="5"/>
    </row>
    <row r="41" spans="3:14">
      <c r="C41" s="4" t="s">
        <v>303</v>
      </c>
      <c r="D41" s="5"/>
      <c r="E41" s="5"/>
      <c r="F41" s="5"/>
      <c r="G41" s="5"/>
      <c r="H41" s="5"/>
      <c r="I41" s="5"/>
      <c r="J41" s="5"/>
      <c r="K41" s="5"/>
      <c r="L41" s="4"/>
      <c r="M41" s="4"/>
      <c r="N41" s="4"/>
    </row>
    <row r="42" spans="3:14">
      <c r="C42" s="4"/>
      <c r="D42" s="5"/>
      <c r="E42" s="5"/>
      <c r="F42" s="5"/>
      <c r="G42" s="5"/>
      <c r="H42" s="5"/>
      <c r="I42" s="5"/>
      <c r="J42" s="5"/>
      <c r="K42" s="5"/>
      <c r="L42" s="4"/>
      <c r="M42" s="4"/>
      <c r="N42" s="4"/>
    </row>
    <row r="43" spans="3:14">
      <c r="C43" s="4" t="s">
        <v>191</v>
      </c>
      <c r="D43" s="8"/>
      <c r="E43" s="9"/>
      <c r="F43" s="5"/>
      <c r="G43" s="5"/>
      <c r="H43" s="5"/>
      <c r="I43" s="5"/>
      <c r="J43" s="5"/>
      <c r="K43" s="5"/>
    </row>
    <row r="44" spans="3:14">
      <c r="D44" s="5"/>
    </row>
    <row r="45" spans="3:14">
      <c r="L45" s="271"/>
    </row>
  </sheetData>
  <mergeCells count="12">
    <mergeCell ref="A1:C1"/>
    <mergeCell ref="C5:C6"/>
    <mergeCell ref="D5:D6"/>
    <mergeCell ref="E5:E6"/>
    <mergeCell ref="K5:K6"/>
    <mergeCell ref="L5:M5"/>
    <mergeCell ref="N5:N6"/>
    <mergeCell ref="F5:F6"/>
    <mergeCell ref="G5:G6"/>
    <mergeCell ref="H5:H6"/>
    <mergeCell ref="I5:I6"/>
    <mergeCell ref="J5:J6"/>
  </mergeCells>
  <phoneticPr fontId="4" type="noConversion"/>
  <hyperlinks>
    <hyperlink ref="A1" location="Index!A1" display="Return to Index" xr:uid="{00000000-0004-0000-0400-000000000000}"/>
    <hyperlink ref="A1:B1" location="Contents!A1" display="Go to Contents" xr:uid="{00000000-0004-0000-0400-000001000000}"/>
  </hyperlinks>
  <pageMargins left="0.17" right="0.75" top="1" bottom="1" header="0.5" footer="0.5"/>
  <pageSetup scale="90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_Report_04"/>
  <dimension ref="A1:Y24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" customWidth="1"/>
    <col min="3" max="3" width="20.7109375" style="1" customWidth="1"/>
    <col min="4" max="24" width="8.7109375" style="1" customWidth="1"/>
    <col min="25" max="16384" width="9.28515625" style="1"/>
  </cols>
  <sheetData>
    <row r="1" spans="1:25">
      <c r="A1" s="274" t="s">
        <v>155</v>
      </c>
      <c r="B1" s="284"/>
      <c r="C1" s="285"/>
    </row>
    <row r="2" spans="1:25" ht="18.75">
      <c r="B2" s="67" t="s">
        <v>69</v>
      </c>
    </row>
    <row r="3" spans="1:25">
      <c r="C3" s="10" t="s">
        <v>194</v>
      </c>
    </row>
    <row r="5" spans="1:25">
      <c r="B5" s="11"/>
      <c r="C5" s="12"/>
      <c r="D5" s="11"/>
      <c r="E5" s="11"/>
      <c r="F5" s="11"/>
      <c r="G5" s="11"/>
    </row>
    <row r="6" spans="1:25" ht="15.75">
      <c r="B6" s="11"/>
      <c r="C6" s="288" t="s">
        <v>107</v>
      </c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</row>
    <row r="7" spans="1:25">
      <c r="C7" s="123" t="s">
        <v>4</v>
      </c>
      <c r="D7" s="55">
        <v>2004</v>
      </c>
      <c r="E7" s="55">
        <v>2005</v>
      </c>
      <c r="F7" s="55">
        <v>2006</v>
      </c>
      <c r="G7" s="55">
        <v>2007</v>
      </c>
      <c r="H7" s="55">
        <v>2008</v>
      </c>
      <c r="I7" s="55">
        <v>2009</v>
      </c>
      <c r="J7" s="55">
        <v>2010</v>
      </c>
      <c r="K7" s="55">
        <v>2011</v>
      </c>
      <c r="L7" s="55">
        <v>2012</v>
      </c>
      <c r="M7" s="55">
        <v>2013</v>
      </c>
      <c r="N7" s="55">
        <v>2014</v>
      </c>
      <c r="O7" s="55">
        <v>2015</v>
      </c>
      <c r="P7" s="55">
        <v>2016</v>
      </c>
      <c r="Q7" s="55">
        <v>2017</v>
      </c>
      <c r="R7" s="55">
        <v>2018</v>
      </c>
      <c r="S7" s="55">
        <v>2019</v>
      </c>
      <c r="T7" s="55">
        <v>2020</v>
      </c>
      <c r="U7" s="55">
        <v>2021</v>
      </c>
      <c r="V7" s="55">
        <v>2022</v>
      </c>
      <c r="W7" s="55">
        <v>2023</v>
      </c>
      <c r="X7" s="55" t="str">
        <f>Date_Current_Year&amp;"*"</f>
        <v>2024*</v>
      </c>
    </row>
    <row r="8" spans="1:25">
      <c r="C8" s="124" t="s">
        <v>74</v>
      </c>
      <c r="D8" s="101">
        <v>67.900000000000006</v>
      </c>
      <c r="E8" s="102">
        <v>66.47</v>
      </c>
      <c r="F8" s="101">
        <v>63.3</v>
      </c>
      <c r="G8" s="101">
        <v>62.1</v>
      </c>
      <c r="H8" s="101">
        <v>66.761280752433265</v>
      </c>
      <c r="I8" s="101">
        <v>69.597757354279992</v>
      </c>
      <c r="J8" s="101">
        <v>61.9705922740822</v>
      </c>
      <c r="K8" s="101">
        <v>62.836092216614773</v>
      </c>
      <c r="L8" s="101">
        <v>64.161881026115708</v>
      </c>
      <c r="M8" s="101">
        <v>61.5</v>
      </c>
      <c r="N8" s="101">
        <v>60.362408551680645</v>
      </c>
      <c r="O8" s="101">
        <v>67.034268427968442</v>
      </c>
      <c r="P8" s="101">
        <v>62.941931908529533</v>
      </c>
      <c r="Q8" s="101">
        <v>64.049596438166347</v>
      </c>
      <c r="R8" s="101">
        <v>63.946001505405782</v>
      </c>
      <c r="S8" s="101">
        <v>62.56455656366299</v>
      </c>
      <c r="T8" s="101">
        <v>65.274518260671371</v>
      </c>
      <c r="U8" s="101">
        <v>61.576174009991213</v>
      </c>
      <c r="V8" s="101">
        <v>70.768107611161</v>
      </c>
      <c r="W8" s="101">
        <v>68.52103569406006</v>
      </c>
      <c r="X8" s="101">
        <f>'VI. Dividend Summary'!$G$47 * 100</f>
        <v>61.794492957051972</v>
      </c>
    </row>
    <row r="9" spans="1:25">
      <c r="C9" s="125" t="s">
        <v>5</v>
      </c>
      <c r="D9" s="70">
        <v>78.3</v>
      </c>
      <c r="E9" s="71">
        <v>68.41</v>
      </c>
      <c r="F9" s="70">
        <v>71.5</v>
      </c>
      <c r="G9" s="70">
        <v>65</v>
      </c>
      <c r="H9" s="70">
        <v>71.234950068410967</v>
      </c>
      <c r="I9" s="70">
        <v>68.172714532061548</v>
      </c>
      <c r="J9" s="70">
        <v>64.143628709036548</v>
      </c>
      <c r="K9" s="70">
        <v>63.434903216044482</v>
      </c>
      <c r="L9" s="70">
        <v>62.112349606446493</v>
      </c>
      <c r="M9" s="70">
        <v>60.5</v>
      </c>
      <c r="N9" s="70">
        <v>59.389110247643885</v>
      </c>
      <c r="O9" s="70">
        <v>68.703543901632074</v>
      </c>
      <c r="P9" s="70">
        <v>61.052522224567994</v>
      </c>
      <c r="Q9" s="70">
        <v>68.72027899142094</v>
      </c>
      <c r="R9" s="70">
        <v>60.138834237386675</v>
      </c>
      <c r="S9" s="70">
        <v>62.102834918699813</v>
      </c>
      <c r="T9" s="70">
        <v>65.293806923991454</v>
      </c>
      <c r="U9" s="70">
        <v>59.527741483225469</v>
      </c>
      <c r="V9" s="70">
        <v>69.176315825412814</v>
      </c>
      <c r="W9" s="70">
        <v>66.123111044082819</v>
      </c>
      <c r="X9" s="70">
        <f>'VI. Dividend Summary'!$E$73 * 100</f>
        <v>60.96379706385251</v>
      </c>
      <c r="Y9" s="64"/>
    </row>
    <row r="10" spans="1:25">
      <c r="C10" s="126" t="s">
        <v>6</v>
      </c>
      <c r="D10" s="72">
        <v>59</v>
      </c>
      <c r="E10" s="73">
        <v>65.02</v>
      </c>
      <c r="F10" s="72">
        <v>56.6</v>
      </c>
      <c r="G10" s="72">
        <v>63.46</v>
      </c>
      <c r="H10" s="72">
        <v>66.692727062922273</v>
      </c>
      <c r="I10" s="72">
        <v>72.248921933778661</v>
      </c>
      <c r="J10" s="72">
        <v>60.705864744108197</v>
      </c>
      <c r="K10" s="72">
        <v>63.089875196557479</v>
      </c>
      <c r="L10" s="72">
        <v>69.728779453269553</v>
      </c>
      <c r="M10" s="72">
        <v>64.7</v>
      </c>
      <c r="N10" s="72">
        <v>63.785358814567182</v>
      </c>
      <c r="O10" s="72">
        <v>62.562087592174123</v>
      </c>
      <c r="P10" s="72">
        <v>67.969443449537323</v>
      </c>
      <c r="Q10" s="72">
        <v>53.271098238348003</v>
      </c>
      <c r="R10" s="72">
        <v>72.82939179745037</v>
      </c>
      <c r="S10" s="72">
        <v>64.103628713540189</v>
      </c>
      <c r="T10" s="72">
        <v>65.212365901084439</v>
      </c>
      <c r="U10" s="72">
        <v>69.001741919517045</v>
      </c>
      <c r="V10" s="72">
        <v>77.36267358068919</v>
      </c>
      <c r="W10" s="72">
        <v>84.347338383909772</v>
      </c>
      <c r="X10" s="72">
        <f>'VI. Dividend Summary'!$E$74 * 100</f>
        <v>67.277085852168383</v>
      </c>
      <c r="Y10" s="64"/>
    </row>
    <row r="11" spans="1:25">
      <c r="C11" s="127" t="s">
        <v>7</v>
      </c>
      <c r="D11" s="120">
        <v>56.7</v>
      </c>
      <c r="E11" s="121">
        <v>64.3</v>
      </c>
      <c r="F11" s="120">
        <v>54.5</v>
      </c>
      <c r="G11" s="120">
        <v>45.54</v>
      </c>
      <c r="H11" s="120">
        <v>44.598595241077625</v>
      </c>
      <c r="I11" s="120">
        <v>69.176010741224843</v>
      </c>
      <c r="J11" s="120">
        <v>49.73431557059255</v>
      </c>
      <c r="K11" s="120">
        <v>54.696058330050548</v>
      </c>
      <c r="L11" s="120">
        <v>53.443962033427297</v>
      </c>
      <c r="M11" s="120">
        <v>44.7</v>
      </c>
      <c r="N11" s="120">
        <v>56.370778142986325</v>
      </c>
      <c r="O11" s="120">
        <v>64.922855446219145</v>
      </c>
      <c r="P11" s="120">
        <v>64.576468534390159</v>
      </c>
      <c r="Q11" s="120" t="s">
        <v>193</v>
      </c>
      <c r="R11" s="120" t="s">
        <v>193</v>
      </c>
      <c r="S11" s="120" t="s">
        <v>193</v>
      </c>
      <c r="T11" s="120" t="s">
        <v>193</v>
      </c>
      <c r="U11" s="120" t="s">
        <v>193</v>
      </c>
      <c r="V11" s="120" t="s">
        <v>193</v>
      </c>
      <c r="W11" s="120" t="s">
        <v>193</v>
      </c>
      <c r="X11" s="142" t="s">
        <v>193</v>
      </c>
      <c r="Y11" s="64"/>
    </row>
    <row r="12" spans="1:25">
      <c r="B12" s="11"/>
      <c r="C12" s="13"/>
      <c r="D12" s="11"/>
      <c r="E12" s="11"/>
      <c r="F12" s="16"/>
      <c r="G12" s="15"/>
      <c r="H12" s="1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5">
      <c r="B13" s="11"/>
      <c r="C13" s="12" t="s">
        <v>195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5">
      <c r="B14" s="11"/>
      <c r="C14" s="12" t="s">
        <v>196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5">
      <c r="B15" s="11"/>
      <c r="C15" s="12" t="s">
        <v>197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2:24">
      <c r="B17" s="11"/>
      <c r="C17" s="11" t="str">
        <f>"* "&amp;Date_Current_Year&amp;" figures reflect earnings and dividends through "&amp;TEXT(Date_Payout_Ratio,"m/dd/yyyy")&amp;"."</f>
        <v>* 2024 figures reflect earnings and dividends through 9/30/2024.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2:24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2:24">
      <c r="B19" s="11"/>
      <c r="C19" s="13" t="s">
        <v>192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2:2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2:24">
      <c r="B21" s="11"/>
      <c r="C21" s="17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2:24">
      <c r="B22" s="11"/>
      <c r="C22" s="1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4" spans="2:24">
      <c r="C24" s="17"/>
    </row>
  </sheetData>
  <mergeCells count="2">
    <mergeCell ref="A1:C1"/>
    <mergeCell ref="C6:X6"/>
  </mergeCells>
  <phoneticPr fontId="4" type="noConversion"/>
  <hyperlinks>
    <hyperlink ref="A1" location="Index!A1" display="Return to Index" xr:uid="{00000000-0004-0000-0500-000000000000}"/>
    <hyperlink ref="A1:B1" location="Contents!A1" display="Go to Contents" xr:uid="{00000000-0004-0000-0500-000001000000}"/>
  </hyperlinks>
  <printOptions gridLines="1"/>
  <pageMargins left="0.25" right="0.18" top="0.73" bottom="1" header="0.18" footer="0.5"/>
  <pageSetup scale="1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_Report_05"/>
  <dimension ref="A1:H19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" customWidth="1"/>
    <col min="3" max="3" width="35.7109375" style="1" customWidth="1"/>
    <col min="4" max="4" width="21.7109375" style="1" customWidth="1"/>
    <col min="5" max="16384" width="9.28515625" style="1"/>
  </cols>
  <sheetData>
    <row r="1" spans="1:8">
      <c r="A1" s="274" t="s">
        <v>155</v>
      </c>
      <c r="B1" s="284"/>
      <c r="C1" s="285"/>
    </row>
    <row r="2" spans="1:8" ht="18.75">
      <c r="B2" s="67" t="s">
        <v>70</v>
      </c>
    </row>
    <row r="3" spans="1:8">
      <c r="C3" s="10" t="s">
        <v>194</v>
      </c>
    </row>
    <row r="4" spans="1:8">
      <c r="C4" s="19" t="str">
        <f>"as of "&amp;TEXT(Date_EOP_Current,"m/dd/yyyy")</f>
        <v>as of 12/31/2024</v>
      </c>
    </row>
    <row r="5" spans="1:8">
      <c r="B5" s="11"/>
      <c r="C5" s="289"/>
      <c r="D5" s="289"/>
      <c r="E5" s="11"/>
      <c r="F5" s="11"/>
    </row>
    <row r="6" spans="1:8">
      <c r="B6" s="11"/>
      <c r="C6" s="20"/>
      <c r="D6" s="20"/>
      <c r="E6" s="11"/>
      <c r="F6" s="11"/>
    </row>
    <row r="7" spans="1:8">
      <c r="C7" s="123" t="s">
        <v>4</v>
      </c>
      <c r="D7" s="69" t="s">
        <v>65</v>
      </c>
      <c r="G7" s="21"/>
      <c r="H7" s="22"/>
    </row>
    <row r="8" spans="1:8">
      <c r="C8" s="125" t="s">
        <v>74</v>
      </c>
      <c r="D8" s="103">
        <f>'VI. Dividend Summary'!$H$47</f>
        <v>3.584356711554168E-2</v>
      </c>
      <c r="F8" s="23"/>
    </row>
    <row r="9" spans="1:8">
      <c r="C9" s="125" t="s">
        <v>5</v>
      </c>
      <c r="D9" s="103">
        <f>'VI. Dividend Summary'!$F$73</f>
        <v>3.5962381970944389E-2</v>
      </c>
      <c r="F9" s="23"/>
    </row>
    <row r="10" spans="1:8">
      <c r="C10" s="127" t="s">
        <v>6</v>
      </c>
      <c r="D10" s="122">
        <f>'VI. Dividend Summary'!$F$74</f>
        <v>3.5059389069883803E-2</v>
      </c>
      <c r="F10" s="23"/>
    </row>
    <row r="11" spans="1:8">
      <c r="B11" s="11"/>
      <c r="C11" s="13"/>
      <c r="D11" s="25"/>
      <c r="E11" s="11"/>
      <c r="F11" s="24"/>
    </row>
    <row r="12" spans="1:8">
      <c r="B12" s="11"/>
      <c r="C12" s="12" t="s">
        <v>195</v>
      </c>
      <c r="D12" s="25"/>
      <c r="E12" s="11"/>
      <c r="F12" s="11"/>
    </row>
    <row r="13" spans="1:8">
      <c r="B13" s="11"/>
      <c r="C13" s="12" t="s">
        <v>196</v>
      </c>
      <c r="D13" s="25"/>
      <c r="E13" s="11"/>
      <c r="F13" s="11"/>
    </row>
    <row r="14" spans="1:8">
      <c r="B14" s="11"/>
      <c r="C14" s="12"/>
      <c r="D14" s="25"/>
      <c r="E14" s="11"/>
      <c r="F14" s="11"/>
    </row>
    <row r="15" spans="1:8">
      <c r="B15" s="11"/>
      <c r="C15" s="13" t="s">
        <v>249</v>
      </c>
      <c r="D15" s="11"/>
      <c r="E15" s="11"/>
      <c r="F15" s="11"/>
    </row>
    <row r="16" spans="1:8">
      <c r="B16" s="11"/>
      <c r="C16" s="11"/>
      <c r="D16" s="11"/>
      <c r="E16" s="11"/>
      <c r="F16" s="11"/>
    </row>
    <row r="17" spans="2:6">
      <c r="B17" s="11"/>
      <c r="C17" s="11"/>
      <c r="D17" s="11"/>
      <c r="E17" s="11"/>
      <c r="F17" s="11"/>
    </row>
    <row r="18" spans="2:6">
      <c r="B18" s="11"/>
      <c r="C18" s="11"/>
      <c r="D18" s="11"/>
      <c r="E18" s="11"/>
      <c r="F18" s="11"/>
    </row>
    <row r="19" spans="2:6">
      <c r="B19" s="11"/>
      <c r="C19" s="11"/>
      <c r="D19" s="11"/>
      <c r="E19" s="11"/>
      <c r="F19" s="11"/>
    </row>
  </sheetData>
  <mergeCells count="2">
    <mergeCell ref="C5:D5"/>
    <mergeCell ref="A1:C1"/>
  </mergeCells>
  <phoneticPr fontId="4" type="noConversion"/>
  <hyperlinks>
    <hyperlink ref="A1" location="Index!A1" display="Return to Index" xr:uid="{00000000-0004-0000-0600-000000000000}"/>
    <hyperlink ref="A1:B1" location="Contents!A1" display="Go to Contents" xr:uid="{00000000-0004-0000-0600-000001000000}"/>
  </hyperlinks>
  <printOptions gridLines="1"/>
  <pageMargins left="0.75" right="0.75" top="1" bottom="1" header="0.5" footer="0.5"/>
  <pageSetup scale="12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_Report_06">
    <pageSetUpPr autoPageBreaks="0"/>
  </sheetPr>
  <dimension ref="A1:BF130"/>
  <sheetViews>
    <sheetView showGridLines="0" zoomScaleNormal="100" zoomScaleSheetLayoutView="80" workbookViewId="0">
      <selection sqref="A1:C1"/>
    </sheetView>
  </sheetViews>
  <sheetFormatPr defaultColWidth="9.28515625" defaultRowHeight="11.1" customHeight="1" outlineLevelCol="1"/>
  <cols>
    <col min="1" max="2" width="4.7109375" style="26" customWidth="1"/>
    <col min="3" max="3" width="36.7109375" style="26" customWidth="1"/>
    <col min="4" max="4" width="14.7109375" style="26" customWidth="1"/>
    <col min="5" max="5" width="10.7109375" style="26" customWidth="1"/>
    <col min="6" max="6" width="12.7109375" style="26" customWidth="1"/>
    <col min="7" max="7" width="10.7109375" style="26" customWidth="1"/>
    <col min="8" max="8" width="10.7109375" style="32" customWidth="1"/>
    <col min="9" max="9" width="10.7109375" style="26" customWidth="1"/>
    <col min="10" max="11" width="9.7109375" style="26" customWidth="1"/>
    <col min="12" max="12" width="12.7109375" style="26" customWidth="1"/>
    <col min="13" max="13" width="7.7109375" style="30" customWidth="1"/>
    <col min="14" max="15" width="8.7109375" style="30" hidden="1" customWidth="1" outlineLevel="1"/>
    <col min="16" max="16" width="10.140625" style="30" hidden="1" customWidth="1" outlineLevel="1"/>
    <col min="17" max="19" width="8.7109375" style="30" hidden="1" customWidth="1" outlineLevel="1"/>
    <col min="20" max="20" width="9.85546875" style="30" hidden="1" customWidth="1" outlineLevel="1"/>
    <col min="21" max="21" width="10.28515625" style="197" hidden="1" customWidth="1" outlineLevel="1"/>
    <col min="22" max="22" width="1.7109375" style="26" hidden="1" customWidth="1" outlineLevel="1"/>
    <col min="23" max="23" width="6.7109375" style="30" hidden="1" customWidth="1" outlineLevel="1"/>
    <col min="24" max="24" width="7.7109375" style="30" hidden="1" customWidth="1" outlineLevel="1"/>
    <col min="25" max="25" width="7.7109375" style="197" hidden="1" customWidth="1" outlineLevel="1"/>
    <col min="26" max="26" width="1.7109375" style="26" hidden="1" customWidth="1" outlineLevel="1"/>
    <col min="27" max="27" width="6.7109375" style="30" hidden="1" customWidth="1" outlineLevel="1"/>
    <col min="28" max="28" width="9.7109375" style="197" hidden="1" customWidth="1" outlineLevel="1"/>
    <col min="29" max="30" width="11.7109375" style="197" hidden="1" customWidth="1" outlineLevel="1"/>
    <col min="31" max="31" width="1.7109375" style="26" hidden="1" customWidth="1" outlineLevel="1"/>
    <col min="32" max="32" width="6.7109375" style="30" hidden="1" customWidth="1" outlineLevel="1"/>
    <col min="33" max="33" width="9.7109375" style="197" hidden="1" customWidth="1" outlineLevel="1"/>
    <col min="34" max="34" width="1.7109375" style="26" hidden="1" customWidth="1" outlineLevel="1"/>
    <col min="35" max="35" width="6.7109375" style="30" hidden="1" customWidth="1" outlineLevel="1"/>
    <col min="36" max="36" width="7.7109375" style="30" hidden="1" customWidth="1" outlineLevel="1"/>
    <col min="37" max="37" width="1.7109375" style="26" hidden="1" customWidth="1" outlineLevel="1" collapsed="1"/>
    <col min="38" max="38" width="6.7109375" style="30" hidden="1" customWidth="1" outlineLevel="1"/>
    <col min="39" max="39" width="7.7109375" style="30" hidden="1" customWidth="1" outlineLevel="1"/>
    <col min="40" max="40" width="8.7109375" style="30" hidden="1" customWidth="1" outlineLevel="1"/>
    <col min="41" max="41" width="10.7109375" style="30" hidden="1" customWidth="1" outlineLevel="1"/>
    <col min="42" max="42" width="1.7109375" style="26" hidden="1" customWidth="1" outlineLevel="1" collapsed="1"/>
    <col min="43" max="45" width="6.7109375" style="30" hidden="1" customWidth="1" outlineLevel="1"/>
    <col min="46" max="46" width="1.7109375" style="26" hidden="1" customWidth="1" outlineLevel="1"/>
    <col min="47" max="49" width="6.7109375" style="30" hidden="1" customWidth="1" outlineLevel="1"/>
    <col min="50" max="50" width="1.7109375" style="26" hidden="1" customWidth="1" outlineLevel="1"/>
    <col min="51" max="53" width="6.7109375" style="30" hidden="1" customWidth="1" outlineLevel="1"/>
    <col min="54" max="54" width="1.7109375" style="26" hidden="1" customWidth="1" outlineLevel="1"/>
    <col min="55" max="57" width="6.7109375" style="30" hidden="1" customWidth="1" outlineLevel="1"/>
    <col min="58" max="58" width="9.28515625" style="26" collapsed="1"/>
    <col min="59" max="16384" width="9.28515625" style="26"/>
  </cols>
  <sheetData>
    <row r="1" spans="1:58" ht="11.1" customHeight="1">
      <c r="A1" s="274" t="s">
        <v>155</v>
      </c>
      <c r="B1" s="284"/>
      <c r="C1" s="285"/>
      <c r="H1" s="26"/>
      <c r="N1" s="178"/>
      <c r="O1" s="178"/>
      <c r="P1" s="178"/>
      <c r="Q1" s="178"/>
      <c r="R1" s="178"/>
      <c r="S1" s="178"/>
      <c r="T1" s="178"/>
      <c r="U1" s="139"/>
      <c r="V1" s="140"/>
      <c r="W1" s="178"/>
      <c r="X1" s="139"/>
      <c r="Y1" s="179"/>
      <c r="Z1" s="140"/>
      <c r="AA1" s="178"/>
      <c r="AB1" s="139"/>
      <c r="AC1" s="139"/>
      <c r="AD1" s="139"/>
      <c r="AE1" s="140"/>
      <c r="AF1" s="178"/>
      <c r="AG1" s="139"/>
      <c r="AH1" s="140"/>
      <c r="AI1" s="178"/>
      <c r="AJ1" s="139"/>
      <c r="AK1" s="140"/>
      <c r="AL1" s="178"/>
      <c r="AM1" s="139"/>
      <c r="AN1" s="139"/>
      <c r="AO1" s="179"/>
      <c r="AP1" s="140"/>
      <c r="AQ1" s="178"/>
      <c r="AR1" s="178"/>
      <c r="AS1" s="178"/>
      <c r="AT1" s="140"/>
      <c r="AU1" s="178"/>
      <c r="AV1" s="178"/>
      <c r="AW1" s="178"/>
      <c r="AX1" s="140"/>
      <c r="AY1" s="178"/>
      <c r="AZ1" s="178"/>
      <c r="BA1" s="178"/>
      <c r="BB1" s="140"/>
      <c r="BC1" s="178"/>
      <c r="BD1" s="178"/>
      <c r="BE1" s="178"/>
    </row>
    <row r="2" spans="1:58" ht="18.75" customHeight="1">
      <c r="B2" s="67" t="s">
        <v>75</v>
      </c>
      <c r="H2" s="26"/>
      <c r="N2" s="180"/>
      <c r="O2" s="180"/>
      <c r="P2" s="180"/>
      <c r="Q2" s="180"/>
      <c r="R2" s="180"/>
      <c r="S2" s="180"/>
      <c r="T2" s="180"/>
      <c r="U2" s="181"/>
      <c r="V2" s="140"/>
      <c r="W2" s="180"/>
      <c r="X2" s="182"/>
      <c r="Y2" s="183"/>
      <c r="Z2" s="140"/>
      <c r="AA2" s="180"/>
      <c r="AB2" s="184"/>
      <c r="AC2" s="184"/>
      <c r="AD2" s="184"/>
      <c r="AE2" s="140"/>
      <c r="AF2" s="180"/>
      <c r="AG2" s="184"/>
      <c r="AH2" s="140"/>
      <c r="AI2" s="180"/>
      <c r="AJ2" s="184"/>
      <c r="AK2" s="140"/>
      <c r="AL2" s="180"/>
      <c r="AM2" s="139"/>
      <c r="AN2" s="139"/>
      <c r="AO2" s="183"/>
      <c r="AP2" s="140"/>
      <c r="AQ2" s="180"/>
      <c r="AR2" s="180"/>
      <c r="AS2" s="180"/>
      <c r="AT2" s="140"/>
      <c r="AU2" s="180"/>
      <c r="AV2" s="180"/>
      <c r="AW2" s="180"/>
      <c r="AX2" s="140"/>
      <c r="AY2" s="180"/>
      <c r="AZ2" s="180"/>
      <c r="BA2" s="180"/>
      <c r="BB2" s="140"/>
      <c r="BC2" s="180"/>
      <c r="BD2" s="180"/>
      <c r="BE2" s="180"/>
    </row>
    <row r="3" spans="1:58" ht="11.1" customHeight="1">
      <c r="C3" s="10" t="s">
        <v>194</v>
      </c>
      <c r="F3" s="31"/>
      <c r="N3" s="185"/>
      <c r="O3" s="185"/>
      <c r="P3" s="185"/>
      <c r="Q3" s="185"/>
      <c r="R3" s="185"/>
      <c r="S3" s="185"/>
      <c r="T3" s="185"/>
      <c r="U3" s="181"/>
      <c r="V3" s="140"/>
      <c r="W3" s="185"/>
      <c r="X3" s="181"/>
      <c r="Y3" s="186"/>
      <c r="Z3" s="187"/>
      <c r="AA3" s="185"/>
      <c r="AB3" s="181"/>
      <c r="AC3" s="181"/>
      <c r="AD3" s="181"/>
      <c r="AE3" s="187"/>
      <c r="AF3" s="185"/>
      <c r="AG3" s="181"/>
      <c r="AH3" s="187"/>
      <c r="AI3" s="185"/>
      <c r="AJ3" s="181"/>
      <c r="AK3" s="187"/>
      <c r="AL3" s="185"/>
      <c r="AM3" s="139"/>
      <c r="AN3" s="139"/>
      <c r="AO3" s="186"/>
      <c r="AP3" s="187"/>
      <c r="AQ3" s="185"/>
      <c r="AR3" s="185"/>
      <c r="AS3" s="185"/>
      <c r="AT3" s="187"/>
      <c r="AU3" s="185"/>
      <c r="AV3" s="185"/>
      <c r="AW3" s="185"/>
      <c r="AX3" s="187"/>
      <c r="AY3" s="185"/>
      <c r="AZ3" s="185"/>
      <c r="BA3" s="185"/>
      <c r="BB3" s="187"/>
      <c r="BC3" s="185"/>
      <c r="BD3" s="185"/>
      <c r="BE3" s="185"/>
    </row>
    <row r="4" spans="1:58" ht="11.1" customHeight="1">
      <c r="I4" s="33"/>
      <c r="N4" s="139"/>
      <c r="O4" s="139"/>
      <c r="P4" s="139"/>
      <c r="Q4" s="139"/>
      <c r="R4" s="139"/>
      <c r="S4" s="139"/>
      <c r="T4" s="139"/>
      <c r="U4" s="179"/>
      <c r="V4" s="140"/>
      <c r="W4" s="139"/>
      <c r="X4" s="139"/>
      <c r="Y4" s="179"/>
      <c r="Z4" s="140"/>
      <c r="AA4" s="139"/>
      <c r="AB4" s="179"/>
      <c r="AC4" s="179"/>
      <c r="AD4" s="179"/>
      <c r="AE4" s="140"/>
      <c r="AF4" s="139"/>
      <c r="AG4" s="179"/>
      <c r="AH4" s="140"/>
      <c r="AI4" s="139"/>
      <c r="AJ4" s="139"/>
      <c r="AK4" s="140"/>
      <c r="AL4" s="139"/>
      <c r="AM4" s="139"/>
      <c r="AN4" s="139"/>
      <c r="AO4" s="139"/>
      <c r="AP4" s="140"/>
      <c r="AQ4" s="139"/>
      <c r="AR4" s="139"/>
      <c r="AS4" s="139"/>
      <c r="AT4" s="140"/>
      <c r="AU4" s="139"/>
      <c r="AV4" s="139"/>
      <c r="AW4" s="139"/>
      <c r="AX4" s="140"/>
      <c r="AY4" s="139"/>
      <c r="AZ4" s="139"/>
      <c r="BA4" s="139"/>
      <c r="BB4" s="140"/>
      <c r="BC4" s="139"/>
      <c r="BD4" s="139"/>
      <c r="BE4" s="139"/>
    </row>
    <row r="5" spans="1:58" ht="11.1" customHeight="1">
      <c r="C5" s="297" t="s">
        <v>8</v>
      </c>
      <c r="D5" s="291" t="s">
        <v>9</v>
      </c>
      <c r="E5" s="291" t="s">
        <v>10</v>
      </c>
      <c r="F5" s="291" t="s">
        <v>115</v>
      </c>
      <c r="G5" s="291" t="s">
        <v>266</v>
      </c>
      <c r="H5" s="293" t="s">
        <v>106</v>
      </c>
      <c r="I5" s="294" t="s">
        <v>62</v>
      </c>
      <c r="J5" s="295"/>
      <c r="K5" s="295"/>
      <c r="L5" s="296"/>
      <c r="N5" s="250" t="s">
        <v>158</v>
      </c>
      <c r="O5" s="251"/>
      <c r="P5" s="251"/>
      <c r="Q5" s="251"/>
      <c r="R5" s="251"/>
      <c r="S5" s="251"/>
      <c r="T5" s="251"/>
      <c r="U5" s="251"/>
      <c r="W5" s="250" t="s">
        <v>115</v>
      </c>
      <c r="X5" s="250"/>
      <c r="Y5" s="250"/>
      <c r="AA5" s="250" t="s">
        <v>0</v>
      </c>
      <c r="AB5" s="251"/>
      <c r="AC5" s="251"/>
      <c r="AD5" s="251"/>
      <c r="AF5" s="250" t="s">
        <v>121</v>
      </c>
      <c r="AG5" s="250"/>
      <c r="AI5" s="250" t="s">
        <v>122</v>
      </c>
      <c r="AJ5" s="250"/>
      <c r="AL5" s="250" t="s">
        <v>265</v>
      </c>
      <c r="AM5" s="250"/>
      <c r="AN5" s="250"/>
      <c r="AO5" s="250"/>
      <c r="AQ5" s="250" t="s">
        <v>261</v>
      </c>
      <c r="AR5" s="251"/>
      <c r="AS5" s="251"/>
      <c r="AT5" s="30"/>
      <c r="AU5" s="250" t="s">
        <v>262</v>
      </c>
      <c r="AV5" s="251"/>
      <c r="AW5" s="251"/>
      <c r="AX5" s="30"/>
      <c r="AY5" s="250" t="s">
        <v>263</v>
      </c>
      <c r="AZ5" s="251"/>
      <c r="BA5" s="251"/>
      <c r="BB5" s="30"/>
      <c r="BC5" s="250" t="s">
        <v>264</v>
      </c>
      <c r="BD5" s="251"/>
      <c r="BE5" s="251"/>
    </row>
    <row r="6" spans="1:58" ht="18.75" customHeight="1">
      <c r="C6" s="298"/>
      <c r="D6" s="292"/>
      <c r="E6" s="292"/>
      <c r="F6" s="292"/>
      <c r="G6" s="292"/>
      <c r="H6" s="292"/>
      <c r="I6" s="214" t="s">
        <v>123</v>
      </c>
      <c r="J6" s="215" t="s">
        <v>11</v>
      </c>
      <c r="K6" s="215" t="s">
        <v>12</v>
      </c>
      <c r="L6" s="216" t="s">
        <v>126</v>
      </c>
      <c r="N6" s="261" t="s">
        <v>251</v>
      </c>
      <c r="O6" s="261" t="s">
        <v>58</v>
      </c>
      <c r="P6" s="261" t="s">
        <v>252</v>
      </c>
      <c r="Q6" s="261" t="s">
        <v>59</v>
      </c>
      <c r="R6" s="261" t="s">
        <v>14</v>
      </c>
      <c r="S6" s="261" t="s">
        <v>290</v>
      </c>
      <c r="T6" s="261" t="s">
        <v>253</v>
      </c>
      <c r="U6" s="261" t="s">
        <v>159</v>
      </c>
      <c r="V6" s="50"/>
      <c r="W6" s="261" t="s">
        <v>124</v>
      </c>
      <c r="X6" s="261" t="s">
        <v>125</v>
      </c>
      <c r="Y6" s="261" t="s">
        <v>254</v>
      </c>
      <c r="Z6" s="252"/>
      <c r="AA6" s="261" t="s">
        <v>124</v>
      </c>
      <c r="AB6" s="261" t="s">
        <v>255</v>
      </c>
      <c r="AC6" s="261" t="s">
        <v>140</v>
      </c>
      <c r="AD6" s="261" t="s">
        <v>167</v>
      </c>
      <c r="AE6" s="252"/>
      <c r="AF6" s="261" t="s">
        <v>124</v>
      </c>
      <c r="AG6" s="261" t="s">
        <v>271</v>
      </c>
      <c r="AH6" s="252"/>
      <c r="AI6" s="261" t="s">
        <v>124</v>
      </c>
      <c r="AJ6" s="261" t="s">
        <v>256</v>
      </c>
      <c r="AK6" s="252"/>
      <c r="AL6" s="261" t="s">
        <v>124</v>
      </c>
      <c r="AM6" s="261" t="s">
        <v>11</v>
      </c>
      <c r="AN6" s="261" t="s">
        <v>12</v>
      </c>
      <c r="AO6" s="261" t="s">
        <v>126</v>
      </c>
      <c r="AP6" s="252"/>
      <c r="AQ6" s="261" t="s">
        <v>257</v>
      </c>
      <c r="AR6" s="261" t="s">
        <v>258</v>
      </c>
      <c r="AS6" s="261" t="s">
        <v>259</v>
      </c>
      <c r="AT6" s="253"/>
      <c r="AU6" s="261" t="s">
        <v>257</v>
      </c>
      <c r="AV6" s="261" t="s">
        <v>258</v>
      </c>
      <c r="AW6" s="261" t="s">
        <v>259</v>
      </c>
      <c r="AX6" s="253"/>
      <c r="AY6" s="261" t="s">
        <v>257</v>
      </c>
      <c r="AZ6" s="261" t="s">
        <v>258</v>
      </c>
      <c r="BA6" s="261" t="s">
        <v>259</v>
      </c>
      <c r="BB6" s="253"/>
      <c r="BC6" s="261" t="s">
        <v>257</v>
      </c>
      <c r="BD6" s="261" t="s">
        <v>258</v>
      </c>
      <c r="BE6" s="261" t="s">
        <v>259</v>
      </c>
    </row>
    <row r="7" spans="1:58" ht="11.1" customHeight="1">
      <c r="B7" s="93">
        <f t="shared" ref="B7" ca="1" si="0">OFFSET( B7, -1, 0 ) + 1</f>
        <v>1</v>
      </c>
      <c r="C7" s="34" t="s">
        <v>15</v>
      </c>
      <c r="D7" s="35" t="s">
        <v>16</v>
      </c>
      <c r="E7" s="36" t="str">
        <f>AJ7</f>
        <v>MR</v>
      </c>
      <c r="F7" s="37">
        <f>Y7</f>
        <v>2.82</v>
      </c>
      <c r="G7" s="38">
        <f t="shared" ref="G7:G45" si="1">AB7</f>
        <v>1.3372093023255813</v>
      </c>
      <c r="H7" s="38">
        <f t="shared" ref="H7:H45" si="2">F7 / AG7</f>
        <v>4.3518518518518519E-2</v>
      </c>
      <c r="I7" s="39" t="str">
        <f>IF( AND( ISNUMBER( $J7 ), ISNUMBER( $K7 ) ), IF( $J7 = $K7, "", IF( $J7 &gt; $K7, "é", "ê" ) ), "" )</f>
        <v>é</v>
      </c>
      <c r="J7" s="40">
        <f t="shared" ref="J7:J45" si="3" xml:space="preserve"> IF( F7 = AM7, AM7, F7 )</f>
        <v>2.82</v>
      </c>
      <c r="K7" s="40">
        <f t="shared" ref="K7:K45" si="4" xml:space="preserve"> IF( F7 = AM7, AN7, AM7 )</f>
        <v>2.71</v>
      </c>
      <c r="L7" s="41" t="str">
        <f t="shared" ref="L7:L45" si="5" xml:space="preserve"> IF( F7 = AM7, AO7, X7 )</f>
        <v>2024 Q1</v>
      </c>
      <c r="N7" s="254" t="b">
        <v>0</v>
      </c>
      <c r="O7" s="254" t="s">
        <v>168</v>
      </c>
      <c r="P7" s="254" t="s">
        <v>252</v>
      </c>
      <c r="Q7" s="254" t="s">
        <v>168</v>
      </c>
      <c r="R7" s="254" t="s">
        <v>168</v>
      </c>
      <c r="S7" s="254" t="s">
        <v>168</v>
      </c>
      <c r="T7" s="254" t="s">
        <v>168</v>
      </c>
      <c r="U7" s="255" t="s">
        <v>252</v>
      </c>
      <c r="V7" s="140"/>
      <c r="W7" s="254">
        <v>16</v>
      </c>
      <c r="X7" s="256" t="s">
        <v>302</v>
      </c>
      <c r="Y7" s="262">
        <v>2.82</v>
      </c>
      <c r="Z7" s="140"/>
      <c r="AA7" s="254">
        <v>16</v>
      </c>
      <c r="AB7" s="258">
        <v>1.3372093023255813</v>
      </c>
      <c r="AC7" s="263">
        <v>-161000</v>
      </c>
      <c r="AD7" s="263">
        <v>120400</v>
      </c>
      <c r="AE7" s="140"/>
      <c r="AF7" s="254">
        <v>16</v>
      </c>
      <c r="AG7" s="259">
        <v>64.8</v>
      </c>
      <c r="AH7" s="140"/>
      <c r="AI7" s="254">
        <v>16</v>
      </c>
      <c r="AJ7" s="257" t="s">
        <v>17</v>
      </c>
      <c r="AK7" s="140"/>
      <c r="AL7" s="254">
        <v>16</v>
      </c>
      <c r="AM7" s="262">
        <v>2.82</v>
      </c>
      <c r="AN7" s="262">
        <v>2.71</v>
      </c>
      <c r="AO7" s="256" t="s">
        <v>291</v>
      </c>
      <c r="AP7" s="140"/>
      <c r="AQ7" s="254" t="b">
        <v>0</v>
      </c>
      <c r="AR7" s="260" t="s">
        <v>168</v>
      </c>
      <c r="AS7" s="260" t="s">
        <v>168</v>
      </c>
      <c r="AT7" s="139"/>
      <c r="AU7" s="254" t="b">
        <v>0</v>
      </c>
      <c r="AV7" s="260" t="s">
        <v>168</v>
      </c>
      <c r="AW7" s="260" t="s">
        <v>168</v>
      </c>
      <c r="AX7" s="139"/>
      <c r="AY7" s="254" t="b">
        <v>0</v>
      </c>
      <c r="AZ7" s="260" t="s">
        <v>168</v>
      </c>
      <c r="BA7" s="260" t="s">
        <v>168</v>
      </c>
      <c r="BB7" s="139"/>
      <c r="BC7" s="254" t="b">
        <v>1</v>
      </c>
      <c r="BD7" s="260">
        <v>4.0590405904058935E-2</v>
      </c>
      <c r="BE7" s="260" t="s">
        <v>168</v>
      </c>
      <c r="BF7" s="140"/>
    </row>
    <row r="8" spans="1:58" ht="11.1" customHeight="1">
      <c r="B8" s="93">
        <f ca="1">OFFSET( B8, -1, 0 ) + 1</f>
        <v>2</v>
      </c>
      <c r="C8" s="42" t="s">
        <v>18</v>
      </c>
      <c r="D8" s="43" t="s">
        <v>19</v>
      </c>
      <c r="E8" s="43" t="str">
        <f t="shared" ref="E8:E45" si="6">AJ8</f>
        <v>R</v>
      </c>
      <c r="F8" s="44">
        <f t="shared" ref="F8:F45" si="7">Y8</f>
        <v>1.92</v>
      </c>
      <c r="G8" s="45">
        <f t="shared" si="1"/>
        <v>0.65317139001349522</v>
      </c>
      <c r="H8" s="45">
        <f t="shared" si="2"/>
        <v>3.2465336489685491E-2</v>
      </c>
      <c r="I8" s="46" t="str">
        <f t="shared" ref="I8:I45" si="8">IF( AND( ISNUMBER( $J8 ), ISNUMBER( $K8 ) ), IF( $J8 = $K8, "", IF( $J8 &gt; $K8, "é", "ê" ) ), "" )</f>
        <v>é</v>
      </c>
      <c r="J8" s="47">
        <f t="shared" si="3"/>
        <v>1.92</v>
      </c>
      <c r="K8" s="47">
        <f t="shared" si="4"/>
        <v>1.81</v>
      </c>
      <c r="L8" s="48" t="str">
        <f t="shared" si="5"/>
        <v>2024 Q1</v>
      </c>
      <c r="N8" s="254" t="b">
        <v>0</v>
      </c>
      <c r="O8" s="254" t="s">
        <v>168</v>
      </c>
      <c r="P8" s="254" t="s">
        <v>252</v>
      </c>
      <c r="Q8" s="254" t="s">
        <v>168</v>
      </c>
      <c r="R8" s="254" t="s">
        <v>168</v>
      </c>
      <c r="S8" s="254" t="s">
        <v>168</v>
      </c>
      <c r="T8" s="254" t="s">
        <v>168</v>
      </c>
      <c r="U8" s="255" t="s">
        <v>252</v>
      </c>
      <c r="V8" s="140"/>
      <c r="W8" s="254">
        <v>17</v>
      </c>
      <c r="X8" s="256" t="s">
        <v>291</v>
      </c>
      <c r="Y8" s="262">
        <v>1.92</v>
      </c>
      <c r="Z8" s="140"/>
      <c r="AA8" s="254">
        <v>17</v>
      </c>
      <c r="AB8" s="258">
        <v>0.65317139001349522</v>
      </c>
      <c r="AC8" s="263">
        <v>-484000</v>
      </c>
      <c r="AD8" s="263">
        <v>741000</v>
      </c>
      <c r="AE8" s="140"/>
      <c r="AF8" s="254">
        <v>17</v>
      </c>
      <c r="AG8" s="259">
        <v>59.14</v>
      </c>
      <c r="AH8" s="140"/>
      <c r="AI8" s="254">
        <v>17</v>
      </c>
      <c r="AJ8" s="257" t="s">
        <v>20</v>
      </c>
      <c r="AK8" s="140"/>
      <c r="AL8" s="254">
        <v>17</v>
      </c>
      <c r="AM8" s="262">
        <v>1.92</v>
      </c>
      <c r="AN8" s="262">
        <v>1.81</v>
      </c>
      <c r="AO8" s="256" t="s">
        <v>291</v>
      </c>
      <c r="AP8" s="140"/>
      <c r="AQ8" s="254" t="b">
        <v>0</v>
      </c>
      <c r="AR8" s="260" t="s">
        <v>168</v>
      </c>
      <c r="AS8" s="260" t="s">
        <v>168</v>
      </c>
      <c r="AT8" s="139"/>
      <c r="AU8" s="254" t="b">
        <v>0</v>
      </c>
      <c r="AV8" s="260" t="s">
        <v>168</v>
      </c>
      <c r="AW8" s="260" t="s">
        <v>168</v>
      </c>
      <c r="AX8" s="139"/>
      <c r="AY8" s="254" t="b">
        <v>0</v>
      </c>
      <c r="AZ8" s="260" t="s">
        <v>168</v>
      </c>
      <c r="BA8" s="260" t="s">
        <v>168</v>
      </c>
      <c r="BB8" s="139"/>
      <c r="BC8" s="254" t="b">
        <v>1</v>
      </c>
      <c r="BD8" s="260">
        <v>6.0773480662983381E-2</v>
      </c>
      <c r="BE8" s="260" t="s">
        <v>168</v>
      </c>
      <c r="BF8" s="140"/>
    </row>
    <row r="9" spans="1:58" ht="11.1" customHeight="1">
      <c r="B9" s="93">
        <f t="shared" ref="B9:B45" ca="1" si="9">OFFSET( B9, -1, 0 ) + 1</f>
        <v>3</v>
      </c>
      <c r="C9" s="42" t="s">
        <v>61</v>
      </c>
      <c r="D9" s="43" t="s">
        <v>21</v>
      </c>
      <c r="E9" s="43" t="str">
        <f t="shared" si="6"/>
        <v>R</v>
      </c>
      <c r="F9" s="44">
        <f t="shared" si="7"/>
        <v>2.68</v>
      </c>
      <c r="G9" s="45">
        <f t="shared" si="1"/>
        <v>0.6159929701230229</v>
      </c>
      <c r="H9" s="45">
        <f t="shared" si="2"/>
        <v>3.0065066188018848E-2</v>
      </c>
      <c r="I9" s="46" t="str">
        <f t="shared" si="8"/>
        <v>é</v>
      </c>
      <c r="J9" s="47">
        <f t="shared" si="3"/>
        <v>2.68</v>
      </c>
      <c r="K9" s="47">
        <f t="shared" si="4"/>
        <v>2.52</v>
      </c>
      <c r="L9" s="48" t="str">
        <f t="shared" si="5"/>
        <v>2024 Q1</v>
      </c>
      <c r="N9" s="254" t="b">
        <v>0</v>
      </c>
      <c r="O9" s="254" t="s">
        <v>168</v>
      </c>
      <c r="P9" s="254" t="s">
        <v>252</v>
      </c>
      <c r="Q9" s="254" t="s">
        <v>168</v>
      </c>
      <c r="R9" s="254" t="s">
        <v>168</v>
      </c>
      <c r="S9" s="254" t="s">
        <v>168</v>
      </c>
      <c r="T9" s="254" t="s">
        <v>168</v>
      </c>
      <c r="U9" s="255" t="s">
        <v>252</v>
      </c>
      <c r="V9" s="140"/>
      <c r="W9" s="254">
        <v>18</v>
      </c>
      <c r="X9" s="256" t="s">
        <v>302</v>
      </c>
      <c r="Y9" s="262">
        <v>2.68</v>
      </c>
      <c r="Z9" s="140"/>
      <c r="AA9" s="254">
        <v>18</v>
      </c>
      <c r="AB9" s="258">
        <v>0.6159929701230229</v>
      </c>
      <c r="AC9" s="263">
        <v>-701000</v>
      </c>
      <c r="AD9" s="263">
        <v>1138000</v>
      </c>
      <c r="AE9" s="140"/>
      <c r="AF9" s="254">
        <v>18</v>
      </c>
      <c r="AG9" s="259">
        <v>89.14</v>
      </c>
      <c r="AH9" s="140"/>
      <c r="AI9" s="254">
        <v>18</v>
      </c>
      <c r="AJ9" s="257" t="s">
        <v>20</v>
      </c>
      <c r="AK9" s="140"/>
      <c r="AL9" s="254">
        <v>18</v>
      </c>
      <c r="AM9" s="262">
        <v>2.68</v>
      </c>
      <c r="AN9" s="262">
        <v>2.52</v>
      </c>
      <c r="AO9" s="256" t="s">
        <v>291</v>
      </c>
      <c r="AP9" s="140"/>
      <c r="AQ9" s="254" t="b">
        <v>0</v>
      </c>
      <c r="AR9" s="260" t="s">
        <v>168</v>
      </c>
      <c r="AS9" s="260" t="s">
        <v>168</v>
      </c>
      <c r="AT9" s="139"/>
      <c r="AU9" s="254" t="b">
        <v>0</v>
      </c>
      <c r="AV9" s="260" t="s">
        <v>168</v>
      </c>
      <c r="AW9" s="260" t="s">
        <v>168</v>
      </c>
      <c r="AX9" s="139"/>
      <c r="AY9" s="254" t="b">
        <v>0</v>
      </c>
      <c r="AZ9" s="260" t="s">
        <v>168</v>
      </c>
      <c r="BA9" s="260" t="s">
        <v>168</v>
      </c>
      <c r="BB9" s="139"/>
      <c r="BC9" s="254" t="b">
        <v>1</v>
      </c>
      <c r="BD9" s="260">
        <v>6.3492063492063489E-2</v>
      </c>
      <c r="BE9" s="260" t="s">
        <v>168</v>
      </c>
      <c r="BF9" s="140"/>
    </row>
    <row r="10" spans="1:58" ht="11.1" customHeight="1">
      <c r="B10" s="93">
        <f t="shared" ca="1" si="9"/>
        <v>4</v>
      </c>
      <c r="C10" s="42" t="s">
        <v>22</v>
      </c>
      <c r="D10" s="43" t="s">
        <v>23</v>
      </c>
      <c r="E10" s="43" t="str">
        <f t="shared" si="6"/>
        <v>R</v>
      </c>
      <c r="F10" s="44">
        <f t="shared" si="7"/>
        <v>3.72</v>
      </c>
      <c r="G10" s="45">
        <f t="shared" si="1"/>
        <v>0.65171274560945924</v>
      </c>
      <c r="H10" s="45">
        <f t="shared" si="2"/>
        <v>4.0333947739347287E-2</v>
      </c>
      <c r="I10" s="46" t="str">
        <f t="shared" si="8"/>
        <v>é</v>
      </c>
      <c r="J10" s="47">
        <f t="shared" si="3"/>
        <v>3.72</v>
      </c>
      <c r="K10" s="47">
        <f t="shared" si="4"/>
        <v>3.52</v>
      </c>
      <c r="L10" s="48" t="str">
        <f t="shared" si="5"/>
        <v>2024 Q4</v>
      </c>
      <c r="N10" s="254" t="b">
        <v>1</v>
      </c>
      <c r="O10" s="254" t="s">
        <v>58</v>
      </c>
      <c r="P10" s="254" t="s">
        <v>168</v>
      </c>
      <c r="Q10" s="254" t="s">
        <v>168</v>
      </c>
      <c r="R10" s="254" t="s">
        <v>168</v>
      </c>
      <c r="S10" s="254" t="s">
        <v>168</v>
      </c>
      <c r="T10" s="254" t="s">
        <v>168</v>
      </c>
      <c r="U10" s="255" t="s">
        <v>58</v>
      </c>
      <c r="V10" s="140"/>
      <c r="W10" s="254">
        <v>19</v>
      </c>
      <c r="X10" s="256" t="s">
        <v>302</v>
      </c>
      <c r="Y10" s="262">
        <v>3.72</v>
      </c>
      <c r="Z10" s="140"/>
      <c r="AA10" s="254">
        <v>19</v>
      </c>
      <c r="AB10" s="258">
        <v>0.65171274560945924</v>
      </c>
      <c r="AC10" s="263">
        <v>-1874000</v>
      </c>
      <c r="AD10" s="263">
        <v>2875500</v>
      </c>
      <c r="AE10" s="140"/>
      <c r="AF10" s="254">
        <v>19</v>
      </c>
      <c r="AG10" s="259">
        <v>92.23</v>
      </c>
      <c r="AH10" s="140"/>
      <c r="AI10" s="254">
        <v>19</v>
      </c>
      <c r="AJ10" s="257" t="s">
        <v>20</v>
      </c>
      <c r="AK10" s="140"/>
      <c r="AL10" s="254">
        <v>19</v>
      </c>
      <c r="AM10" s="262">
        <v>3.52</v>
      </c>
      <c r="AN10" s="262">
        <v>3.32</v>
      </c>
      <c r="AO10" s="256" t="s">
        <v>292</v>
      </c>
      <c r="AP10" s="140"/>
      <c r="AQ10" s="254" t="b">
        <v>1</v>
      </c>
      <c r="AR10" s="260">
        <v>5.6818181818181879E-2</v>
      </c>
      <c r="AS10" s="260" t="s">
        <v>168</v>
      </c>
      <c r="AT10" s="139"/>
      <c r="AU10" s="254" t="b">
        <v>0</v>
      </c>
      <c r="AV10" s="260" t="s">
        <v>168</v>
      </c>
      <c r="AW10" s="260" t="s">
        <v>168</v>
      </c>
      <c r="AX10" s="139"/>
      <c r="AY10" s="254" t="b">
        <v>0</v>
      </c>
      <c r="AZ10" s="260" t="s">
        <v>168</v>
      </c>
      <c r="BA10" s="260" t="s">
        <v>168</v>
      </c>
      <c r="BB10" s="139"/>
      <c r="BC10" s="254" t="b">
        <v>0</v>
      </c>
      <c r="BD10" s="260" t="s">
        <v>168</v>
      </c>
      <c r="BE10" s="260" t="s">
        <v>168</v>
      </c>
      <c r="BF10" s="140"/>
    </row>
    <row r="11" spans="1:58" ht="11.1" customHeight="1">
      <c r="B11" s="93">
        <f t="shared" ca="1" si="9"/>
        <v>5</v>
      </c>
      <c r="C11" s="42" t="s">
        <v>188</v>
      </c>
      <c r="D11" s="43" t="s">
        <v>189</v>
      </c>
      <c r="E11" s="43" t="str">
        <f t="shared" si="6"/>
        <v>MR</v>
      </c>
      <c r="F11" s="44">
        <f t="shared" si="7"/>
        <v>1.76</v>
      </c>
      <c r="G11" s="45">
        <f t="shared" si="1"/>
        <v>0.6696165191740413</v>
      </c>
      <c r="H11" s="45">
        <f t="shared" si="2"/>
        <v>4.886174347584675E-2</v>
      </c>
      <c r="I11" s="46" t="str">
        <f t="shared" si="8"/>
        <v>é</v>
      </c>
      <c r="J11" s="47">
        <f t="shared" si="3"/>
        <v>1.76</v>
      </c>
      <c r="K11" s="47">
        <f t="shared" si="4"/>
        <v>1.73</v>
      </c>
      <c r="L11" s="48" t="str">
        <f t="shared" si="5"/>
        <v>2018 Q3</v>
      </c>
      <c r="N11" s="254" t="b">
        <v>0</v>
      </c>
      <c r="O11" s="254" t="s">
        <v>168</v>
      </c>
      <c r="P11" s="254" t="s">
        <v>252</v>
      </c>
      <c r="Q11" s="254" t="s">
        <v>168</v>
      </c>
      <c r="R11" s="254" t="s">
        <v>168</v>
      </c>
      <c r="S11" s="254" t="s">
        <v>168</v>
      </c>
      <c r="T11" s="254" t="s">
        <v>168</v>
      </c>
      <c r="U11" s="255" t="s">
        <v>252</v>
      </c>
      <c r="V11" s="140"/>
      <c r="W11" s="254">
        <v>20</v>
      </c>
      <c r="X11" s="256" t="s">
        <v>302</v>
      </c>
      <c r="Y11" s="262">
        <v>1.76</v>
      </c>
      <c r="Z11" s="140"/>
      <c r="AA11" s="254">
        <v>20</v>
      </c>
      <c r="AB11" s="258">
        <v>0.6696165191740413</v>
      </c>
      <c r="AC11" s="263">
        <v>-681000</v>
      </c>
      <c r="AD11" s="263">
        <v>1017000</v>
      </c>
      <c r="AE11" s="140"/>
      <c r="AF11" s="254">
        <v>20</v>
      </c>
      <c r="AG11" s="259">
        <v>36.020000000000003</v>
      </c>
      <c r="AH11" s="140"/>
      <c r="AI11" s="254">
        <v>20</v>
      </c>
      <c r="AJ11" s="257" t="s">
        <v>17</v>
      </c>
      <c r="AK11" s="140"/>
      <c r="AL11" s="254">
        <v>20</v>
      </c>
      <c r="AM11" s="262">
        <v>1.76</v>
      </c>
      <c r="AN11" s="262">
        <v>1.73</v>
      </c>
      <c r="AO11" s="256" t="s">
        <v>293</v>
      </c>
      <c r="AP11" s="140"/>
      <c r="AQ11" s="254" t="b">
        <v>0</v>
      </c>
      <c r="AR11" s="260" t="s">
        <v>168</v>
      </c>
      <c r="AS11" s="260" t="s">
        <v>168</v>
      </c>
      <c r="AT11" s="139"/>
      <c r="AU11" s="254" t="b">
        <v>0</v>
      </c>
      <c r="AV11" s="260" t="s">
        <v>168</v>
      </c>
      <c r="AW11" s="260" t="s">
        <v>168</v>
      </c>
      <c r="AX11" s="139"/>
      <c r="AY11" s="254" t="b">
        <v>0</v>
      </c>
      <c r="AZ11" s="260" t="s">
        <v>168</v>
      </c>
      <c r="BA11" s="260" t="s">
        <v>168</v>
      </c>
      <c r="BB11" s="139"/>
      <c r="BC11" s="254" t="b">
        <v>0</v>
      </c>
      <c r="BD11" s="260" t="s">
        <v>168</v>
      </c>
      <c r="BE11" s="260" t="s">
        <v>168</v>
      </c>
      <c r="BF11" s="140"/>
    </row>
    <row r="12" spans="1:58" ht="11.1" customHeight="1">
      <c r="B12" s="93">
        <f t="shared" ca="1" si="9"/>
        <v>6</v>
      </c>
      <c r="C12" s="42" t="s">
        <v>24</v>
      </c>
      <c r="D12" s="43" t="s">
        <v>25</v>
      </c>
      <c r="E12" s="43" t="str">
        <f t="shared" si="6"/>
        <v>R</v>
      </c>
      <c r="F12" s="44">
        <f t="shared" si="7"/>
        <v>1.9</v>
      </c>
      <c r="G12" s="45">
        <f t="shared" si="1"/>
        <v>0.75255743114608453</v>
      </c>
      <c r="H12" s="45">
        <f t="shared" si="2"/>
        <v>5.1870051870051864E-2</v>
      </c>
      <c r="I12" s="46" t="str">
        <f t="shared" si="8"/>
        <v>é</v>
      </c>
      <c r="J12" s="47">
        <f t="shared" si="3"/>
        <v>1.9</v>
      </c>
      <c r="K12" s="47">
        <f t="shared" si="4"/>
        <v>1.84</v>
      </c>
      <c r="L12" s="48" t="str">
        <f t="shared" si="5"/>
        <v>2024 Q1</v>
      </c>
      <c r="N12" s="254" t="b">
        <v>0</v>
      </c>
      <c r="O12" s="254" t="s">
        <v>168</v>
      </c>
      <c r="P12" s="254" t="s">
        <v>252</v>
      </c>
      <c r="Q12" s="254" t="s">
        <v>168</v>
      </c>
      <c r="R12" s="254" t="s">
        <v>168</v>
      </c>
      <c r="S12" s="254" t="s">
        <v>168</v>
      </c>
      <c r="T12" s="254" t="s">
        <v>168</v>
      </c>
      <c r="U12" s="255" t="s">
        <v>252</v>
      </c>
      <c r="V12" s="140"/>
      <c r="W12" s="254">
        <v>21</v>
      </c>
      <c r="X12" s="256" t="s">
        <v>302</v>
      </c>
      <c r="Y12" s="262">
        <v>1.9</v>
      </c>
      <c r="Z12" s="140"/>
      <c r="AA12" s="254">
        <v>21</v>
      </c>
      <c r="AB12" s="258">
        <v>0.75255743114608453</v>
      </c>
      <c r="AC12" s="263">
        <v>-148235</v>
      </c>
      <c r="AD12" s="263">
        <v>196975</v>
      </c>
      <c r="AE12" s="140"/>
      <c r="AF12" s="254">
        <v>21</v>
      </c>
      <c r="AG12" s="259">
        <v>36.630000000000003</v>
      </c>
      <c r="AH12" s="140"/>
      <c r="AI12" s="254">
        <v>21</v>
      </c>
      <c r="AJ12" s="257" t="s">
        <v>20</v>
      </c>
      <c r="AK12" s="140"/>
      <c r="AL12" s="254">
        <v>21</v>
      </c>
      <c r="AM12" s="262">
        <v>1.9</v>
      </c>
      <c r="AN12" s="262">
        <v>1.84</v>
      </c>
      <c r="AO12" s="256" t="s">
        <v>291</v>
      </c>
      <c r="AP12" s="140"/>
      <c r="AQ12" s="254" t="b">
        <v>0</v>
      </c>
      <c r="AR12" s="260" t="s">
        <v>168</v>
      </c>
      <c r="AS12" s="260" t="s">
        <v>168</v>
      </c>
      <c r="AT12" s="139"/>
      <c r="AU12" s="254" t="b">
        <v>0</v>
      </c>
      <c r="AV12" s="260" t="s">
        <v>168</v>
      </c>
      <c r="AW12" s="260" t="s">
        <v>168</v>
      </c>
      <c r="AX12" s="139"/>
      <c r="AY12" s="254" t="b">
        <v>0</v>
      </c>
      <c r="AZ12" s="260" t="s">
        <v>168</v>
      </c>
      <c r="BA12" s="260" t="s">
        <v>168</v>
      </c>
      <c r="BB12" s="139"/>
      <c r="BC12" s="254" t="b">
        <v>1</v>
      </c>
      <c r="BD12" s="260">
        <v>3.2608695652173836E-2</v>
      </c>
      <c r="BE12" s="260" t="s">
        <v>168</v>
      </c>
      <c r="BF12" s="140"/>
    </row>
    <row r="13" spans="1:58" ht="11.1" customHeight="1">
      <c r="B13" s="93">
        <f t="shared" ca="1" si="9"/>
        <v>7</v>
      </c>
      <c r="C13" s="42" t="s">
        <v>26</v>
      </c>
      <c r="D13" s="43" t="s">
        <v>27</v>
      </c>
      <c r="E13" s="43" t="str">
        <f t="shared" si="6"/>
        <v>R</v>
      </c>
      <c r="F13" s="44">
        <f t="shared" si="7"/>
        <v>2.6</v>
      </c>
      <c r="G13" s="45">
        <f t="shared" si="1"/>
        <v>0.69083603028848384</v>
      </c>
      <c r="H13" s="45">
        <f t="shared" si="2"/>
        <v>4.4429254955570742E-2</v>
      </c>
      <c r="I13" s="46" t="str">
        <f t="shared" si="8"/>
        <v>é</v>
      </c>
      <c r="J13" s="47">
        <f t="shared" si="3"/>
        <v>2.6</v>
      </c>
      <c r="K13" s="47">
        <f t="shared" si="4"/>
        <v>2.5</v>
      </c>
      <c r="L13" s="48" t="str">
        <f t="shared" si="5"/>
        <v>2024 Q1</v>
      </c>
      <c r="N13" s="254" t="b">
        <v>0</v>
      </c>
      <c r="O13" s="254" t="s">
        <v>168</v>
      </c>
      <c r="P13" s="254" t="s">
        <v>252</v>
      </c>
      <c r="Q13" s="254" t="s">
        <v>168</v>
      </c>
      <c r="R13" s="254" t="s">
        <v>168</v>
      </c>
      <c r="S13" s="254" t="s">
        <v>168</v>
      </c>
      <c r="T13" s="254" t="s">
        <v>168</v>
      </c>
      <c r="U13" s="255" t="s">
        <v>252</v>
      </c>
      <c r="V13" s="140"/>
      <c r="W13" s="254">
        <v>22</v>
      </c>
      <c r="X13" s="256" t="s">
        <v>302</v>
      </c>
      <c r="Y13" s="262">
        <v>2.6</v>
      </c>
      <c r="Z13" s="140"/>
      <c r="AA13" s="254">
        <v>22</v>
      </c>
      <c r="AB13" s="258">
        <v>0.69083603028848384</v>
      </c>
      <c r="AC13" s="263">
        <v>-178454</v>
      </c>
      <c r="AD13" s="263">
        <v>258316</v>
      </c>
      <c r="AE13" s="140"/>
      <c r="AF13" s="254">
        <v>22</v>
      </c>
      <c r="AG13" s="259">
        <v>58.52</v>
      </c>
      <c r="AH13" s="140"/>
      <c r="AI13" s="254">
        <v>22</v>
      </c>
      <c r="AJ13" s="257" t="s">
        <v>20</v>
      </c>
      <c r="AK13" s="140"/>
      <c r="AL13" s="254">
        <v>22</v>
      </c>
      <c r="AM13" s="262">
        <v>2.6</v>
      </c>
      <c r="AN13" s="262">
        <v>2.5</v>
      </c>
      <c r="AO13" s="256" t="s">
        <v>291</v>
      </c>
      <c r="AP13" s="140"/>
      <c r="AQ13" s="254" t="b">
        <v>0</v>
      </c>
      <c r="AR13" s="260" t="s">
        <v>168</v>
      </c>
      <c r="AS13" s="260" t="s">
        <v>168</v>
      </c>
      <c r="AT13" s="139"/>
      <c r="AU13" s="254" t="b">
        <v>0</v>
      </c>
      <c r="AV13" s="260" t="s">
        <v>168</v>
      </c>
      <c r="AW13" s="260" t="s">
        <v>168</v>
      </c>
      <c r="AX13" s="139"/>
      <c r="AY13" s="254" t="b">
        <v>0</v>
      </c>
      <c r="AZ13" s="260" t="s">
        <v>168</v>
      </c>
      <c r="BA13" s="260" t="s">
        <v>168</v>
      </c>
      <c r="BB13" s="139"/>
      <c r="BC13" s="254" t="b">
        <v>1</v>
      </c>
      <c r="BD13" s="260">
        <v>4.0000000000000036E-2</v>
      </c>
      <c r="BE13" s="260" t="s">
        <v>168</v>
      </c>
      <c r="BF13" s="140"/>
    </row>
    <row r="14" spans="1:58" ht="11.1" customHeight="1">
      <c r="B14" s="93">
        <f t="shared" ca="1" si="9"/>
        <v>8</v>
      </c>
      <c r="C14" s="42" t="s">
        <v>28</v>
      </c>
      <c r="D14" s="43" t="s">
        <v>29</v>
      </c>
      <c r="E14" s="43" t="str">
        <f t="shared" si="6"/>
        <v>R</v>
      </c>
      <c r="F14" s="44">
        <f t="shared" si="7"/>
        <v>0.88</v>
      </c>
      <c r="G14" s="45">
        <f t="shared" si="1"/>
        <v>0.52904564315352698</v>
      </c>
      <c r="H14" s="45">
        <f t="shared" si="2"/>
        <v>2.7734005672864798E-2</v>
      </c>
      <c r="I14" s="46" t="str">
        <f t="shared" si="8"/>
        <v>é</v>
      </c>
      <c r="J14" s="47">
        <f t="shared" si="3"/>
        <v>0.88</v>
      </c>
      <c r="K14" s="47">
        <f t="shared" si="4"/>
        <v>0.84</v>
      </c>
      <c r="L14" s="48" t="str">
        <f t="shared" si="5"/>
        <v>2024 Q4</v>
      </c>
      <c r="N14" s="254" t="b">
        <v>1</v>
      </c>
      <c r="O14" s="254" t="s">
        <v>58</v>
      </c>
      <c r="P14" s="254" t="s">
        <v>168</v>
      </c>
      <c r="Q14" s="254" t="s">
        <v>168</v>
      </c>
      <c r="R14" s="254" t="s">
        <v>168</v>
      </c>
      <c r="S14" s="254" t="s">
        <v>168</v>
      </c>
      <c r="T14" s="254" t="s">
        <v>168</v>
      </c>
      <c r="U14" s="255" t="s">
        <v>58</v>
      </c>
      <c r="V14" s="140"/>
      <c r="W14" s="254">
        <v>23</v>
      </c>
      <c r="X14" s="256" t="s">
        <v>302</v>
      </c>
      <c r="Y14" s="262">
        <v>0.88</v>
      </c>
      <c r="Z14" s="140"/>
      <c r="AA14" s="254">
        <v>23</v>
      </c>
      <c r="AB14" s="258">
        <v>0.52904564315352698</v>
      </c>
      <c r="AC14" s="263">
        <v>-510000</v>
      </c>
      <c r="AD14" s="263">
        <v>964000</v>
      </c>
      <c r="AE14" s="140"/>
      <c r="AF14" s="254">
        <v>23</v>
      </c>
      <c r="AG14" s="259">
        <v>31.73</v>
      </c>
      <c r="AH14" s="140"/>
      <c r="AI14" s="254">
        <v>23</v>
      </c>
      <c r="AJ14" s="257" t="s">
        <v>20</v>
      </c>
      <c r="AK14" s="140"/>
      <c r="AL14" s="254">
        <v>23</v>
      </c>
      <c r="AM14" s="262">
        <v>0.84</v>
      </c>
      <c r="AN14" s="262">
        <v>0.8</v>
      </c>
      <c r="AO14" s="256" t="s">
        <v>298</v>
      </c>
      <c r="AP14" s="140"/>
      <c r="AQ14" s="254" t="b">
        <v>1</v>
      </c>
      <c r="AR14" s="260">
        <v>4.7619047619047672E-2</v>
      </c>
      <c r="AS14" s="260" t="s">
        <v>168</v>
      </c>
      <c r="AT14" s="139"/>
      <c r="AU14" s="254" t="b">
        <v>0</v>
      </c>
      <c r="AV14" s="260" t="s">
        <v>168</v>
      </c>
      <c r="AW14" s="260" t="s">
        <v>168</v>
      </c>
      <c r="AX14" s="139"/>
      <c r="AY14" s="254" t="b">
        <v>0</v>
      </c>
      <c r="AZ14" s="260" t="s">
        <v>168</v>
      </c>
      <c r="BA14" s="260" t="s">
        <v>168</v>
      </c>
      <c r="BB14" s="139"/>
      <c r="BC14" s="254" t="b">
        <v>0</v>
      </c>
      <c r="BD14" s="260" t="s">
        <v>168</v>
      </c>
      <c r="BE14" s="260" t="s">
        <v>168</v>
      </c>
      <c r="BF14" s="140"/>
    </row>
    <row r="15" spans="1:58" ht="11.1" customHeight="1">
      <c r="B15" s="93">
        <f t="shared" ca="1" si="9"/>
        <v>9</v>
      </c>
      <c r="C15" s="42" t="s">
        <v>76</v>
      </c>
      <c r="D15" s="43" t="s">
        <v>30</v>
      </c>
      <c r="E15" s="43" t="str">
        <f t="shared" si="6"/>
        <v>R</v>
      </c>
      <c r="F15" s="44">
        <f t="shared" si="7"/>
        <v>2.06</v>
      </c>
      <c r="G15" s="45">
        <f t="shared" si="1"/>
        <v>0.74384236453201968</v>
      </c>
      <c r="H15" s="45">
        <f t="shared" si="2"/>
        <v>3.090772693173293E-2</v>
      </c>
      <c r="I15" s="46" t="str">
        <f t="shared" si="8"/>
        <v>é</v>
      </c>
      <c r="J15" s="47">
        <f t="shared" si="3"/>
        <v>2.06</v>
      </c>
      <c r="K15" s="47">
        <f t="shared" si="4"/>
        <v>1.95</v>
      </c>
      <c r="L15" s="48" t="str">
        <f t="shared" si="5"/>
        <v>2024 Q1</v>
      </c>
      <c r="N15" s="254" t="b">
        <v>0</v>
      </c>
      <c r="O15" s="254" t="s">
        <v>168</v>
      </c>
      <c r="P15" s="254" t="s">
        <v>252</v>
      </c>
      <c r="Q15" s="254" t="s">
        <v>168</v>
      </c>
      <c r="R15" s="254" t="s">
        <v>168</v>
      </c>
      <c r="S15" s="254" t="s">
        <v>168</v>
      </c>
      <c r="T15" s="254" t="s">
        <v>168</v>
      </c>
      <c r="U15" s="255" t="s">
        <v>252</v>
      </c>
      <c r="V15" s="140"/>
      <c r="W15" s="254">
        <v>24</v>
      </c>
      <c r="X15" s="256" t="s">
        <v>302</v>
      </c>
      <c r="Y15" s="262">
        <v>2.06</v>
      </c>
      <c r="Z15" s="140"/>
      <c r="AA15" s="254">
        <v>24</v>
      </c>
      <c r="AB15" s="258">
        <v>0.74384236453201968</v>
      </c>
      <c r="AC15" s="263">
        <v>-604000</v>
      </c>
      <c r="AD15" s="263">
        <v>812000</v>
      </c>
      <c r="AE15" s="140"/>
      <c r="AF15" s="254">
        <v>24</v>
      </c>
      <c r="AG15" s="259">
        <v>66.650000000000006</v>
      </c>
      <c r="AH15" s="140"/>
      <c r="AI15" s="254">
        <v>24</v>
      </c>
      <c r="AJ15" s="257" t="s">
        <v>20</v>
      </c>
      <c r="AK15" s="140"/>
      <c r="AL15" s="254">
        <v>24</v>
      </c>
      <c r="AM15" s="262">
        <v>2.06</v>
      </c>
      <c r="AN15" s="262">
        <v>1.95</v>
      </c>
      <c r="AO15" s="256" t="s">
        <v>291</v>
      </c>
      <c r="AP15" s="140"/>
      <c r="AQ15" s="254" t="b">
        <v>0</v>
      </c>
      <c r="AR15" s="260" t="s">
        <v>168</v>
      </c>
      <c r="AS15" s="260" t="s">
        <v>168</v>
      </c>
      <c r="AT15" s="139"/>
      <c r="AU15" s="254" t="b">
        <v>0</v>
      </c>
      <c r="AV15" s="260" t="s">
        <v>168</v>
      </c>
      <c r="AW15" s="260" t="s">
        <v>168</v>
      </c>
      <c r="AX15" s="139"/>
      <c r="AY15" s="254" t="b">
        <v>0</v>
      </c>
      <c r="AZ15" s="260" t="s">
        <v>168</v>
      </c>
      <c r="BA15" s="260" t="s">
        <v>168</v>
      </c>
      <c r="BB15" s="139"/>
      <c r="BC15" s="254" t="b">
        <v>1</v>
      </c>
      <c r="BD15" s="260">
        <v>5.6410256410256432E-2</v>
      </c>
      <c r="BE15" s="260" t="s">
        <v>168</v>
      </c>
      <c r="BF15" s="140"/>
    </row>
    <row r="16" spans="1:58" ht="11.1" customHeight="1">
      <c r="B16" s="93">
        <f t="shared" ca="1" si="9"/>
        <v>10</v>
      </c>
      <c r="C16" s="130" t="s">
        <v>31</v>
      </c>
      <c r="D16" s="131" t="s">
        <v>32</v>
      </c>
      <c r="E16" s="131" t="str">
        <f t="shared" si="6"/>
        <v>R</v>
      </c>
      <c r="F16" s="132">
        <f t="shared" si="7"/>
        <v>3.32</v>
      </c>
      <c r="G16" s="133">
        <f t="shared" si="1"/>
        <v>0.58155650319829422</v>
      </c>
      <c r="H16" s="133">
        <f t="shared" si="2"/>
        <v>3.720721730359744E-2</v>
      </c>
      <c r="I16" s="134" t="str">
        <f t="shared" si="8"/>
        <v>é</v>
      </c>
      <c r="J16" s="135">
        <f t="shared" si="3"/>
        <v>3.32</v>
      </c>
      <c r="K16" s="135">
        <f t="shared" si="4"/>
        <v>3.24</v>
      </c>
      <c r="L16" s="136" t="str">
        <f t="shared" si="5"/>
        <v>2024 Q1</v>
      </c>
      <c r="N16" s="254" t="b">
        <v>0</v>
      </c>
      <c r="O16" s="254" t="s">
        <v>168</v>
      </c>
      <c r="P16" s="254" t="s">
        <v>252</v>
      </c>
      <c r="Q16" s="254" t="s">
        <v>168</v>
      </c>
      <c r="R16" s="254" t="s">
        <v>168</v>
      </c>
      <c r="S16" s="254" t="s">
        <v>168</v>
      </c>
      <c r="T16" s="254" t="s">
        <v>168</v>
      </c>
      <c r="U16" s="255" t="s">
        <v>252</v>
      </c>
      <c r="V16" s="140"/>
      <c r="W16" s="254">
        <v>25</v>
      </c>
      <c r="X16" s="256" t="s">
        <v>291</v>
      </c>
      <c r="Y16" s="262">
        <v>3.32</v>
      </c>
      <c r="Z16" s="140"/>
      <c r="AA16" s="254">
        <v>25</v>
      </c>
      <c r="AB16" s="258">
        <v>0.58155650319829422</v>
      </c>
      <c r="AC16" s="263">
        <v>-1091000</v>
      </c>
      <c r="AD16" s="263">
        <v>1876000</v>
      </c>
      <c r="AE16" s="140"/>
      <c r="AF16" s="254">
        <v>25</v>
      </c>
      <c r="AG16" s="259">
        <v>89.23</v>
      </c>
      <c r="AH16" s="140"/>
      <c r="AI16" s="254">
        <v>25</v>
      </c>
      <c r="AJ16" s="257" t="s">
        <v>20</v>
      </c>
      <c r="AK16" s="140"/>
      <c r="AL16" s="254">
        <v>25</v>
      </c>
      <c r="AM16" s="262">
        <v>3.32</v>
      </c>
      <c r="AN16" s="262">
        <v>3.24</v>
      </c>
      <c r="AO16" s="256" t="s">
        <v>291</v>
      </c>
      <c r="AP16" s="140"/>
      <c r="AQ16" s="254" t="b">
        <v>0</v>
      </c>
      <c r="AR16" s="260" t="s">
        <v>168</v>
      </c>
      <c r="AS16" s="260" t="s">
        <v>168</v>
      </c>
      <c r="AT16" s="139"/>
      <c r="AU16" s="254" t="b">
        <v>0</v>
      </c>
      <c r="AV16" s="260" t="s">
        <v>168</v>
      </c>
      <c r="AW16" s="260" t="s">
        <v>168</v>
      </c>
      <c r="AX16" s="139"/>
      <c r="AY16" s="254" t="b">
        <v>0</v>
      </c>
      <c r="AZ16" s="260" t="s">
        <v>168</v>
      </c>
      <c r="BA16" s="260" t="s">
        <v>168</v>
      </c>
      <c r="BB16" s="139"/>
      <c r="BC16" s="254" t="b">
        <v>1</v>
      </c>
      <c r="BD16" s="260">
        <v>2.4691358024691246E-2</v>
      </c>
      <c r="BE16" s="260" t="s">
        <v>168</v>
      </c>
      <c r="BF16" s="140"/>
    </row>
    <row r="17" spans="2:58" ht="11.1" customHeight="1">
      <c r="B17" s="93">
        <f t="shared" ca="1" si="9"/>
        <v>11</v>
      </c>
      <c r="C17" s="42" t="s">
        <v>202</v>
      </c>
      <c r="D17" s="43" t="s">
        <v>13</v>
      </c>
      <c r="E17" s="43" t="str">
        <f t="shared" si="6"/>
        <v>R</v>
      </c>
      <c r="F17" s="44">
        <f t="shared" si="7"/>
        <v>2.67</v>
      </c>
      <c r="G17" s="45">
        <f t="shared" si="1"/>
        <v>0.83005565862708719</v>
      </c>
      <c r="H17" s="45">
        <f t="shared" si="2"/>
        <v>4.9572966951355366E-2</v>
      </c>
      <c r="I17" s="46" t="str">
        <f t="shared" si="8"/>
        <v>é</v>
      </c>
      <c r="J17" s="47">
        <f t="shared" si="3"/>
        <v>2.67</v>
      </c>
      <c r="K17" s="47">
        <f t="shared" si="4"/>
        <v>2.52</v>
      </c>
      <c r="L17" s="48" t="str">
        <f t="shared" si="5"/>
        <v>2022 Q1</v>
      </c>
      <c r="N17" s="254" t="b">
        <v>0</v>
      </c>
      <c r="O17" s="254" t="s">
        <v>168</v>
      </c>
      <c r="P17" s="254" t="s">
        <v>252</v>
      </c>
      <c r="Q17" s="254" t="s">
        <v>168</v>
      </c>
      <c r="R17" s="254" t="s">
        <v>168</v>
      </c>
      <c r="S17" s="254" t="s">
        <v>168</v>
      </c>
      <c r="T17" s="254" t="s">
        <v>168</v>
      </c>
      <c r="U17" s="255" t="s">
        <v>252</v>
      </c>
      <c r="V17" s="140"/>
      <c r="W17" s="254">
        <v>26</v>
      </c>
      <c r="X17" s="256" t="s">
        <v>302</v>
      </c>
      <c r="Y17" s="262">
        <v>2.67</v>
      </c>
      <c r="Z17" s="140"/>
      <c r="AA17" s="254">
        <v>26</v>
      </c>
      <c r="AB17" s="258">
        <v>0.83005565862708719</v>
      </c>
      <c r="AC17" s="263">
        <v>-2237000</v>
      </c>
      <c r="AD17" s="263">
        <v>2695000</v>
      </c>
      <c r="AE17" s="140"/>
      <c r="AF17" s="254">
        <v>26</v>
      </c>
      <c r="AG17" s="259">
        <v>53.86</v>
      </c>
      <c r="AH17" s="140"/>
      <c r="AI17" s="254">
        <v>26</v>
      </c>
      <c r="AJ17" s="257" t="s">
        <v>20</v>
      </c>
      <c r="AK17" s="140"/>
      <c r="AL17" s="254">
        <v>26</v>
      </c>
      <c r="AM17" s="262">
        <v>2.67</v>
      </c>
      <c r="AN17" s="262">
        <v>2.52</v>
      </c>
      <c r="AO17" s="256" t="s">
        <v>294</v>
      </c>
      <c r="AP17" s="140"/>
      <c r="AQ17" s="254" t="b">
        <v>0</v>
      </c>
      <c r="AR17" s="260" t="s">
        <v>168</v>
      </c>
      <c r="AS17" s="260" t="s">
        <v>168</v>
      </c>
      <c r="AT17" s="139"/>
      <c r="AU17" s="254" t="b">
        <v>0</v>
      </c>
      <c r="AV17" s="260" t="s">
        <v>168</v>
      </c>
      <c r="AW17" s="260" t="s">
        <v>168</v>
      </c>
      <c r="AX17" s="139"/>
      <c r="AY17" s="254" t="b">
        <v>0</v>
      </c>
      <c r="AZ17" s="260" t="s">
        <v>168</v>
      </c>
      <c r="BA17" s="260" t="s">
        <v>168</v>
      </c>
      <c r="BB17" s="139"/>
      <c r="BC17" s="254" t="b">
        <v>0</v>
      </c>
      <c r="BD17" s="260" t="s">
        <v>168</v>
      </c>
      <c r="BE17" s="260" t="s">
        <v>168</v>
      </c>
      <c r="BF17" s="140"/>
    </row>
    <row r="18" spans="2:58" ht="11.1" customHeight="1">
      <c r="B18" s="93">
        <f t="shared" ca="1" si="9"/>
        <v>12</v>
      </c>
      <c r="C18" s="42" t="s">
        <v>33</v>
      </c>
      <c r="D18" s="43" t="s">
        <v>34</v>
      </c>
      <c r="E18" s="43" t="str">
        <f t="shared" si="6"/>
        <v>R</v>
      </c>
      <c r="F18" s="44">
        <f t="shared" si="7"/>
        <v>4.3600000000000003</v>
      </c>
      <c r="G18" s="45">
        <f t="shared" si="1"/>
        <v>0.51059730250481694</v>
      </c>
      <c r="H18" s="45">
        <f t="shared" si="2"/>
        <v>3.6107660455486544E-2</v>
      </c>
      <c r="I18" s="46" t="str">
        <f t="shared" si="8"/>
        <v>é</v>
      </c>
      <c r="J18" s="47">
        <f t="shared" si="3"/>
        <v>4.3600000000000003</v>
      </c>
      <c r="K18" s="47">
        <f t="shared" si="4"/>
        <v>4.08</v>
      </c>
      <c r="L18" s="48" t="str">
        <f t="shared" si="5"/>
        <v>2024 Q4</v>
      </c>
      <c r="N18" s="254" t="b">
        <v>1</v>
      </c>
      <c r="O18" s="254" t="s">
        <v>58</v>
      </c>
      <c r="P18" s="254" t="s">
        <v>168</v>
      </c>
      <c r="Q18" s="254" t="s">
        <v>168</v>
      </c>
      <c r="R18" s="254" t="s">
        <v>168</v>
      </c>
      <c r="S18" s="254" t="s">
        <v>168</v>
      </c>
      <c r="T18" s="254" t="s">
        <v>168</v>
      </c>
      <c r="U18" s="255" t="s">
        <v>58</v>
      </c>
      <c r="V18" s="140"/>
      <c r="W18" s="254">
        <v>27</v>
      </c>
      <c r="X18" s="256" t="s">
        <v>302</v>
      </c>
      <c r="Y18" s="262">
        <v>4.3600000000000003</v>
      </c>
      <c r="Z18" s="140"/>
      <c r="AA18" s="254">
        <v>27</v>
      </c>
      <c r="AB18" s="258">
        <v>0.51059730250481694</v>
      </c>
      <c r="AC18" s="263">
        <v>-795000</v>
      </c>
      <c r="AD18" s="263">
        <v>1557000</v>
      </c>
      <c r="AE18" s="140"/>
      <c r="AF18" s="254">
        <v>27</v>
      </c>
      <c r="AG18" s="259">
        <v>120.75</v>
      </c>
      <c r="AH18" s="140"/>
      <c r="AI18" s="254">
        <v>27</v>
      </c>
      <c r="AJ18" s="257" t="s">
        <v>20</v>
      </c>
      <c r="AK18" s="140"/>
      <c r="AL18" s="254">
        <v>27</v>
      </c>
      <c r="AM18" s="262">
        <v>4.08</v>
      </c>
      <c r="AN18" s="262">
        <v>3.81</v>
      </c>
      <c r="AO18" s="256" t="s">
        <v>292</v>
      </c>
      <c r="AP18" s="140"/>
      <c r="AQ18" s="254" t="b">
        <v>1</v>
      </c>
      <c r="AR18" s="260">
        <v>6.8627450980392135E-2</v>
      </c>
      <c r="AS18" s="260" t="s">
        <v>168</v>
      </c>
      <c r="AT18" s="139"/>
      <c r="AU18" s="254" t="b">
        <v>0</v>
      </c>
      <c r="AV18" s="260" t="s">
        <v>168</v>
      </c>
      <c r="AW18" s="260" t="s">
        <v>168</v>
      </c>
      <c r="AX18" s="139"/>
      <c r="AY18" s="254" t="b">
        <v>0</v>
      </c>
      <c r="AZ18" s="260" t="s">
        <v>168</v>
      </c>
      <c r="BA18" s="260" t="s">
        <v>168</v>
      </c>
      <c r="BB18" s="139"/>
      <c r="BC18" s="254" t="b">
        <v>0</v>
      </c>
      <c r="BD18" s="260" t="s">
        <v>168</v>
      </c>
      <c r="BE18" s="260" t="s">
        <v>168</v>
      </c>
      <c r="BF18" s="140"/>
    </row>
    <row r="19" spans="2:58" ht="11.1" customHeight="1">
      <c r="B19" s="93">
        <f t="shared" ca="1" si="9"/>
        <v>13</v>
      </c>
      <c r="C19" s="42" t="s">
        <v>77</v>
      </c>
      <c r="D19" s="43" t="s">
        <v>35</v>
      </c>
      <c r="E19" s="43" t="str">
        <f t="shared" si="6"/>
        <v>R</v>
      </c>
      <c r="F19" s="44">
        <f t="shared" si="7"/>
        <v>4.18</v>
      </c>
      <c r="G19" s="45">
        <f t="shared" si="1"/>
        <v>0.69494467346495981</v>
      </c>
      <c r="H19" s="45">
        <f t="shared" si="2"/>
        <v>3.879710413959532E-2</v>
      </c>
      <c r="I19" s="46" t="str">
        <f t="shared" si="8"/>
        <v>é</v>
      </c>
      <c r="J19" s="47">
        <f t="shared" si="3"/>
        <v>4.18</v>
      </c>
      <c r="K19" s="47">
        <f t="shared" si="4"/>
        <v>4.0999999999999996</v>
      </c>
      <c r="L19" s="48" t="str">
        <f t="shared" si="5"/>
        <v>2024 Q3</v>
      </c>
      <c r="N19" s="254" t="b">
        <v>0</v>
      </c>
      <c r="O19" s="254" t="s">
        <v>168</v>
      </c>
      <c r="P19" s="254" t="s">
        <v>252</v>
      </c>
      <c r="Q19" s="254" t="s">
        <v>168</v>
      </c>
      <c r="R19" s="254" t="s">
        <v>168</v>
      </c>
      <c r="S19" s="254" t="s">
        <v>168</v>
      </c>
      <c r="T19" s="254" t="s">
        <v>168</v>
      </c>
      <c r="U19" s="255" t="s">
        <v>252</v>
      </c>
      <c r="V19" s="140"/>
      <c r="W19" s="254">
        <v>28</v>
      </c>
      <c r="X19" s="256" t="s">
        <v>302</v>
      </c>
      <c r="Y19" s="262">
        <v>4.18</v>
      </c>
      <c r="Z19" s="140"/>
      <c r="AA19" s="254">
        <v>28</v>
      </c>
      <c r="AB19" s="258">
        <v>0.69494467346495981</v>
      </c>
      <c r="AC19" s="263">
        <v>-3203000</v>
      </c>
      <c r="AD19" s="263">
        <v>4609000</v>
      </c>
      <c r="AE19" s="140"/>
      <c r="AF19" s="254">
        <v>28</v>
      </c>
      <c r="AG19" s="259">
        <v>107.74</v>
      </c>
      <c r="AH19" s="140"/>
      <c r="AI19" s="254">
        <v>28</v>
      </c>
      <c r="AJ19" s="257" t="s">
        <v>20</v>
      </c>
      <c r="AK19" s="140"/>
      <c r="AL19" s="254">
        <v>28</v>
      </c>
      <c r="AM19" s="262">
        <v>4.18</v>
      </c>
      <c r="AN19" s="262">
        <v>4.0999999999999996</v>
      </c>
      <c r="AO19" s="256" t="s">
        <v>298</v>
      </c>
      <c r="AP19" s="140"/>
      <c r="AQ19" s="254" t="b">
        <v>0</v>
      </c>
      <c r="AR19" s="260" t="s">
        <v>168</v>
      </c>
      <c r="AS19" s="260" t="s">
        <v>168</v>
      </c>
      <c r="AT19" s="139"/>
      <c r="AU19" s="254" t="b">
        <v>1</v>
      </c>
      <c r="AV19" s="260">
        <v>1.9512195121951237E-2</v>
      </c>
      <c r="AW19" s="260" t="s">
        <v>168</v>
      </c>
      <c r="AX19" s="139"/>
      <c r="AY19" s="254" t="b">
        <v>0</v>
      </c>
      <c r="AZ19" s="260" t="s">
        <v>168</v>
      </c>
      <c r="BA19" s="260" t="s">
        <v>168</v>
      </c>
      <c r="BB19" s="139"/>
      <c r="BC19" s="254" t="b">
        <v>0</v>
      </c>
      <c r="BD19" s="260" t="s">
        <v>168</v>
      </c>
      <c r="BE19" s="260" t="s">
        <v>168</v>
      </c>
      <c r="BF19" s="140"/>
    </row>
    <row r="20" spans="2:58" ht="11.1" customHeight="1">
      <c r="B20" s="93">
        <f t="shared" ca="1" si="9"/>
        <v>14</v>
      </c>
      <c r="C20" s="42" t="s">
        <v>78</v>
      </c>
      <c r="D20" s="43" t="s">
        <v>36</v>
      </c>
      <c r="E20" s="43" t="str">
        <f t="shared" si="6"/>
        <v>R</v>
      </c>
      <c r="F20" s="44">
        <f t="shared" si="7"/>
        <v>3.31</v>
      </c>
      <c r="G20" s="45">
        <f t="shared" si="1"/>
        <v>0.48057259713701433</v>
      </c>
      <c r="H20" s="45">
        <f t="shared" si="2"/>
        <v>4.1457915831663326E-2</v>
      </c>
      <c r="I20" s="46" t="str">
        <f t="shared" si="8"/>
        <v>é</v>
      </c>
      <c r="J20" s="47">
        <f t="shared" si="3"/>
        <v>3.31</v>
      </c>
      <c r="K20" s="47">
        <f t="shared" si="4"/>
        <v>3.12</v>
      </c>
      <c r="L20" s="48" t="str">
        <f t="shared" si="5"/>
        <v>2024 Q4</v>
      </c>
      <c r="N20" s="254" t="b">
        <v>1</v>
      </c>
      <c r="O20" s="254" t="s">
        <v>58</v>
      </c>
      <c r="P20" s="254" t="s">
        <v>168</v>
      </c>
      <c r="Q20" s="254" t="s">
        <v>168</v>
      </c>
      <c r="R20" s="254" t="s">
        <v>168</v>
      </c>
      <c r="S20" s="254" t="s">
        <v>168</v>
      </c>
      <c r="T20" s="254" t="s">
        <v>168</v>
      </c>
      <c r="U20" s="255" t="s">
        <v>58</v>
      </c>
      <c r="V20" s="140"/>
      <c r="W20" s="254">
        <v>29</v>
      </c>
      <c r="X20" s="256" t="s">
        <v>302</v>
      </c>
      <c r="Y20" s="262">
        <v>3.31</v>
      </c>
      <c r="Z20" s="140"/>
      <c r="AA20" s="254">
        <v>29</v>
      </c>
      <c r="AB20" s="258">
        <v>0.48057259713701433</v>
      </c>
      <c r="AC20" s="263">
        <v>-1175000</v>
      </c>
      <c r="AD20" s="263">
        <v>2445000</v>
      </c>
      <c r="AE20" s="140"/>
      <c r="AF20" s="254">
        <v>29</v>
      </c>
      <c r="AG20" s="259">
        <v>79.84</v>
      </c>
      <c r="AH20" s="140"/>
      <c r="AI20" s="254">
        <v>29</v>
      </c>
      <c r="AJ20" s="257" t="s">
        <v>20</v>
      </c>
      <c r="AK20" s="140"/>
      <c r="AL20" s="254">
        <v>29</v>
      </c>
      <c r="AM20" s="262">
        <v>3.12</v>
      </c>
      <c r="AN20" s="262">
        <v>2.95</v>
      </c>
      <c r="AO20" s="256" t="s">
        <v>292</v>
      </c>
      <c r="AP20" s="140"/>
      <c r="AQ20" s="254" t="b">
        <v>1</v>
      </c>
      <c r="AR20" s="260">
        <v>6.0897435897435903E-2</v>
      </c>
      <c r="AS20" s="260" t="s">
        <v>168</v>
      </c>
      <c r="AT20" s="139"/>
      <c r="AU20" s="254" t="b">
        <v>0</v>
      </c>
      <c r="AV20" s="260" t="s">
        <v>168</v>
      </c>
      <c r="AW20" s="260" t="s">
        <v>168</v>
      </c>
      <c r="AX20" s="139"/>
      <c r="AY20" s="254" t="b">
        <v>0</v>
      </c>
      <c r="AZ20" s="260" t="s">
        <v>168</v>
      </c>
      <c r="BA20" s="260" t="s">
        <v>168</v>
      </c>
      <c r="BB20" s="139"/>
      <c r="BC20" s="254" t="b">
        <v>0</v>
      </c>
      <c r="BD20" s="260" t="s">
        <v>168</v>
      </c>
      <c r="BE20" s="260" t="s">
        <v>168</v>
      </c>
      <c r="BF20" s="140"/>
    </row>
    <row r="21" spans="2:58" ht="11.1" customHeight="1">
      <c r="B21" s="93">
        <f t="shared" ca="1" si="9"/>
        <v>15</v>
      </c>
      <c r="C21" s="42" t="s">
        <v>79</v>
      </c>
      <c r="D21" s="43" t="s">
        <v>37</v>
      </c>
      <c r="E21" s="43" t="str">
        <f t="shared" si="6"/>
        <v>R</v>
      </c>
      <c r="F21" s="44">
        <f>Y21</f>
        <v>2.4</v>
      </c>
      <c r="G21" s="45">
        <f t="shared" si="1"/>
        <v>0.50744095114400412</v>
      </c>
      <c r="H21" s="45">
        <f t="shared" si="2"/>
        <v>3.1653917172250065E-2</v>
      </c>
      <c r="I21" s="46" t="str">
        <f t="shared" si="8"/>
        <v>é</v>
      </c>
      <c r="J21" s="47">
        <f t="shared" si="3"/>
        <v>2.4</v>
      </c>
      <c r="K21" s="47">
        <f t="shared" si="4"/>
        <v>2.2599999999999998</v>
      </c>
      <c r="L21" s="48" t="str">
        <f t="shared" si="5"/>
        <v>2024 Q4</v>
      </c>
      <c r="N21" s="254" t="b">
        <v>1</v>
      </c>
      <c r="O21" s="254" t="s">
        <v>58</v>
      </c>
      <c r="P21" s="254" t="s">
        <v>168</v>
      </c>
      <c r="Q21" s="254" t="s">
        <v>168</v>
      </c>
      <c r="R21" s="254" t="s">
        <v>168</v>
      </c>
      <c r="S21" s="254" t="s">
        <v>168</v>
      </c>
      <c r="T21" s="254" t="s">
        <v>168</v>
      </c>
      <c r="U21" s="255" t="s">
        <v>58</v>
      </c>
      <c r="V21" s="140"/>
      <c r="W21" s="254">
        <v>30</v>
      </c>
      <c r="X21" s="256" t="s">
        <v>302</v>
      </c>
      <c r="Y21" s="262">
        <v>2.4</v>
      </c>
      <c r="Z21" s="140"/>
      <c r="AA21" s="254">
        <v>30</v>
      </c>
      <c r="AB21" s="258">
        <v>0.50744095114400412</v>
      </c>
      <c r="AC21" s="263">
        <v>-963469</v>
      </c>
      <c r="AD21" s="263">
        <v>1898682</v>
      </c>
      <c r="AE21" s="140"/>
      <c r="AF21" s="254">
        <v>30</v>
      </c>
      <c r="AG21" s="259">
        <v>75.819999999999993</v>
      </c>
      <c r="AH21" s="140"/>
      <c r="AI21" s="254">
        <v>30</v>
      </c>
      <c r="AJ21" s="257" t="s">
        <v>20</v>
      </c>
      <c r="AK21" s="140"/>
      <c r="AL21" s="254">
        <v>30</v>
      </c>
      <c r="AM21" s="262">
        <v>2.2599999999999998</v>
      </c>
      <c r="AN21" s="262">
        <v>2.14</v>
      </c>
      <c r="AO21" s="256" t="s">
        <v>292</v>
      </c>
      <c r="AP21" s="140"/>
      <c r="AQ21" s="254" t="b">
        <v>1</v>
      </c>
      <c r="AR21" s="260">
        <v>6.1946902654867353E-2</v>
      </c>
      <c r="AS21" s="260" t="s">
        <v>168</v>
      </c>
      <c r="AT21" s="139"/>
      <c r="AU21" s="254" t="b">
        <v>0</v>
      </c>
      <c r="AV21" s="260" t="s">
        <v>168</v>
      </c>
      <c r="AW21" s="260" t="s">
        <v>168</v>
      </c>
      <c r="AX21" s="139"/>
      <c r="AY21" s="254" t="b">
        <v>0</v>
      </c>
      <c r="AZ21" s="260" t="s">
        <v>168</v>
      </c>
      <c r="BA21" s="260" t="s">
        <v>168</v>
      </c>
      <c r="BB21" s="139"/>
      <c r="BC21" s="254" t="b">
        <v>0</v>
      </c>
      <c r="BD21" s="260" t="s">
        <v>168</v>
      </c>
      <c r="BE21" s="260" t="s">
        <v>168</v>
      </c>
      <c r="BF21" s="140"/>
    </row>
    <row r="22" spans="2:58" ht="11.1" customHeight="1">
      <c r="B22" s="93">
        <f ca="1">OFFSET( B22, -1, 0 ) + 1</f>
        <v>16</v>
      </c>
      <c r="C22" s="42" t="s">
        <v>200</v>
      </c>
      <c r="D22" s="43" t="s">
        <v>201</v>
      </c>
      <c r="E22" s="43" t="str">
        <f t="shared" si="6"/>
        <v>R</v>
      </c>
      <c r="F22" s="44">
        <f t="shared" si="7"/>
        <v>2.67</v>
      </c>
      <c r="G22" s="45">
        <f t="shared" si="1"/>
        <v>0.68253234750462111</v>
      </c>
      <c r="H22" s="45">
        <f t="shared" si="2"/>
        <v>4.337936636880585E-2</v>
      </c>
      <c r="I22" s="46" t="str">
        <f t="shared" si="8"/>
        <v>é</v>
      </c>
      <c r="J22" s="47">
        <f t="shared" si="3"/>
        <v>2.67</v>
      </c>
      <c r="K22" s="47">
        <f t="shared" si="4"/>
        <v>2.57</v>
      </c>
      <c r="L22" s="48" t="str">
        <f t="shared" si="5"/>
        <v>2024 Q4</v>
      </c>
      <c r="N22" s="254" t="b">
        <v>1</v>
      </c>
      <c r="O22" s="254" t="s">
        <v>58</v>
      </c>
      <c r="P22" s="254" t="s">
        <v>168</v>
      </c>
      <c r="Q22" s="254" t="s">
        <v>168</v>
      </c>
      <c r="R22" s="254" t="s">
        <v>168</v>
      </c>
      <c r="S22" s="254" t="s">
        <v>168</v>
      </c>
      <c r="T22" s="254" t="s">
        <v>168</v>
      </c>
      <c r="U22" s="255" t="s">
        <v>58</v>
      </c>
      <c r="V22" s="140"/>
      <c r="W22" s="254">
        <v>31</v>
      </c>
      <c r="X22" s="256" t="s">
        <v>302</v>
      </c>
      <c r="Y22" s="262">
        <v>2.67</v>
      </c>
      <c r="Z22" s="140"/>
      <c r="AA22" s="254">
        <v>31</v>
      </c>
      <c r="AB22" s="258">
        <v>0.68253234750462111</v>
      </c>
      <c r="AC22" s="263">
        <v>-590800</v>
      </c>
      <c r="AD22" s="263">
        <v>865600</v>
      </c>
      <c r="AE22" s="140"/>
      <c r="AF22" s="254">
        <v>31</v>
      </c>
      <c r="AG22" s="259">
        <v>61.55</v>
      </c>
      <c r="AH22" s="140"/>
      <c r="AI22" s="254">
        <v>31</v>
      </c>
      <c r="AJ22" s="257" t="s">
        <v>20</v>
      </c>
      <c r="AK22" s="140"/>
      <c r="AL22" s="254">
        <v>31</v>
      </c>
      <c r="AM22" s="262">
        <v>2.57</v>
      </c>
      <c r="AN22" s="262">
        <v>2.4500000000000002</v>
      </c>
      <c r="AO22" s="256" t="s">
        <v>292</v>
      </c>
      <c r="AP22" s="140"/>
      <c r="AQ22" s="254" t="b">
        <v>1</v>
      </c>
      <c r="AR22" s="260">
        <v>3.8910505836575959E-2</v>
      </c>
      <c r="AS22" s="260" t="s">
        <v>168</v>
      </c>
      <c r="AT22" s="139"/>
      <c r="AU22" s="254" t="b">
        <v>0</v>
      </c>
      <c r="AV22" s="260" t="s">
        <v>168</v>
      </c>
      <c r="AW22" s="260" t="s">
        <v>168</v>
      </c>
      <c r="AX22" s="139"/>
      <c r="AY22" s="254" t="b">
        <v>0</v>
      </c>
      <c r="AZ22" s="260" t="s">
        <v>168</v>
      </c>
      <c r="BA22" s="260" t="s">
        <v>168</v>
      </c>
      <c r="BB22" s="139"/>
      <c r="BC22" s="254" t="b">
        <v>0</v>
      </c>
      <c r="BD22" s="260" t="s">
        <v>168</v>
      </c>
      <c r="BE22" s="260" t="s">
        <v>168</v>
      </c>
      <c r="BF22" s="140"/>
    </row>
    <row r="23" spans="2:58" ht="11.1" customHeight="1">
      <c r="B23" s="93">
        <f ca="1">OFFSET( B23, -1, 0 ) + 1</f>
        <v>17</v>
      </c>
      <c r="C23" s="42" t="s">
        <v>184</v>
      </c>
      <c r="D23" s="43" t="s">
        <v>185</v>
      </c>
      <c r="E23" s="43" t="str">
        <f t="shared" si="6"/>
        <v>R</v>
      </c>
      <c r="F23" s="44">
        <f>Y23</f>
        <v>2.86</v>
      </c>
      <c r="G23" s="45">
        <f>AB23</f>
        <v>0.57467949888815961</v>
      </c>
      <c r="H23" s="45">
        <f t="shared" si="2"/>
        <v>4.9799756224969523E-2</v>
      </c>
      <c r="I23" s="46" t="str">
        <f>IF( AND( ISNUMBER( $J23 ), ISNUMBER( $K23 ) ), IF( $J23 = $K23, "", IF( $J23 &gt; $K23, "é", "ê" ) ), "" )</f>
        <v>é</v>
      </c>
      <c r="J23" s="47">
        <f t="shared" si="3"/>
        <v>2.86</v>
      </c>
      <c r="K23" s="47">
        <f t="shared" si="4"/>
        <v>2.7</v>
      </c>
      <c r="L23" s="48" t="str">
        <f t="shared" si="5"/>
        <v>2024 Q1</v>
      </c>
      <c r="N23" s="254" t="b">
        <v>0</v>
      </c>
      <c r="O23" s="254" t="s">
        <v>168</v>
      </c>
      <c r="P23" s="254" t="s">
        <v>252</v>
      </c>
      <c r="Q23" s="254" t="s">
        <v>168</v>
      </c>
      <c r="R23" s="254" t="s">
        <v>168</v>
      </c>
      <c r="S23" s="254" t="s">
        <v>168</v>
      </c>
      <c r="T23" s="254" t="s">
        <v>168</v>
      </c>
      <c r="U23" s="255" t="s">
        <v>252</v>
      </c>
      <c r="V23" s="140"/>
      <c r="W23" s="254">
        <v>32</v>
      </c>
      <c r="X23" s="256" t="s">
        <v>302</v>
      </c>
      <c r="Y23" s="262">
        <v>2.86</v>
      </c>
      <c r="Z23" s="140"/>
      <c r="AA23" s="254">
        <v>32</v>
      </c>
      <c r="AB23" s="258">
        <v>0.57467949888815961</v>
      </c>
      <c r="AC23" s="263">
        <v>-975338</v>
      </c>
      <c r="AD23" s="263">
        <v>1697186</v>
      </c>
      <c r="AE23" s="140"/>
      <c r="AF23" s="254">
        <v>32</v>
      </c>
      <c r="AG23" s="259">
        <v>57.43</v>
      </c>
      <c r="AH23" s="140"/>
      <c r="AI23" s="254">
        <v>32</v>
      </c>
      <c r="AJ23" s="257" t="s">
        <v>20</v>
      </c>
      <c r="AK23" s="140"/>
      <c r="AL23" s="254">
        <v>32</v>
      </c>
      <c r="AM23" s="262">
        <v>2.86</v>
      </c>
      <c r="AN23" s="262">
        <v>2.7</v>
      </c>
      <c r="AO23" s="256" t="s">
        <v>291</v>
      </c>
      <c r="AP23" s="140"/>
      <c r="AQ23" s="254" t="b">
        <v>0</v>
      </c>
      <c r="AR23" s="260" t="s">
        <v>168</v>
      </c>
      <c r="AS23" s="260" t="s">
        <v>168</v>
      </c>
      <c r="AT23" s="139"/>
      <c r="AU23" s="254" t="b">
        <v>0</v>
      </c>
      <c r="AV23" s="260" t="s">
        <v>168</v>
      </c>
      <c r="AW23" s="260" t="s">
        <v>168</v>
      </c>
      <c r="AX23" s="139"/>
      <c r="AY23" s="254" t="b">
        <v>0</v>
      </c>
      <c r="AZ23" s="260" t="s">
        <v>168</v>
      </c>
      <c r="BA23" s="260" t="s">
        <v>168</v>
      </c>
      <c r="BB23" s="139"/>
      <c r="BC23" s="254" t="b">
        <v>1</v>
      </c>
      <c r="BD23" s="260">
        <v>5.9259259259259123E-2</v>
      </c>
      <c r="BE23" s="260" t="s">
        <v>168</v>
      </c>
      <c r="BF23" s="140"/>
    </row>
    <row r="24" spans="2:58" ht="11.1" customHeight="1">
      <c r="B24" s="93">
        <f t="shared" ca="1" si="9"/>
        <v>18</v>
      </c>
      <c r="C24" s="42" t="s">
        <v>38</v>
      </c>
      <c r="D24" s="43" t="s">
        <v>39</v>
      </c>
      <c r="E24" s="43" t="str">
        <f t="shared" si="6"/>
        <v>R</v>
      </c>
      <c r="F24" s="44">
        <f>Y24</f>
        <v>1.52</v>
      </c>
      <c r="G24" s="45">
        <f>AB24</f>
        <v>0.60941940722695898</v>
      </c>
      <c r="H24" s="45">
        <f t="shared" si="2"/>
        <v>4.0382571732199786E-2</v>
      </c>
      <c r="I24" s="46" t="s">
        <v>205</v>
      </c>
      <c r="J24" s="47">
        <f t="shared" si="3"/>
        <v>1.52</v>
      </c>
      <c r="K24" s="143">
        <f t="shared" si="4"/>
        <v>1.44</v>
      </c>
      <c r="L24" s="48" t="str">
        <f t="shared" si="5"/>
        <v>2024 Q1</v>
      </c>
      <c r="N24" s="254" t="b">
        <v>0</v>
      </c>
      <c r="O24" s="254" t="s">
        <v>168</v>
      </c>
      <c r="P24" s="254" t="s">
        <v>252</v>
      </c>
      <c r="Q24" s="254" t="s">
        <v>168</v>
      </c>
      <c r="R24" s="254" t="s">
        <v>168</v>
      </c>
      <c r="S24" s="254" t="s">
        <v>168</v>
      </c>
      <c r="T24" s="254" t="s">
        <v>168</v>
      </c>
      <c r="U24" s="255" t="s">
        <v>252</v>
      </c>
      <c r="V24" s="140"/>
      <c r="W24" s="254">
        <v>33</v>
      </c>
      <c r="X24" s="256" t="s">
        <v>302</v>
      </c>
      <c r="Y24" s="262">
        <v>1.52</v>
      </c>
      <c r="Z24" s="140"/>
      <c r="AA24" s="254">
        <v>33</v>
      </c>
      <c r="AB24" s="258">
        <v>0.60941940722695898</v>
      </c>
      <c r="AC24" s="263">
        <v>-1501000</v>
      </c>
      <c r="AD24" s="263">
        <v>2463000</v>
      </c>
      <c r="AE24" s="140"/>
      <c r="AF24" s="254">
        <v>33</v>
      </c>
      <c r="AG24" s="259">
        <v>37.64</v>
      </c>
      <c r="AH24" s="140"/>
      <c r="AI24" s="254">
        <v>33</v>
      </c>
      <c r="AJ24" s="257" t="s">
        <v>20</v>
      </c>
      <c r="AK24" s="140"/>
      <c r="AL24" s="254">
        <v>33</v>
      </c>
      <c r="AM24" s="262">
        <v>1.52</v>
      </c>
      <c r="AN24" s="262">
        <v>1.44</v>
      </c>
      <c r="AO24" s="256" t="s">
        <v>291</v>
      </c>
      <c r="AP24" s="140"/>
      <c r="AQ24" s="254" t="b">
        <v>0</v>
      </c>
      <c r="AR24" s="260" t="s">
        <v>168</v>
      </c>
      <c r="AS24" s="260" t="s">
        <v>168</v>
      </c>
      <c r="AT24" s="139"/>
      <c r="AU24" s="254" t="b">
        <v>0</v>
      </c>
      <c r="AV24" s="260" t="s">
        <v>168</v>
      </c>
      <c r="AW24" s="260" t="s">
        <v>168</v>
      </c>
      <c r="AX24" s="139"/>
      <c r="AY24" s="254" t="b">
        <v>0</v>
      </c>
      <c r="AZ24" s="260" t="s">
        <v>168</v>
      </c>
      <c r="BA24" s="260" t="s">
        <v>168</v>
      </c>
      <c r="BB24" s="139"/>
      <c r="BC24" s="254" t="b">
        <v>1</v>
      </c>
      <c r="BD24" s="260">
        <v>5.555555555555558E-2</v>
      </c>
      <c r="BE24" s="260" t="s">
        <v>168</v>
      </c>
      <c r="BF24" s="140"/>
    </row>
    <row r="25" spans="2:58" ht="11.1" customHeight="1">
      <c r="B25" s="93">
        <f t="shared" ca="1" si="9"/>
        <v>19</v>
      </c>
      <c r="C25" s="130" t="s">
        <v>80</v>
      </c>
      <c r="D25" s="131" t="s">
        <v>40</v>
      </c>
      <c r="E25" s="43" t="str">
        <f t="shared" si="6"/>
        <v>R</v>
      </c>
      <c r="F25" s="44">
        <f t="shared" si="7"/>
        <v>1.7</v>
      </c>
      <c r="G25" s="45">
        <f t="shared" si="1"/>
        <v>0.86732851985559567</v>
      </c>
      <c r="H25" s="45">
        <f t="shared" si="2"/>
        <v>4.2735042735042736E-2</v>
      </c>
      <c r="I25" s="46" t="str">
        <f t="shared" si="8"/>
        <v>é</v>
      </c>
      <c r="J25" s="47">
        <f t="shared" si="3"/>
        <v>1.7</v>
      </c>
      <c r="K25" s="47">
        <f t="shared" si="4"/>
        <v>1.64</v>
      </c>
      <c r="L25" s="48" t="str">
        <f t="shared" si="5"/>
        <v>2024 Q1</v>
      </c>
      <c r="N25" s="254" t="b">
        <v>0</v>
      </c>
      <c r="O25" s="254" t="s">
        <v>168</v>
      </c>
      <c r="P25" s="254" t="s">
        <v>252</v>
      </c>
      <c r="Q25" s="254" t="s">
        <v>168</v>
      </c>
      <c r="R25" s="254" t="s">
        <v>168</v>
      </c>
      <c r="S25" s="254" t="s">
        <v>168</v>
      </c>
      <c r="T25" s="254" t="s">
        <v>168</v>
      </c>
      <c r="U25" s="255" t="s">
        <v>252</v>
      </c>
      <c r="V25" s="140"/>
      <c r="W25" s="254">
        <v>34</v>
      </c>
      <c r="X25" s="256" t="s">
        <v>302</v>
      </c>
      <c r="Y25" s="262">
        <v>1.7</v>
      </c>
      <c r="Z25" s="140"/>
      <c r="AA25" s="254">
        <v>34</v>
      </c>
      <c r="AB25" s="258">
        <v>0.86732851985559567</v>
      </c>
      <c r="AC25" s="263">
        <v>-961000</v>
      </c>
      <c r="AD25" s="263">
        <v>1108000</v>
      </c>
      <c r="AE25" s="140"/>
      <c r="AF25" s="254">
        <v>34</v>
      </c>
      <c r="AG25" s="259">
        <v>39.78</v>
      </c>
      <c r="AH25" s="140"/>
      <c r="AI25" s="254">
        <v>34</v>
      </c>
      <c r="AJ25" s="257" t="s">
        <v>20</v>
      </c>
      <c r="AK25" s="140"/>
      <c r="AL25" s="254">
        <v>34</v>
      </c>
      <c r="AM25" s="262">
        <v>1.7</v>
      </c>
      <c r="AN25" s="262">
        <v>1.64</v>
      </c>
      <c r="AO25" s="256" t="s">
        <v>291</v>
      </c>
      <c r="AP25" s="140"/>
      <c r="AQ25" s="254" t="b">
        <v>0</v>
      </c>
      <c r="AR25" s="260" t="s">
        <v>168</v>
      </c>
      <c r="AS25" s="260" t="s">
        <v>168</v>
      </c>
      <c r="AT25" s="139"/>
      <c r="AU25" s="254" t="b">
        <v>0</v>
      </c>
      <c r="AV25" s="260" t="s">
        <v>168</v>
      </c>
      <c r="AW25" s="260" t="s">
        <v>168</v>
      </c>
      <c r="AX25" s="139"/>
      <c r="AY25" s="254" t="b">
        <v>0</v>
      </c>
      <c r="AZ25" s="260" t="s">
        <v>168</v>
      </c>
      <c r="BA25" s="260" t="s">
        <v>168</v>
      </c>
      <c r="BB25" s="139"/>
      <c r="BC25" s="254" t="b">
        <v>1</v>
      </c>
      <c r="BD25" s="260">
        <v>3.6585365853658569E-2</v>
      </c>
      <c r="BE25" s="260" t="s">
        <v>168</v>
      </c>
      <c r="BF25" s="140"/>
    </row>
    <row r="26" spans="2:58" ht="11.1" customHeight="1">
      <c r="B26" s="93">
        <f t="shared" ca="1" si="9"/>
        <v>20</v>
      </c>
      <c r="C26" s="42" t="s">
        <v>81</v>
      </c>
      <c r="D26" s="43" t="s">
        <v>41</v>
      </c>
      <c r="E26" s="43" t="str">
        <f t="shared" si="6"/>
        <v>MR</v>
      </c>
      <c r="F26" s="44">
        <f>Y26</f>
        <v>0</v>
      </c>
      <c r="G26" s="45">
        <f>AB26</f>
        <v>0</v>
      </c>
      <c r="H26" s="45">
        <f>F26 / AG26</f>
        <v>0</v>
      </c>
      <c r="I26" s="46" t="str">
        <f>IF( AND( ISNUMBER( $J26 ), ISNUMBER( $K26 ) ), IF( $J26 = $K26, "", IF( $J26 &gt; $K26, "é", "ê" ) ), "" )</f>
        <v>ê</v>
      </c>
      <c r="J26" s="47">
        <f xml:space="preserve"> IF( F26 = AM26, AM26, F26 )</f>
        <v>0</v>
      </c>
      <c r="K26" s="47">
        <f xml:space="preserve"> IF( F26 = AM26, AN26, AM26 )</f>
        <v>1.44</v>
      </c>
      <c r="L26" s="48" t="str">
        <f xml:space="preserve"> IF( F26 = AM26, AO26, X26 )</f>
        <v>2023 Q4</v>
      </c>
      <c r="N26" s="254" t="b">
        <v>0</v>
      </c>
      <c r="O26" s="254" t="s">
        <v>168</v>
      </c>
      <c r="P26" s="254" t="s">
        <v>168</v>
      </c>
      <c r="Q26" s="254" t="s">
        <v>168</v>
      </c>
      <c r="R26" s="254" t="s">
        <v>168</v>
      </c>
      <c r="S26" s="254" t="s">
        <v>168</v>
      </c>
      <c r="T26" s="254" t="s">
        <v>253</v>
      </c>
      <c r="U26" s="255" t="s">
        <v>253</v>
      </c>
      <c r="V26" s="140"/>
      <c r="W26" s="254">
        <v>35</v>
      </c>
      <c r="X26" s="256" t="s">
        <v>292</v>
      </c>
      <c r="Y26" s="262">
        <v>0</v>
      </c>
      <c r="Z26" s="140"/>
      <c r="AA26" s="254">
        <v>35</v>
      </c>
      <c r="AB26" s="258">
        <v>0</v>
      </c>
      <c r="AC26" s="263">
        <v>0</v>
      </c>
      <c r="AD26" s="263">
        <v>827471</v>
      </c>
      <c r="AE26" s="140"/>
      <c r="AF26" s="254">
        <v>35</v>
      </c>
      <c r="AG26" s="259">
        <v>9.73</v>
      </c>
      <c r="AH26" s="140"/>
      <c r="AI26" s="254">
        <v>35</v>
      </c>
      <c r="AJ26" s="257" t="s">
        <v>17</v>
      </c>
      <c r="AK26" s="140"/>
      <c r="AL26" s="254">
        <v>35</v>
      </c>
      <c r="AM26" s="262">
        <v>0</v>
      </c>
      <c r="AN26" s="262">
        <v>1.44</v>
      </c>
      <c r="AO26" s="256" t="s">
        <v>292</v>
      </c>
      <c r="AP26" s="140"/>
      <c r="AQ26" s="254" t="b">
        <v>0</v>
      </c>
      <c r="AR26" s="260" t="s">
        <v>168</v>
      </c>
      <c r="AS26" s="260" t="s">
        <v>168</v>
      </c>
      <c r="AT26" s="139"/>
      <c r="AU26" s="254" t="b">
        <v>0</v>
      </c>
      <c r="AV26" s="260" t="s">
        <v>168</v>
      </c>
      <c r="AW26" s="260" t="s">
        <v>168</v>
      </c>
      <c r="AX26" s="139"/>
      <c r="AY26" s="254" t="b">
        <v>0</v>
      </c>
      <c r="AZ26" s="260" t="s">
        <v>168</v>
      </c>
      <c r="BA26" s="260" t="s">
        <v>168</v>
      </c>
      <c r="BB26" s="139"/>
      <c r="BC26" s="254" t="b">
        <v>0</v>
      </c>
      <c r="BD26" s="260" t="s">
        <v>168</v>
      </c>
      <c r="BE26" s="260" t="s">
        <v>168</v>
      </c>
      <c r="BF26" s="140"/>
    </row>
    <row r="27" spans="2:58" ht="11.1" customHeight="1">
      <c r="B27" s="93">
        <f t="shared" ca="1" si="9"/>
        <v>21</v>
      </c>
      <c r="C27" s="42" t="s">
        <v>82</v>
      </c>
      <c r="D27" s="43" t="s">
        <v>42</v>
      </c>
      <c r="E27" s="43" t="str">
        <f t="shared" si="6"/>
        <v>R</v>
      </c>
      <c r="F27" s="44">
        <f t="shared" si="7"/>
        <v>3.44</v>
      </c>
      <c r="G27" s="45">
        <f t="shared" si="1"/>
        <v>0.60752885531749679</v>
      </c>
      <c r="H27" s="45">
        <f t="shared" si="2"/>
        <v>3.1478770131771597E-2</v>
      </c>
      <c r="I27" s="46" t="str">
        <f t="shared" si="8"/>
        <v>é</v>
      </c>
      <c r="J27" s="47">
        <f t="shared" si="3"/>
        <v>3.44</v>
      </c>
      <c r="K27" s="47">
        <f t="shared" si="4"/>
        <v>3.32</v>
      </c>
      <c r="L27" s="48" t="str">
        <f t="shared" si="5"/>
        <v>2024 Q4</v>
      </c>
      <c r="N27" s="254" t="b">
        <v>1</v>
      </c>
      <c r="O27" s="254" t="s">
        <v>58</v>
      </c>
      <c r="P27" s="254" t="s">
        <v>168</v>
      </c>
      <c r="Q27" s="254" t="s">
        <v>168</v>
      </c>
      <c r="R27" s="254" t="s">
        <v>168</v>
      </c>
      <c r="S27" s="254" t="s">
        <v>168</v>
      </c>
      <c r="T27" s="254" t="s">
        <v>168</v>
      </c>
      <c r="U27" s="255" t="s">
        <v>58</v>
      </c>
      <c r="V27" s="140"/>
      <c r="W27" s="254">
        <v>36</v>
      </c>
      <c r="X27" s="256" t="s">
        <v>302</v>
      </c>
      <c r="Y27" s="262">
        <v>3.44</v>
      </c>
      <c r="Z27" s="140"/>
      <c r="AA27" s="254">
        <v>36</v>
      </c>
      <c r="AB27" s="258">
        <v>0.60752885531749679</v>
      </c>
      <c r="AC27" s="263">
        <v>-172119</v>
      </c>
      <c r="AD27" s="263">
        <v>283310</v>
      </c>
      <c r="AE27" s="140"/>
      <c r="AF27" s="254">
        <v>36</v>
      </c>
      <c r="AG27" s="259">
        <v>109.28</v>
      </c>
      <c r="AH27" s="140"/>
      <c r="AI27" s="254">
        <v>36</v>
      </c>
      <c r="AJ27" s="257" t="s">
        <v>20</v>
      </c>
      <c r="AK27" s="140"/>
      <c r="AL27" s="254">
        <v>36</v>
      </c>
      <c r="AM27" s="262">
        <v>3.32</v>
      </c>
      <c r="AN27" s="262">
        <v>3.16</v>
      </c>
      <c r="AO27" s="256" t="s">
        <v>292</v>
      </c>
      <c r="AP27" s="140"/>
      <c r="AQ27" s="254" t="b">
        <v>1</v>
      </c>
      <c r="AR27" s="260">
        <v>3.6144578313253017E-2</v>
      </c>
      <c r="AS27" s="260" t="s">
        <v>168</v>
      </c>
      <c r="AT27" s="139"/>
      <c r="AU27" s="254" t="b">
        <v>0</v>
      </c>
      <c r="AV27" s="260" t="s">
        <v>168</v>
      </c>
      <c r="AW27" s="260" t="s">
        <v>168</v>
      </c>
      <c r="AX27" s="139"/>
      <c r="AY27" s="254" t="b">
        <v>0</v>
      </c>
      <c r="AZ27" s="260" t="s">
        <v>168</v>
      </c>
      <c r="BA27" s="260" t="s">
        <v>168</v>
      </c>
      <c r="BB27" s="139"/>
      <c r="BC27" s="254" t="b">
        <v>0</v>
      </c>
      <c r="BD27" s="260" t="s">
        <v>168</v>
      </c>
      <c r="BE27" s="260" t="s">
        <v>168</v>
      </c>
      <c r="BF27" s="140"/>
    </row>
    <row r="28" spans="2:58" ht="11.1" customHeight="1">
      <c r="B28" s="93">
        <f t="shared" ca="1" si="9"/>
        <v>22</v>
      </c>
      <c r="C28" s="42" t="s">
        <v>83</v>
      </c>
      <c r="D28" s="43" t="s">
        <v>43</v>
      </c>
      <c r="E28" s="43" t="str">
        <f t="shared" si="6"/>
        <v>MR</v>
      </c>
      <c r="F28" s="44">
        <f t="shared" si="7"/>
        <v>0.52</v>
      </c>
      <c r="G28" s="45">
        <f t="shared" si="1"/>
        <v>0.2596048994496995</v>
      </c>
      <c r="H28" s="45">
        <f t="shared" si="2"/>
        <v>2.8856825749167592E-2</v>
      </c>
      <c r="I28" s="46" t="str">
        <f t="shared" si="8"/>
        <v>é</v>
      </c>
      <c r="J28" s="47">
        <f xml:space="preserve"> IF( F28 = AM28, AM28, F28 )</f>
        <v>0.52</v>
      </c>
      <c r="K28" s="47">
        <f xml:space="preserve"> IF( F28 = AM28, AN28, AM28 )</f>
        <v>0.5</v>
      </c>
      <c r="L28" s="48" t="str">
        <f xml:space="preserve"> IF( F28 = AM28, AO28, X28 )</f>
        <v>2024 Q3</v>
      </c>
      <c r="N28" s="254" t="b">
        <v>0</v>
      </c>
      <c r="O28" s="254" t="s">
        <v>168</v>
      </c>
      <c r="P28" s="254" t="s">
        <v>252</v>
      </c>
      <c r="Q28" s="254" t="s">
        <v>168</v>
      </c>
      <c r="R28" s="254" t="s">
        <v>168</v>
      </c>
      <c r="S28" s="254" t="s">
        <v>168</v>
      </c>
      <c r="T28" s="254" t="s">
        <v>168</v>
      </c>
      <c r="U28" s="255" t="s">
        <v>252</v>
      </c>
      <c r="V28" s="140"/>
      <c r="W28" s="254">
        <v>37</v>
      </c>
      <c r="X28" s="256" t="s">
        <v>302</v>
      </c>
      <c r="Y28" s="262">
        <v>0.52</v>
      </c>
      <c r="Z28" s="140"/>
      <c r="AA28" s="254">
        <v>37</v>
      </c>
      <c r="AB28" s="258">
        <v>0.2596048994496995</v>
      </c>
      <c r="AC28" s="263">
        <v>-102370</v>
      </c>
      <c r="AD28" s="263">
        <v>394330</v>
      </c>
      <c r="AE28" s="140"/>
      <c r="AF28" s="254">
        <v>37</v>
      </c>
      <c r="AG28" s="259">
        <v>18.02</v>
      </c>
      <c r="AH28" s="140"/>
      <c r="AI28" s="254">
        <v>37</v>
      </c>
      <c r="AJ28" s="257" t="s">
        <v>17</v>
      </c>
      <c r="AK28" s="140"/>
      <c r="AL28" s="254">
        <v>37</v>
      </c>
      <c r="AM28" s="262">
        <v>0.52</v>
      </c>
      <c r="AN28" s="262">
        <v>0.5</v>
      </c>
      <c r="AO28" s="256" t="s">
        <v>298</v>
      </c>
      <c r="AP28" s="140"/>
      <c r="AQ28" s="254" t="b">
        <v>0</v>
      </c>
      <c r="AR28" s="260" t="s">
        <v>168</v>
      </c>
      <c r="AS28" s="260" t="s">
        <v>168</v>
      </c>
      <c r="AT28" s="139"/>
      <c r="AU28" s="254" t="b">
        <v>1</v>
      </c>
      <c r="AV28" s="260">
        <v>4.0000000000000036E-2</v>
      </c>
      <c r="AW28" s="260" t="s">
        <v>168</v>
      </c>
      <c r="AX28" s="139"/>
      <c r="AY28" s="254" t="b">
        <v>0</v>
      </c>
      <c r="AZ28" s="260" t="s">
        <v>168</v>
      </c>
      <c r="BA28" s="260" t="s">
        <v>168</v>
      </c>
      <c r="BB28" s="139"/>
      <c r="BC28" s="254" t="b">
        <v>0</v>
      </c>
      <c r="BD28" s="260" t="s">
        <v>168</v>
      </c>
      <c r="BE28" s="260" t="s">
        <v>168</v>
      </c>
      <c r="BF28" s="140"/>
    </row>
    <row r="29" spans="2:58" ht="11.1" customHeight="1">
      <c r="B29" s="93">
        <f t="shared" ca="1" si="9"/>
        <v>23</v>
      </c>
      <c r="C29" s="42" t="s">
        <v>84</v>
      </c>
      <c r="D29" s="43" t="s">
        <v>44</v>
      </c>
      <c r="E29" s="43" t="str">
        <f t="shared" si="6"/>
        <v>R</v>
      </c>
      <c r="F29" s="44">
        <f t="shared" si="7"/>
        <v>1.8</v>
      </c>
      <c r="G29" s="45">
        <f t="shared" si="1"/>
        <v>0.52828121048638621</v>
      </c>
      <c r="H29" s="45">
        <f t="shared" si="2"/>
        <v>1.9157088122605366E-2</v>
      </c>
      <c r="I29" s="46" t="str">
        <f t="shared" si="8"/>
        <v>é</v>
      </c>
      <c r="J29" s="47">
        <f t="shared" si="3"/>
        <v>1.8</v>
      </c>
      <c r="K29" s="47">
        <f t="shared" si="4"/>
        <v>1.71</v>
      </c>
      <c r="L29" s="48" t="str">
        <f t="shared" si="5"/>
        <v>2024 Q3</v>
      </c>
      <c r="N29" s="254" t="b">
        <v>0</v>
      </c>
      <c r="O29" s="254" t="s">
        <v>168</v>
      </c>
      <c r="P29" s="254" t="s">
        <v>252</v>
      </c>
      <c r="Q29" s="254" t="s">
        <v>168</v>
      </c>
      <c r="R29" s="254" t="s">
        <v>168</v>
      </c>
      <c r="S29" s="254" t="s">
        <v>168</v>
      </c>
      <c r="T29" s="254" t="s">
        <v>168</v>
      </c>
      <c r="U29" s="255" t="s">
        <v>252</v>
      </c>
      <c r="V29" s="140"/>
      <c r="W29" s="254">
        <v>38</v>
      </c>
      <c r="X29" s="256" t="s">
        <v>302</v>
      </c>
      <c r="Y29" s="262">
        <v>1.8</v>
      </c>
      <c r="Z29" s="140"/>
      <c r="AA29" s="254">
        <v>38</v>
      </c>
      <c r="AB29" s="258">
        <v>0.52828121048638621</v>
      </c>
      <c r="AC29" s="263">
        <v>-62670</v>
      </c>
      <c r="AD29" s="263">
        <v>118630</v>
      </c>
      <c r="AE29" s="140"/>
      <c r="AF29" s="254">
        <v>38</v>
      </c>
      <c r="AG29" s="259">
        <v>93.96</v>
      </c>
      <c r="AH29" s="140"/>
      <c r="AI29" s="254">
        <v>38</v>
      </c>
      <c r="AJ29" s="257" t="s">
        <v>20</v>
      </c>
      <c r="AK29" s="140"/>
      <c r="AL29" s="254">
        <v>38</v>
      </c>
      <c r="AM29" s="262">
        <v>1.8</v>
      </c>
      <c r="AN29" s="262">
        <v>1.71</v>
      </c>
      <c r="AO29" s="256" t="s">
        <v>298</v>
      </c>
      <c r="AP29" s="140"/>
      <c r="AQ29" s="254" t="b">
        <v>0</v>
      </c>
      <c r="AR29" s="260" t="s">
        <v>168</v>
      </c>
      <c r="AS29" s="260" t="s">
        <v>168</v>
      </c>
      <c r="AT29" s="139"/>
      <c r="AU29" s="254" t="b">
        <v>1</v>
      </c>
      <c r="AV29" s="260">
        <v>5.2631578947368363E-2</v>
      </c>
      <c r="AW29" s="260" t="s">
        <v>168</v>
      </c>
      <c r="AX29" s="139"/>
      <c r="AY29" s="254" t="b">
        <v>0</v>
      </c>
      <c r="AZ29" s="260" t="s">
        <v>168</v>
      </c>
      <c r="BA29" s="260" t="s">
        <v>168</v>
      </c>
      <c r="BB29" s="139"/>
      <c r="BC29" s="254" t="b">
        <v>0</v>
      </c>
      <c r="BD29" s="260" t="s">
        <v>168</v>
      </c>
      <c r="BE29" s="260" t="s">
        <v>168</v>
      </c>
      <c r="BF29" s="140"/>
    </row>
    <row r="30" spans="2:58" ht="11.1" customHeight="1">
      <c r="B30" s="93">
        <f t="shared" ca="1" si="9"/>
        <v>24</v>
      </c>
      <c r="C30" s="42" t="s">
        <v>116</v>
      </c>
      <c r="D30" s="43" t="s">
        <v>117</v>
      </c>
      <c r="E30" s="43" t="str">
        <f t="shared" si="6"/>
        <v>MR</v>
      </c>
      <c r="F30" s="44">
        <f t="shared" si="7"/>
        <v>2.06</v>
      </c>
      <c r="G30" s="45">
        <f t="shared" si="1"/>
        <v>0.84473953013278857</v>
      </c>
      <c r="H30" s="45">
        <f t="shared" si="2"/>
        <v>2.8734830520295719E-2</v>
      </c>
      <c r="I30" s="46" t="str">
        <f t="shared" si="8"/>
        <v>é</v>
      </c>
      <c r="J30" s="47">
        <f t="shared" si="3"/>
        <v>2.06</v>
      </c>
      <c r="K30" s="47">
        <f t="shared" si="4"/>
        <v>1.87</v>
      </c>
      <c r="L30" s="48" t="str">
        <f t="shared" si="5"/>
        <v>2024 Q1</v>
      </c>
      <c r="N30" s="254" t="b">
        <v>0</v>
      </c>
      <c r="O30" s="254" t="s">
        <v>168</v>
      </c>
      <c r="P30" s="254" t="s">
        <v>252</v>
      </c>
      <c r="Q30" s="254" t="s">
        <v>168</v>
      </c>
      <c r="R30" s="254" t="s">
        <v>168</v>
      </c>
      <c r="S30" s="254" t="s">
        <v>168</v>
      </c>
      <c r="T30" s="254" t="s">
        <v>168</v>
      </c>
      <c r="U30" s="255" t="s">
        <v>252</v>
      </c>
      <c r="V30" s="140"/>
      <c r="W30" s="254">
        <v>39</v>
      </c>
      <c r="X30" s="256" t="s">
        <v>302</v>
      </c>
      <c r="Y30" s="262">
        <v>2.06</v>
      </c>
      <c r="Z30" s="140"/>
      <c r="AA30" s="254">
        <v>39</v>
      </c>
      <c r="AB30" s="258">
        <v>0.84473953013278857</v>
      </c>
      <c r="AC30" s="263">
        <v>-4135000</v>
      </c>
      <c r="AD30" s="263">
        <v>4895000</v>
      </c>
      <c r="AE30" s="140"/>
      <c r="AF30" s="254">
        <v>39</v>
      </c>
      <c r="AG30" s="259">
        <v>71.69</v>
      </c>
      <c r="AH30" s="140"/>
      <c r="AI30" s="254">
        <v>39</v>
      </c>
      <c r="AJ30" s="257" t="s">
        <v>17</v>
      </c>
      <c r="AK30" s="140"/>
      <c r="AL30" s="254">
        <v>39</v>
      </c>
      <c r="AM30" s="262">
        <v>2.06</v>
      </c>
      <c r="AN30" s="262">
        <v>1.87</v>
      </c>
      <c r="AO30" s="256" t="s">
        <v>291</v>
      </c>
      <c r="AP30" s="140"/>
      <c r="AQ30" s="254" t="b">
        <v>0</v>
      </c>
      <c r="AR30" s="260" t="s">
        <v>168</v>
      </c>
      <c r="AS30" s="260" t="s">
        <v>168</v>
      </c>
      <c r="AT30" s="139"/>
      <c r="AU30" s="254" t="b">
        <v>0</v>
      </c>
      <c r="AV30" s="260" t="s">
        <v>168</v>
      </c>
      <c r="AW30" s="260" t="s">
        <v>168</v>
      </c>
      <c r="AX30" s="139"/>
      <c r="AY30" s="254" t="b">
        <v>0</v>
      </c>
      <c r="AZ30" s="260" t="s">
        <v>168</v>
      </c>
      <c r="BA30" s="260" t="s">
        <v>168</v>
      </c>
      <c r="BB30" s="139"/>
      <c r="BC30" s="254" t="b">
        <v>1</v>
      </c>
      <c r="BD30" s="260">
        <v>0.10160427807486627</v>
      </c>
      <c r="BE30" s="260" t="s">
        <v>168</v>
      </c>
      <c r="BF30" s="140"/>
    </row>
    <row r="31" spans="2:58" ht="11.1" customHeight="1">
      <c r="B31" s="93">
        <f t="shared" ca="1" si="9"/>
        <v>25</v>
      </c>
      <c r="C31" s="42" t="s">
        <v>85</v>
      </c>
      <c r="D31" s="43" t="s">
        <v>45</v>
      </c>
      <c r="E31" s="43" t="str">
        <f t="shared" si="6"/>
        <v>R</v>
      </c>
      <c r="F31" s="44">
        <f t="shared" si="7"/>
        <v>1.06</v>
      </c>
      <c r="G31" s="45">
        <f t="shared" si="1"/>
        <v>0.57571589346004748</v>
      </c>
      <c r="H31" s="45">
        <f t="shared" si="2"/>
        <v>2.8835690968443965E-2</v>
      </c>
      <c r="I31" s="46" t="str">
        <f t="shared" si="8"/>
        <v>é</v>
      </c>
      <c r="J31" s="47">
        <f t="shared" si="3"/>
        <v>1.06</v>
      </c>
      <c r="K31" s="47">
        <f t="shared" si="4"/>
        <v>1</v>
      </c>
      <c r="L31" s="48" t="str">
        <f t="shared" si="5"/>
        <v>2024 Q1</v>
      </c>
      <c r="N31" s="254" t="b">
        <v>0</v>
      </c>
      <c r="O31" s="254" t="s">
        <v>168</v>
      </c>
      <c r="P31" s="254" t="s">
        <v>252</v>
      </c>
      <c r="Q31" s="254" t="s">
        <v>168</v>
      </c>
      <c r="R31" s="254" t="s">
        <v>168</v>
      </c>
      <c r="S31" s="254" t="s">
        <v>168</v>
      </c>
      <c r="T31" s="254" t="s">
        <v>168</v>
      </c>
      <c r="U31" s="255" t="s">
        <v>252</v>
      </c>
      <c r="V31" s="140"/>
      <c r="W31" s="254">
        <v>40</v>
      </c>
      <c r="X31" s="256" t="s">
        <v>302</v>
      </c>
      <c r="Y31" s="262">
        <v>1.06</v>
      </c>
      <c r="Z31" s="140"/>
      <c r="AA31" s="254">
        <v>40</v>
      </c>
      <c r="AB31" s="258">
        <v>0.57571589346004748</v>
      </c>
      <c r="AC31" s="263">
        <v>-460400</v>
      </c>
      <c r="AD31" s="263">
        <v>799700</v>
      </c>
      <c r="AE31" s="140"/>
      <c r="AF31" s="254">
        <v>40</v>
      </c>
      <c r="AG31" s="259">
        <v>36.76</v>
      </c>
      <c r="AH31" s="140"/>
      <c r="AI31" s="254">
        <v>40</v>
      </c>
      <c r="AJ31" s="257" t="s">
        <v>20</v>
      </c>
      <c r="AK31" s="140"/>
      <c r="AL31" s="254">
        <v>40</v>
      </c>
      <c r="AM31" s="262">
        <v>1.06</v>
      </c>
      <c r="AN31" s="262">
        <v>1</v>
      </c>
      <c r="AO31" s="256" t="s">
        <v>291</v>
      </c>
      <c r="AP31" s="140"/>
      <c r="AQ31" s="254" t="b">
        <v>0</v>
      </c>
      <c r="AR31" s="260" t="s">
        <v>168</v>
      </c>
      <c r="AS31" s="260" t="s">
        <v>168</v>
      </c>
      <c r="AT31" s="139"/>
      <c r="AU31" s="254" t="b">
        <v>0</v>
      </c>
      <c r="AV31" s="260" t="s">
        <v>168</v>
      </c>
      <c r="AW31" s="260" t="s">
        <v>168</v>
      </c>
      <c r="AX31" s="139"/>
      <c r="AY31" s="254" t="b">
        <v>0</v>
      </c>
      <c r="AZ31" s="260" t="s">
        <v>168</v>
      </c>
      <c r="BA31" s="260" t="s">
        <v>168</v>
      </c>
      <c r="BB31" s="139"/>
      <c r="BC31" s="254" t="b">
        <v>1</v>
      </c>
      <c r="BD31" s="260">
        <v>6.0000000000000053E-2</v>
      </c>
      <c r="BE31" s="260" t="s">
        <v>168</v>
      </c>
      <c r="BF31" s="140"/>
    </row>
    <row r="32" spans="2:58" ht="11.1" customHeight="1">
      <c r="B32" s="93">
        <f t="shared" ca="1" si="9"/>
        <v>26</v>
      </c>
      <c r="C32" s="42" t="s">
        <v>299</v>
      </c>
      <c r="D32" s="43" t="s">
        <v>86</v>
      </c>
      <c r="E32" s="43" t="str">
        <f t="shared" si="6"/>
        <v>R</v>
      </c>
      <c r="F32" s="44">
        <f t="shared" si="7"/>
        <v>2.6</v>
      </c>
      <c r="G32" s="45">
        <f t="shared" si="1"/>
        <v>0.69663124556133404</v>
      </c>
      <c r="H32" s="45">
        <f t="shared" si="2"/>
        <v>4.8634493078937524E-2</v>
      </c>
      <c r="I32" s="46" t="str">
        <f t="shared" si="8"/>
        <v>é</v>
      </c>
      <c r="J32" s="47">
        <f t="shared" si="3"/>
        <v>2.6</v>
      </c>
      <c r="K32" s="47">
        <f t="shared" si="4"/>
        <v>2.56</v>
      </c>
      <c r="L32" s="48" t="str">
        <f t="shared" si="5"/>
        <v>2024 Q1</v>
      </c>
      <c r="N32" s="254" t="b">
        <v>0</v>
      </c>
      <c r="O32" s="254" t="s">
        <v>168</v>
      </c>
      <c r="P32" s="254" t="s">
        <v>252</v>
      </c>
      <c r="Q32" s="254" t="s">
        <v>168</v>
      </c>
      <c r="R32" s="254" t="s">
        <v>168</v>
      </c>
      <c r="S32" s="254" t="s">
        <v>168</v>
      </c>
      <c r="T32" s="254" t="s">
        <v>168</v>
      </c>
      <c r="U32" s="255" t="s">
        <v>252</v>
      </c>
      <c r="V32" s="140"/>
      <c r="W32" s="254">
        <v>41</v>
      </c>
      <c r="X32" s="256" t="s">
        <v>302</v>
      </c>
      <c r="Y32" s="262">
        <v>2.6</v>
      </c>
      <c r="Z32" s="140"/>
      <c r="AA32" s="254">
        <v>41</v>
      </c>
      <c r="AB32" s="258">
        <v>0.69663124556133404</v>
      </c>
      <c r="AC32" s="263">
        <v>-157927</v>
      </c>
      <c r="AD32" s="263">
        <v>226701</v>
      </c>
      <c r="AE32" s="140"/>
      <c r="AF32" s="254">
        <v>41</v>
      </c>
      <c r="AG32" s="259">
        <v>53.46</v>
      </c>
      <c r="AH32" s="140"/>
      <c r="AI32" s="254">
        <v>41</v>
      </c>
      <c r="AJ32" s="257" t="s">
        <v>20</v>
      </c>
      <c r="AK32" s="140"/>
      <c r="AL32" s="254">
        <v>41</v>
      </c>
      <c r="AM32" s="262">
        <v>2.6</v>
      </c>
      <c r="AN32" s="262">
        <v>2.56</v>
      </c>
      <c r="AO32" s="256" t="s">
        <v>291</v>
      </c>
      <c r="AP32" s="140"/>
      <c r="AQ32" s="254" t="b">
        <v>0</v>
      </c>
      <c r="AR32" s="260" t="s">
        <v>168</v>
      </c>
      <c r="AS32" s="260" t="s">
        <v>168</v>
      </c>
      <c r="AT32" s="139"/>
      <c r="AU32" s="254" t="b">
        <v>0</v>
      </c>
      <c r="AV32" s="260" t="s">
        <v>168</v>
      </c>
      <c r="AW32" s="260" t="s">
        <v>168</v>
      </c>
      <c r="AX32" s="139"/>
      <c r="AY32" s="254" t="b">
        <v>0</v>
      </c>
      <c r="AZ32" s="260" t="s">
        <v>168</v>
      </c>
      <c r="BA32" s="260" t="s">
        <v>168</v>
      </c>
      <c r="BB32" s="139"/>
      <c r="BC32" s="254" t="b">
        <v>1</v>
      </c>
      <c r="BD32" s="260">
        <v>1.5625E-2</v>
      </c>
      <c r="BE32" s="260" t="s">
        <v>168</v>
      </c>
      <c r="BF32" s="140"/>
    </row>
    <row r="33" spans="2:58" ht="11.1" customHeight="1">
      <c r="B33" s="93">
        <f t="shared" ca="1" si="9"/>
        <v>27</v>
      </c>
      <c r="C33" s="42" t="s">
        <v>46</v>
      </c>
      <c r="D33" s="43" t="s">
        <v>47</v>
      </c>
      <c r="E33" s="43" t="str">
        <f t="shared" si="6"/>
        <v>R</v>
      </c>
      <c r="F33" s="44">
        <f t="shared" si="7"/>
        <v>1.6850000000000001</v>
      </c>
      <c r="G33" s="45">
        <f t="shared" si="1"/>
        <v>0.870809695719443</v>
      </c>
      <c r="H33" s="45">
        <f t="shared" si="2"/>
        <v>4.0848484848484849E-2</v>
      </c>
      <c r="I33" s="46" t="str">
        <f t="shared" si="8"/>
        <v>é</v>
      </c>
      <c r="J33" s="47">
        <f t="shared" si="3"/>
        <v>1.6850000000000001</v>
      </c>
      <c r="K33" s="47">
        <f t="shared" si="4"/>
        <v>1.6728000000000001</v>
      </c>
      <c r="L33" s="48" t="str">
        <f t="shared" si="5"/>
        <v>2024 Q3</v>
      </c>
      <c r="N33" s="254" t="b">
        <v>0</v>
      </c>
      <c r="O33" s="254" t="s">
        <v>168</v>
      </c>
      <c r="P33" s="254" t="s">
        <v>252</v>
      </c>
      <c r="Q33" s="254" t="s">
        <v>168</v>
      </c>
      <c r="R33" s="254" t="s">
        <v>168</v>
      </c>
      <c r="S33" s="254" t="s">
        <v>168</v>
      </c>
      <c r="T33" s="254" t="s">
        <v>168</v>
      </c>
      <c r="U33" s="255" t="s">
        <v>252</v>
      </c>
      <c r="V33" s="140"/>
      <c r="W33" s="254">
        <v>42</v>
      </c>
      <c r="X33" s="256" t="s">
        <v>302</v>
      </c>
      <c r="Y33" s="262">
        <v>1.6850000000000001</v>
      </c>
      <c r="Z33" s="140"/>
      <c r="AA33" s="254">
        <v>42</v>
      </c>
      <c r="AB33" s="258">
        <v>0.870809695719443</v>
      </c>
      <c r="AC33" s="263">
        <v>-337700</v>
      </c>
      <c r="AD33" s="263">
        <v>387800</v>
      </c>
      <c r="AE33" s="140"/>
      <c r="AF33" s="254">
        <v>42</v>
      </c>
      <c r="AG33" s="259">
        <v>41.25</v>
      </c>
      <c r="AH33" s="140"/>
      <c r="AI33" s="254">
        <v>42</v>
      </c>
      <c r="AJ33" s="257" t="s">
        <v>20</v>
      </c>
      <c r="AK33" s="140"/>
      <c r="AL33" s="254">
        <v>42</v>
      </c>
      <c r="AM33" s="262">
        <v>1.6850000000000001</v>
      </c>
      <c r="AN33" s="262">
        <v>1.6728000000000001</v>
      </c>
      <c r="AO33" s="256" t="s">
        <v>298</v>
      </c>
      <c r="AP33" s="140"/>
      <c r="AQ33" s="254" t="b">
        <v>0</v>
      </c>
      <c r="AR33" s="260" t="s">
        <v>168</v>
      </c>
      <c r="AS33" s="260" t="s">
        <v>168</v>
      </c>
      <c r="AT33" s="139"/>
      <c r="AU33" s="254" t="b">
        <v>1</v>
      </c>
      <c r="AV33" s="260">
        <v>7.293161166905815E-3</v>
      </c>
      <c r="AW33" s="260" t="s">
        <v>168</v>
      </c>
      <c r="AX33" s="139"/>
      <c r="AY33" s="254" t="b">
        <v>0</v>
      </c>
      <c r="AZ33" s="260" t="s">
        <v>168</v>
      </c>
      <c r="BA33" s="260" t="s">
        <v>168</v>
      </c>
      <c r="BB33" s="139"/>
      <c r="BC33" s="254" t="b">
        <v>0</v>
      </c>
      <c r="BD33" s="260" t="s">
        <v>168</v>
      </c>
      <c r="BE33" s="260" t="s">
        <v>168</v>
      </c>
      <c r="BF33" s="140"/>
    </row>
    <row r="34" spans="2:58" ht="11.1" customHeight="1">
      <c r="B34" s="93">
        <f t="shared" ca="1" si="9"/>
        <v>28</v>
      </c>
      <c r="C34" s="130" t="s">
        <v>87</v>
      </c>
      <c r="D34" s="131" t="s">
        <v>48</v>
      </c>
      <c r="E34" s="43" t="str">
        <f t="shared" si="6"/>
        <v>MR</v>
      </c>
      <c r="F34" s="44">
        <f t="shared" si="7"/>
        <v>1.87</v>
      </c>
      <c r="G34" s="45">
        <f t="shared" si="1"/>
        <v>0.25268404152630852</v>
      </c>
      <c r="H34" s="45">
        <f t="shared" si="2"/>
        <v>2.5325027085590465E-2</v>
      </c>
      <c r="I34" s="46" t="str">
        <f t="shared" si="8"/>
        <v>é</v>
      </c>
      <c r="J34" s="47">
        <f t="shared" si="3"/>
        <v>1.87</v>
      </c>
      <c r="K34" s="47">
        <f t="shared" si="4"/>
        <v>1.75</v>
      </c>
      <c r="L34" s="48" t="str">
        <f t="shared" si="5"/>
        <v>2024 Q1</v>
      </c>
      <c r="N34" s="254" t="b">
        <v>0</v>
      </c>
      <c r="O34" s="254" t="s">
        <v>168</v>
      </c>
      <c r="P34" s="254" t="s">
        <v>252</v>
      </c>
      <c r="Q34" s="254" t="s">
        <v>168</v>
      </c>
      <c r="R34" s="254" t="s">
        <v>168</v>
      </c>
      <c r="S34" s="254" t="s">
        <v>168</v>
      </c>
      <c r="T34" s="254" t="s">
        <v>168</v>
      </c>
      <c r="U34" s="255" t="s">
        <v>252</v>
      </c>
      <c r="V34" s="140"/>
      <c r="W34" s="254">
        <v>43</v>
      </c>
      <c r="X34" s="256" t="s">
        <v>302</v>
      </c>
      <c r="Y34" s="262">
        <v>1.87</v>
      </c>
      <c r="Z34" s="140"/>
      <c r="AA34" s="254">
        <v>43</v>
      </c>
      <c r="AB34" s="258">
        <v>0.25268404152630852</v>
      </c>
      <c r="AC34" s="263">
        <v>-76962</v>
      </c>
      <c r="AD34" s="263">
        <v>304578</v>
      </c>
      <c r="AE34" s="140"/>
      <c r="AF34" s="254">
        <v>43</v>
      </c>
      <c r="AG34" s="259">
        <v>73.84</v>
      </c>
      <c r="AH34" s="140"/>
      <c r="AI34" s="254">
        <v>43</v>
      </c>
      <c r="AJ34" s="257" t="s">
        <v>17</v>
      </c>
      <c r="AK34" s="140"/>
      <c r="AL34" s="254">
        <v>43</v>
      </c>
      <c r="AM34" s="262">
        <v>1.87</v>
      </c>
      <c r="AN34" s="262">
        <v>1.75</v>
      </c>
      <c r="AO34" s="256" t="s">
        <v>291</v>
      </c>
      <c r="AP34" s="140"/>
      <c r="AQ34" s="254" t="b">
        <v>0</v>
      </c>
      <c r="AR34" s="260" t="s">
        <v>168</v>
      </c>
      <c r="AS34" s="260" t="s">
        <v>168</v>
      </c>
      <c r="AT34" s="139"/>
      <c r="AU34" s="254" t="b">
        <v>0</v>
      </c>
      <c r="AV34" s="260" t="s">
        <v>168</v>
      </c>
      <c r="AW34" s="260" t="s">
        <v>168</v>
      </c>
      <c r="AX34" s="139"/>
      <c r="AY34" s="254" t="b">
        <v>0</v>
      </c>
      <c r="AZ34" s="260" t="s">
        <v>168</v>
      </c>
      <c r="BA34" s="260" t="s">
        <v>168</v>
      </c>
      <c r="BB34" s="139"/>
      <c r="BC34" s="254" t="b">
        <v>1</v>
      </c>
      <c r="BD34" s="260">
        <v>6.8571428571428727E-2</v>
      </c>
      <c r="BE34" s="260" t="s">
        <v>168</v>
      </c>
      <c r="BF34" s="140"/>
    </row>
    <row r="35" spans="2:58" ht="11.1" customHeight="1">
      <c r="B35" s="93">
        <f t="shared" ca="1" si="9"/>
        <v>29</v>
      </c>
      <c r="C35" s="42" t="s">
        <v>88</v>
      </c>
      <c r="D35" s="43" t="s">
        <v>108</v>
      </c>
      <c r="E35" s="43" t="str">
        <f t="shared" si="6"/>
        <v>R</v>
      </c>
      <c r="F35" s="44">
        <f>Y35</f>
        <v>0.1</v>
      </c>
      <c r="G35" s="45">
        <f>AB35</f>
        <v>1.7098584023510555E-2</v>
      </c>
      <c r="H35" s="45">
        <f>F35 / AG35</f>
        <v>4.9554013875123893E-3</v>
      </c>
      <c r="I35" s="46" t="str">
        <f>IF( AND( ISNUMBER( $J35 ), ISNUMBER( $K35 ) ), IF( $J35 = $K35, "", IF( $J35 &gt; $K35, "é", "ê" ) ), "" )</f>
        <v>é</v>
      </c>
      <c r="J35" s="47">
        <f xml:space="preserve"> IF( F35 = AM35, AM35, F35 )</f>
        <v>0.1</v>
      </c>
      <c r="K35" s="47">
        <f t="shared" si="4"/>
        <v>0.04</v>
      </c>
      <c r="L35" s="48" t="str">
        <f xml:space="preserve"> IF( F35 = AM35, AO35, X35 )</f>
        <v>2024 Q4</v>
      </c>
      <c r="N35" s="254" t="b">
        <v>1</v>
      </c>
      <c r="O35" s="254" t="s">
        <v>58</v>
      </c>
      <c r="P35" s="254" t="s">
        <v>168</v>
      </c>
      <c r="Q35" s="254" t="s">
        <v>168</v>
      </c>
      <c r="R35" s="254" t="s">
        <v>168</v>
      </c>
      <c r="S35" s="254" t="s">
        <v>168</v>
      </c>
      <c r="T35" s="254" t="s">
        <v>168</v>
      </c>
      <c r="U35" s="255" t="s">
        <v>58</v>
      </c>
      <c r="V35" s="140"/>
      <c r="W35" s="254">
        <v>44</v>
      </c>
      <c r="X35" s="256" t="s">
        <v>302</v>
      </c>
      <c r="Y35" s="262">
        <v>0.1</v>
      </c>
      <c r="Z35" s="140"/>
      <c r="AA35" s="254">
        <v>44</v>
      </c>
      <c r="AB35" s="258">
        <v>1.7098584023510555E-2</v>
      </c>
      <c r="AC35" s="263">
        <v>-64000</v>
      </c>
      <c r="AD35" s="263">
        <v>3743000</v>
      </c>
      <c r="AE35" s="140"/>
      <c r="AF35" s="254">
        <v>44</v>
      </c>
      <c r="AG35" s="259">
        <v>20.18</v>
      </c>
      <c r="AH35" s="140"/>
      <c r="AI35" s="254">
        <v>44</v>
      </c>
      <c r="AJ35" s="257" t="s">
        <v>20</v>
      </c>
      <c r="AK35" s="140"/>
      <c r="AL35" s="254">
        <v>44</v>
      </c>
      <c r="AM35" s="262">
        <v>0.04</v>
      </c>
      <c r="AN35" s="262">
        <v>0</v>
      </c>
      <c r="AO35" s="256" t="s">
        <v>292</v>
      </c>
      <c r="AP35" s="140"/>
      <c r="AQ35" s="254" t="b">
        <v>1</v>
      </c>
      <c r="AR35" s="266"/>
      <c r="AS35" s="260" t="s">
        <v>168</v>
      </c>
      <c r="AT35" s="139"/>
      <c r="AU35" s="254" t="b">
        <v>0</v>
      </c>
      <c r="AV35" s="260" t="s">
        <v>168</v>
      </c>
      <c r="AW35" s="260" t="s">
        <v>168</v>
      </c>
      <c r="AX35" s="139"/>
      <c r="AY35" s="254" t="b">
        <v>0</v>
      </c>
      <c r="AZ35" s="260" t="s">
        <v>168</v>
      </c>
      <c r="BA35" s="260" t="s">
        <v>168</v>
      </c>
      <c r="BB35" s="139"/>
      <c r="BC35" s="254" t="b">
        <v>0</v>
      </c>
      <c r="BD35" s="260" t="s">
        <v>168</v>
      </c>
      <c r="BE35" s="260" t="s">
        <v>168</v>
      </c>
      <c r="BF35" s="140"/>
    </row>
    <row r="36" spans="2:58" ht="11.1" customHeight="1">
      <c r="B36" s="93">
        <f t="shared" ca="1" si="9"/>
        <v>30</v>
      </c>
      <c r="C36" s="42" t="s">
        <v>89</v>
      </c>
      <c r="D36" s="43" t="s">
        <v>49</v>
      </c>
      <c r="E36" s="43" t="str">
        <f t="shared" si="6"/>
        <v>R</v>
      </c>
      <c r="F36" s="44">
        <f t="shared" si="7"/>
        <v>3.58</v>
      </c>
      <c r="G36" s="45">
        <f t="shared" si="1"/>
        <v>0.64357018280049305</v>
      </c>
      <c r="H36" s="45">
        <f t="shared" si="2"/>
        <v>4.2231921670402267E-2</v>
      </c>
      <c r="I36" s="46" t="str">
        <f t="shared" si="8"/>
        <v>é</v>
      </c>
      <c r="J36" s="47">
        <f t="shared" si="3"/>
        <v>3.58</v>
      </c>
      <c r="K36" s="47">
        <f t="shared" si="4"/>
        <v>3.52</v>
      </c>
      <c r="L36" s="48" t="str">
        <f t="shared" si="5"/>
        <v>2024 Q4</v>
      </c>
      <c r="N36" s="254" t="b">
        <v>1</v>
      </c>
      <c r="O36" s="254" t="s">
        <v>58</v>
      </c>
      <c r="P36" s="254" t="s">
        <v>168</v>
      </c>
      <c r="Q36" s="254" t="s">
        <v>168</v>
      </c>
      <c r="R36" s="254" t="s">
        <v>168</v>
      </c>
      <c r="S36" s="254" t="s">
        <v>168</v>
      </c>
      <c r="T36" s="254" t="s">
        <v>168</v>
      </c>
      <c r="U36" s="255" t="s">
        <v>58</v>
      </c>
      <c r="V36" s="140"/>
      <c r="W36" s="254">
        <v>45</v>
      </c>
      <c r="X36" s="256" t="s">
        <v>302</v>
      </c>
      <c r="Y36" s="262">
        <v>3.58</v>
      </c>
      <c r="Z36" s="140"/>
      <c r="AA36" s="254">
        <v>45</v>
      </c>
      <c r="AB36" s="258">
        <v>0.64357018280049305</v>
      </c>
      <c r="AC36" s="263">
        <v>-392619</v>
      </c>
      <c r="AD36" s="263">
        <v>610064</v>
      </c>
      <c r="AE36" s="140"/>
      <c r="AF36" s="254">
        <v>45</v>
      </c>
      <c r="AG36" s="259">
        <v>84.77</v>
      </c>
      <c r="AH36" s="140"/>
      <c r="AI36" s="254">
        <v>45</v>
      </c>
      <c r="AJ36" s="257" t="s">
        <v>20</v>
      </c>
      <c r="AK36" s="140"/>
      <c r="AL36" s="254">
        <v>45</v>
      </c>
      <c r="AM36" s="262">
        <v>3.52</v>
      </c>
      <c r="AN36" s="262">
        <v>3.46</v>
      </c>
      <c r="AO36" s="256" t="s">
        <v>292</v>
      </c>
      <c r="AP36" s="140"/>
      <c r="AQ36" s="254" t="b">
        <v>1</v>
      </c>
      <c r="AR36" s="260">
        <v>1.7045454545454586E-2</v>
      </c>
      <c r="AS36" s="260" t="s">
        <v>168</v>
      </c>
      <c r="AT36" s="139"/>
      <c r="AU36" s="254" t="b">
        <v>0</v>
      </c>
      <c r="AV36" s="260" t="s">
        <v>168</v>
      </c>
      <c r="AW36" s="260" t="s">
        <v>168</v>
      </c>
      <c r="AX36" s="139"/>
      <c r="AY36" s="254" t="b">
        <v>0</v>
      </c>
      <c r="AZ36" s="260" t="s">
        <v>168</v>
      </c>
      <c r="BA36" s="260" t="s">
        <v>168</v>
      </c>
      <c r="BB36" s="139"/>
      <c r="BC36" s="254" t="b">
        <v>0</v>
      </c>
      <c r="BD36" s="260" t="s">
        <v>168</v>
      </c>
      <c r="BE36" s="260" t="s">
        <v>168</v>
      </c>
      <c r="BF36" s="140"/>
    </row>
    <row r="37" spans="2:58" ht="11.1" customHeight="1">
      <c r="B37" s="93">
        <f t="shared" ca="1" si="9"/>
        <v>31</v>
      </c>
      <c r="C37" s="42" t="s">
        <v>300</v>
      </c>
      <c r="D37" s="43" t="s">
        <v>301</v>
      </c>
      <c r="E37" s="43" t="str">
        <f t="shared" si="6"/>
        <v>R</v>
      </c>
      <c r="F37" s="44">
        <f t="shared" si="7"/>
        <v>1.63</v>
      </c>
      <c r="G37" s="45">
        <f t="shared" si="1"/>
        <v>0.52891337813262196</v>
      </c>
      <c r="H37" s="45">
        <f t="shared" si="2"/>
        <v>3.3150294895261334E-2</v>
      </c>
      <c r="I37" s="46" t="str">
        <f t="shared" si="8"/>
        <v>é</v>
      </c>
      <c r="J37" s="47">
        <f t="shared" si="3"/>
        <v>1.63</v>
      </c>
      <c r="K37" s="47">
        <f t="shared" si="4"/>
        <v>1.55</v>
      </c>
      <c r="L37" s="48" t="str">
        <f t="shared" si="5"/>
        <v>2024 Q4</v>
      </c>
      <c r="N37" s="254" t="b">
        <v>1</v>
      </c>
      <c r="O37" s="254" t="s">
        <v>58</v>
      </c>
      <c r="P37" s="254" t="s">
        <v>168</v>
      </c>
      <c r="Q37" s="254" t="s">
        <v>168</v>
      </c>
      <c r="R37" s="254" t="s">
        <v>168</v>
      </c>
      <c r="S37" s="254" t="s">
        <v>168</v>
      </c>
      <c r="T37" s="254" t="s">
        <v>168</v>
      </c>
      <c r="U37" s="255" t="s">
        <v>58</v>
      </c>
      <c r="V37" s="140"/>
      <c r="W37" s="254">
        <v>46</v>
      </c>
      <c r="X37" s="256" t="s">
        <v>302</v>
      </c>
      <c r="Y37" s="262">
        <v>1.63</v>
      </c>
      <c r="Z37" s="140"/>
      <c r="AA37" s="254">
        <v>46</v>
      </c>
      <c r="AB37" s="258">
        <v>0.52891337813262196</v>
      </c>
      <c r="AC37" s="263">
        <v>-136402</v>
      </c>
      <c r="AD37" s="263">
        <v>257891</v>
      </c>
      <c r="AE37" s="140"/>
      <c r="AF37" s="254">
        <v>46</v>
      </c>
      <c r="AG37" s="259">
        <v>49.17</v>
      </c>
      <c r="AH37" s="140"/>
      <c r="AI37" s="254">
        <v>46</v>
      </c>
      <c r="AJ37" s="257" t="s">
        <v>20</v>
      </c>
      <c r="AK37" s="140"/>
      <c r="AL37" s="254">
        <v>46</v>
      </c>
      <c r="AM37" s="262">
        <v>1.55</v>
      </c>
      <c r="AN37" s="262">
        <v>1.47</v>
      </c>
      <c r="AO37" s="256" t="s">
        <v>292</v>
      </c>
      <c r="AP37" s="140"/>
      <c r="AQ37" s="254" t="b">
        <v>1</v>
      </c>
      <c r="AR37" s="260">
        <v>5.1612903225806361E-2</v>
      </c>
      <c r="AS37" s="260" t="s">
        <v>168</v>
      </c>
      <c r="AT37" s="139"/>
      <c r="AU37" s="254" t="b">
        <v>0</v>
      </c>
      <c r="AV37" s="260" t="s">
        <v>168</v>
      </c>
      <c r="AW37" s="260" t="s">
        <v>168</v>
      </c>
      <c r="AX37" s="139"/>
      <c r="AY37" s="254" t="b">
        <v>0</v>
      </c>
      <c r="AZ37" s="260" t="s">
        <v>168</v>
      </c>
      <c r="BA37" s="260" t="s">
        <v>168</v>
      </c>
      <c r="BB37" s="139"/>
      <c r="BC37" s="254" t="b">
        <v>0</v>
      </c>
      <c r="BD37" s="260" t="s">
        <v>168</v>
      </c>
      <c r="BE37" s="260" t="s">
        <v>168</v>
      </c>
      <c r="BF37" s="140"/>
    </row>
    <row r="38" spans="2:58" ht="11.1" customHeight="1">
      <c r="B38" s="93">
        <f t="shared" ca="1" si="9"/>
        <v>32</v>
      </c>
      <c r="C38" s="42" t="s">
        <v>63</v>
      </c>
      <c r="D38" s="43" t="s">
        <v>64</v>
      </c>
      <c r="E38" s="43" t="str">
        <f t="shared" si="6"/>
        <v>R</v>
      </c>
      <c r="F38" s="44">
        <f t="shared" si="7"/>
        <v>2</v>
      </c>
      <c r="G38" s="45">
        <f t="shared" si="1"/>
        <v>0.5714285714285714</v>
      </c>
      <c r="H38" s="45">
        <f t="shared" si="2"/>
        <v>4.5850527281063737E-2</v>
      </c>
      <c r="I38" s="46" t="str">
        <f t="shared" si="8"/>
        <v>é</v>
      </c>
      <c r="J38" s="47">
        <f t="shared" si="3"/>
        <v>2</v>
      </c>
      <c r="K38" s="47">
        <f t="shared" si="4"/>
        <v>1.9</v>
      </c>
      <c r="L38" s="48" t="str">
        <f t="shared" si="5"/>
        <v>2024 Q2</v>
      </c>
      <c r="N38" s="254" t="b">
        <v>0</v>
      </c>
      <c r="O38" s="254" t="s">
        <v>168</v>
      </c>
      <c r="P38" s="254" t="s">
        <v>252</v>
      </c>
      <c r="Q38" s="254" t="s">
        <v>168</v>
      </c>
      <c r="R38" s="254" t="s">
        <v>168</v>
      </c>
      <c r="S38" s="254" t="s">
        <v>168</v>
      </c>
      <c r="T38" s="254" t="s">
        <v>168</v>
      </c>
      <c r="U38" s="255" t="s">
        <v>252</v>
      </c>
      <c r="V38" s="140"/>
      <c r="W38" s="254">
        <v>47</v>
      </c>
      <c r="X38" s="256" t="s">
        <v>302</v>
      </c>
      <c r="Y38" s="262">
        <v>2</v>
      </c>
      <c r="Z38" s="140"/>
      <c r="AA38" s="254">
        <v>47</v>
      </c>
      <c r="AB38" s="258">
        <v>0.5714285714285714</v>
      </c>
      <c r="AC38" s="263">
        <v>-196000</v>
      </c>
      <c r="AD38" s="263">
        <v>343000</v>
      </c>
      <c r="AE38" s="140"/>
      <c r="AF38" s="254">
        <v>47</v>
      </c>
      <c r="AG38" s="259">
        <v>43.62</v>
      </c>
      <c r="AH38" s="140"/>
      <c r="AI38" s="254">
        <v>47</v>
      </c>
      <c r="AJ38" s="257" t="s">
        <v>20</v>
      </c>
      <c r="AK38" s="140"/>
      <c r="AL38" s="254">
        <v>47</v>
      </c>
      <c r="AM38" s="262">
        <v>2</v>
      </c>
      <c r="AN38" s="262">
        <v>1.9</v>
      </c>
      <c r="AO38" s="256" t="s">
        <v>295</v>
      </c>
      <c r="AP38" s="140"/>
      <c r="AQ38" s="254" t="b">
        <v>0</v>
      </c>
      <c r="AR38" s="260" t="s">
        <v>168</v>
      </c>
      <c r="AS38" s="260" t="s">
        <v>168</v>
      </c>
      <c r="AT38" s="139"/>
      <c r="AU38" s="254" t="b">
        <v>0</v>
      </c>
      <c r="AV38" s="260" t="s">
        <v>168</v>
      </c>
      <c r="AW38" s="260" t="s">
        <v>168</v>
      </c>
      <c r="AX38" s="139"/>
      <c r="AY38" s="254" t="b">
        <v>1</v>
      </c>
      <c r="AZ38" s="260">
        <v>5.2631578947368363E-2</v>
      </c>
      <c r="BA38" s="260" t="s">
        <v>168</v>
      </c>
      <c r="BB38" s="139"/>
      <c r="BC38" s="254" t="b">
        <v>0</v>
      </c>
      <c r="BD38" s="260" t="s">
        <v>168</v>
      </c>
      <c r="BE38" s="260" t="s">
        <v>168</v>
      </c>
      <c r="BF38" s="140"/>
    </row>
    <row r="39" spans="2:58" ht="11.1" customHeight="1">
      <c r="B39" s="93">
        <f t="shared" ca="1" si="9"/>
        <v>33</v>
      </c>
      <c r="C39" s="42" t="s">
        <v>50</v>
      </c>
      <c r="D39" s="43" t="s">
        <v>90</v>
      </c>
      <c r="E39" s="43" t="str">
        <f t="shared" si="6"/>
        <v>R</v>
      </c>
      <c r="F39" s="44">
        <f t="shared" si="7"/>
        <v>1.03</v>
      </c>
      <c r="G39" s="45">
        <f t="shared" si="1"/>
        <v>0.51797040169133191</v>
      </c>
      <c r="H39" s="45">
        <f t="shared" si="2"/>
        <v>3.1731361675908808E-2</v>
      </c>
      <c r="I39" s="46" t="str">
        <f t="shared" si="8"/>
        <v>é</v>
      </c>
      <c r="J39" s="47">
        <f t="shared" si="3"/>
        <v>1.03</v>
      </c>
      <c r="K39" s="47">
        <f t="shared" si="4"/>
        <v>0.96</v>
      </c>
      <c r="L39" s="48" t="str">
        <f t="shared" si="5"/>
        <v>2024 Q1</v>
      </c>
      <c r="N39" s="254" t="b">
        <v>0</v>
      </c>
      <c r="O39" s="254" t="s">
        <v>168</v>
      </c>
      <c r="P39" s="254" t="s">
        <v>252</v>
      </c>
      <c r="Q39" s="254" t="s">
        <v>168</v>
      </c>
      <c r="R39" s="254" t="s">
        <v>168</v>
      </c>
      <c r="S39" s="254" t="s">
        <v>168</v>
      </c>
      <c r="T39" s="254" t="s">
        <v>168</v>
      </c>
      <c r="U39" s="255" t="s">
        <v>252</v>
      </c>
      <c r="V39" s="140"/>
      <c r="W39" s="254">
        <v>48</v>
      </c>
      <c r="X39" s="256" t="s">
        <v>302</v>
      </c>
      <c r="Y39" s="262">
        <v>1.03</v>
      </c>
      <c r="Z39" s="140"/>
      <c r="AA39" s="254">
        <v>48</v>
      </c>
      <c r="AB39" s="258">
        <v>0.51797040169133191</v>
      </c>
      <c r="AC39" s="263">
        <v>-735000</v>
      </c>
      <c r="AD39" s="263">
        <v>1419000</v>
      </c>
      <c r="AE39" s="140"/>
      <c r="AF39" s="254">
        <v>48</v>
      </c>
      <c r="AG39" s="259">
        <v>32.46</v>
      </c>
      <c r="AH39" s="140"/>
      <c r="AI39" s="254">
        <v>48</v>
      </c>
      <c r="AJ39" s="257" t="s">
        <v>20</v>
      </c>
      <c r="AK39" s="140"/>
      <c r="AL39" s="254">
        <v>48</v>
      </c>
      <c r="AM39" s="262">
        <v>1.03</v>
      </c>
      <c r="AN39" s="262">
        <v>0.96</v>
      </c>
      <c r="AO39" s="256" t="s">
        <v>291</v>
      </c>
      <c r="AP39" s="140"/>
      <c r="AQ39" s="254" t="b">
        <v>0</v>
      </c>
      <c r="AR39" s="260" t="s">
        <v>168</v>
      </c>
      <c r="AS39" s="260" t="s">
        <v>168</v>
      </c>
      <c r="AT39" s="139"/>
      <c r="AU39" s="254" t="b">
        <v>0</v>
      </c>
      <c r="AV39" s="260" t="s">
        <v>168</v>
      </c>
      <c r="AW39" s="260" t="s">
        <v>168</v>
      </c>
      <c r="AX39" s="139"/>
      <c r="AY39" s="254" t="b">
        <v>0</v>
      </c>
      <c r="AZ39" s="260" t="s">
        <v>168</v>
      </c>
      <c r="BA39" s="260" t="s">
        <v>168</v>
      </c>
      <c r="BB39" s="139"/>
      <c r="BC39" s="254" t="b">
        <v>1</v>
      </c>
      <c r="BD39" s="260">
        <v>7.2916666666666741E-2</v>
      </c>
      <c r="BE39" s="260" t="s">
        <v>168</v>
      </c>
      <c r="BF39" s="140"/>
    </row>
    <row r="40" spans="2:58" ht="11.1" customHeight="1">
      <c r="B40" s="93">
        <f t="shared" ca="1" si="9"/>
        <v>34</v>
      </c>
      <c r="C40" s="42" t="s">
        <v>91</v>
      </c>
      <c r="D40" s="43" t="s">
        <v>51</v>
      </c>
      <c r="E40" s="43" t="str">
        <f t="shared" si="6"/>
        <v>R</v>
      </c>
      <c r="F40" s="44">
        <f t="shared" si="7"/>
        <v>2.4</v>
      </c>
      <c r="G40" s="45">
        <f t="shared" si="1"/>
        <v>0.57920549288867096</v>
      </c>
      <c r="H40" s="45">
        <f t="shared" si="2"/>
        <v>2.840572848857853E-2</v>
      </c>
      <c r="I40" s="46" t="str">
        <f t="shared" si="8"/>
        <v>é</v>
      </c>
      <c r="J40" s="47">
        <f t="shared" si="3"/>
        <v>2.4</v>
      </c>
      <c r="K40" s="47">
        <f t="shared" si="4"/>
        <v>2.2799999999999998</v>
      </c>
      <c r="L40" s="48" t="str">
        <f t="shared" si="5"/>
        <v>2024 Q1</v>
      </c>
      <c r="N40" s="254" t="b">
        <v>0</v>
      </c>
      <c r="O40" s="254" t="s">
        <v>168</v>
      </c>
      <c r="P40" s="254" t="s">
        <v>252</v>
      </c>
      <c r="Q40" s="254" t="s">
        <v>168</v>
      </c>
      <c r="R40" s="254" t="s">
        <v>168</v>
      </c>
      <c r="S40" s="254" t="s">
        <v>168</v>
      </c>
      <c r="T40" s="254" t="s">
        <v>168</v>
      </c>
      <c r="U40" s="255" t="s">
        <v>252</v>
      </c>
      <c r="V40" s="140"/>
      <c r="W40" s="254">
        <v>49</v>
      </c>
      <c r="X40" s="256" t="s">
        <v>302</v>
      </c>
      <c r="Y40" s="262">
        <v>2.4</v>
      </c>
      <c r="Z40" s="140"/>
      <c r="AA40" s="254">
        <v>49</v>
      </c>
      <c r="AB40" s="258">
        <v>0.57920549288867096</v>
      </c>
      <c r="AC40" s="263">
        <v>-1181000</v>
      </c>
      <c r="AD40" s="263">
        <v>2039000</v>
      </c>
      <c r="AE40" s="140"/>
      <c r="AF40" s="254">
        <v>49</v>
      </c>
      <c r="AG40" s="259">
        <v>84.49</v>
      </c>
      <c r="AH40" s="140"/>
      <c r="AI40" s="254">
        <v>49</v>
      </c>
      <c r="AJ40" s="257" t="s">
        <v>20</v>
      </c>
      <c r="AK40" s="140"/>
      <c r="AL40" s="254">
        <v>49</v>
      </c>
      <c r="AM40" s="262">
        <v>2.4</v>
      </c>
      <c r="AN40" s="262">
        <v>2.2799999999999998</v>
      </c>
      <c r="AO40" s="256" t="s">
        <v>291</v>
      </c>
      <c r="AP40" s="140"/>
      <c r="AQ40" s="254" t="b">
        <v>0</v>
      </c>
      <c r="AR40" s="260" t="s">
        <v>168</v>
      </c>
      <c r="AS40" s="260" t="s">
        <v>168</v>
      </c>
      <c r="AT40" s="139"/>
      <c r="AU40" s="254" t="b">
        <v>0</v>
      </c>
      <c r="AV40" s="260" t="s">
        <v>168</v>
      </c>
      <c r="AW40" s="260" t="s">
        <v>168</v>
      </c>
      <c r="AX40" s="139"/>
      <c r="AY40" s="254" t="b">
        <v>0</v>
      </c>
      <c r="AZ40" s="260" t="s">
        <v>168</v>
      </c>
      <c r="BA40" s="260" t="s">
        <v>168</v>
      </c>
      <c r="BB40" s="139"/>
      <c r="BC40" s="254" t="b">
        <v>1</v>
      </c>
      <c r="BD40" s="260">
        <v>5.2631578947368363E-2</v>
      </c>
      <c r="BE40" s="260" t="s">
        <v>168</v>
      </c>
      <c r="BF40" s="140"/>
    </row>
    <row r="41" spans="2:58" ht="11.1" customHeight="1">
      <c r="B41" s="93">
        <f t="shared" ca="1" si="9"/>
        <v>35</v>
      </c>
      <c r="C41" s="42" t="s">
        <v>92</v>
      </c>
      <c r="D41" s="43" t="s">
        <v>52</v>
      </c>
      <c r="E41" s="43" t="str">
        <f t="shared" si="6"/>
        <v>R</v>
      </c>
      <c r="F41" s="44">
        <f t="shared" si="7"/>
        <v>2.48</v>
      </c>
      <c r="G41" s="45">
        <f t="shared" si="1"/>
        <v>0.44414735591206178</v>
      </c>
      <c r="H41" s="45">
        <f t="shared" si="2"/>
        <v>2.8271773825809393E-2</v>
      </c>
      <c r="I41" s="46" t="str">
        <f t="shared" si="8"/>
        <v>é</v>
      </c>
      <c r="J41" s="47">
        <f t="shared" si="3"/>
        <v>2.48</v>
      </c>
      <c r="K41" s="47">
        <f t="shared" si="4"/>
        <v>2.38</v>
      </c>
      <c r="L41" s="48" t="str">
        <f t="shared" si="5"/>
        <v>2024 Q1</v>
      </c>
      <c r="N41" s="254" t="b">
        <v>0</v>
      </c>
      <c r="O41" s="254" t="s">
        <v>168</v>
      </c>
      <c r="P41" s="254" t="s">
        <v>252</v>
      </c>
      <c r="Q41" s="254" t="s">
        <v>168</v>
      </c>
      <c r="R41" s="254" t="s">
        <v>168</v>
      </c>
      <c r="S41" s="254" t="s">
        <v>168</v>
      </c>
      <c r="T41" s="254" t="s">
        <v>168</v>
      </c>
      <c r="U41" s="255" t="s">
        <v>252</v>
      </c>
      <c r="V41" s="140"/>
      <c r="W41" s="254">
        <v>50</v>
      </c>
      <c r="X41" s="256" t="s">
        <v>302</v>
      </c>
      <c r="Y41" s="262">
        <v>2.48</v>
      </c>
      <c r="Z41" s="140"/>
      <c r="AA41" s="254">
        <v>50</v>
      </c>
      <c r="AB41" s="258">
        <v>0.44414735591206178</v>
      </c>
      <c r="AC41" s="263">
        <v>-1495000</v>
      </c>
      <c r="AD41" s="263">
        <v>3366000</v>
      </c>
      <c r="AE41" s="140"/>
      <c r="AF41" s="254">
        <v>50</v>
      </c>
      <c r="AG41" s="259">
        <v>87.72</v>
      </c>
      <c r="AH41" s="140"/>
      <c r="AI41" s="254">
        <v>50</v>
      </c>
      <c r="AJ41" s="257" t="s">
        <v>20</v>
      </c>
      <c r="AK41" s="140"/>
      <c r="AL41" s="254">
        <v>50</v>
      </c>
      <c r="AM41" s="262">
        <v>2.48</v>
      </c>
      <c r="AN41" s="262">
        <v>2.38</v>
      </c>
      <c r="AO41" s="256" t="s">
        <v>291</v>
      </c>
      <c r="AP41" s="140"/>
      <c r="AQ41" s="254" t="b">
        <v>0</v>
      </c>
      <c r="AR41" s="260" t="s">
        <v>168</v>
      </c>
      <c r="AS41" s="260" t="s">
        <v>168</v>
      </c>
      <c r="AT41" s="139"/>
      <c r="AU41" s="254" t="b">
        <v>0</v>
      </c>
      <c r="AV41" s="260" t="s">
        <v>168</v>
      </c>
      <c r="AW41" s="260" t="s">
        <v>168</v>
      </c>
      <c r="AX41" s="139"/>
      <c r="AY41" s="254" t="b">
        <v>0</v>
      </c>
      <c r="AZ41" s="260" t="s">
        <v>168</v>
      </c>
      <c r="BA41" s="260" t="s">
        <v>168</v>
      </c>
      <c r="BB41" s="139"/>
      <c r="BC41" s="254" t="b">
        <v>1</v>
      </c>
      <c r="BD41" s="260">
        <v>4.2016806722689148E-2</v>
      </c>
      <c r="BE41" s="260" t="s">
        <v>168</v>
      </c>
      <c r="BF41" s="140"/>
    </row>
    <row r="42" spans="2:58" ht="11.1" customHeight="1">
      <c r="B42" s="93">
        <f t="shared" ca="1" si="9"/>
        <v>36</v>
      </c>
      <c r="C42" s="42" t="s">
        <v>93</v>
      </c>
      <c r="D42" s="43" t="s">
        <v>53</v>
      </c>
      <c r="E42" s="43" t="str">
        <f t="shared" si="6"/>
        <v>R</v>
      </c>
      <c r="F42" s="44">
        <f t="shared" si="7"/>
        <v>2.88</v>
      </c>
      <c r="G42" s="45">
        <f t="shared" si="1"/>
        <v>0.68739921677032945</v>
      </c>
      <c r="H42" s="45">
        <f t="shared" si="2"/>
        <v>3.4985422740524783E-2</v>
      </c>
      <c r="I42" s="46" t="str">
        <f t="shared" si="8"/>
        <v>é</v>
      </c>
      <c r="J42" s="47">
        <f t="shared" si="3"/>
        <v>2.88</v>
      </c>
      <c r="K42" s="47">
        <f t="shared" si="4"/>
        <v>2.8</v>
      </c>
      <c r="L42" s="48" t="str">
        <f t="shared" si="5"/>
        <v>2024 Q2</v>
      </c>
      <c r="N42" s="254" t="b">
        <v>0</v>
      </c>
      <c r="O42" s="254" t="s">
        <v>168</v>
      </c>
      <c r="P42" s="254" t="s">
        <v>252</v>
      </c>
      <c r="Q42" s="254" t="s">
        <v>168</v>
      </c>
      <c r="R42" s="254" t="s">
        <v>168</v>
      </c>
      <c r="S42" s="254" t="s">
        <v>168</v>
      </c>
      <c r="T42" s="254" t="s">
        <v>168</v>
      </c>
      <c r="U42" s="255" t="s">
        <v>252</v>
      </c>
      <c r="V42" s="140"/>
      <c r="W42" s="254">
        <v>51</v>
      </c>
      <c r="X42" s="256" t="s">
        <v>302</v>
      </c>
      <c r="Y42" s="262">
        <v>2.88</v>
      </c>
      <c r="Z42" s="140"/>
      <c r="AA42" s="254">
        <v>51</v>
      </c>
      <c r="AB42" s="258">
        <v>0.68739921677032945</v>
      </c>
      <c r="AC42" s="263">
        <v>-2984000</v>
      </c>
      <c r="AD42" s="263">
        <v>4341000</v>
      </c>
      <c r="AE42" s="140"/>
      <c r="AF42" s="254">
        <v>51</v>
      </c>
      <c r="AG42" s="259">
        <v>82.32</v>
      </c>
      <c r="AH42" s="140"/>
      <c r="AI42" s="254">
        <v>51</v>
      </c>
      <c r="AJ42" s="257" t="s">
        <v>20</v>
      </c>
      <c r="AK42" s="140"/>
      <c r="AL42" s="254">
        <v>51</v>
      </c>
      <c r="AM42" s="262">
        <v>2.88</v>
      </c>
      <c r="AN42" s="262">
        <v>2.8</v>
      </c>
      <c r="AO42" s="256" t="s">
        <v>295</v>
      </c>
      <c r="AP42" s="140"/>
      <c r="AQ42" s="254" t="b">
        <v>0</v>
      </c>
      <c r="AR42" s="260" t="s">
        <v>168</v>
      </c>
      <c r="AS42" s="260" t="s">
        <v>168</v>
      </c>
      <c r="AT42" s="139"/>
      <c r="AU42" s="254" t="b">
        <v>0</v>
      </c>
      <c r="AV42" s="260" t="s">
        <v>168</v>
      </c>
      <c r="AW42" s="260" t="s">
        <v>168</v>
      </c>
      <c r="AX42" s="139"/>
      <c r="AY42" s="254" t="b">
        <v>1</v>
      </c>
      <c r="AZ42" s="260">
        <v>2.8571428571428692E-2</v>
      </c>
      <c r="BA42" s="260" t="s">
        <v>168</v>
      </c>
      <c r="BB42" s="139"/>
      <c r="BC42" s="254" t="b">
        <v>0</v>
      </c>
      <c r="BD42" s="260" t="s">
        <v>168</v>
      </c>
      <c r="BE42" s="260" t="s">
        <v>168</v>
      </c>
      <c r="BF42" s="140"/>
    </row>
    <row r="43" spans="2:58" ht="11.1" customHeight="1">
      <c r="B43" s="93">
        <f t="shared" ca="1" si="9"/>
        <v>37</v>
      </c>
      <c r="C43" s="42" t="s">
        <v>94</v>
      </c>
      <c r="D43" s="43" t="s">
        <v>54</v>
      </c>
      <c r="E43" s="43" t="str">
        <f t="shared" si="6"/>
        <v>R</v>
      </c>
      <c r="F43" s="44">
        <f t="shared" si="7"/>
        <v>1.7</v>
      </c>
      <c r="G43" s="45">
        <f t="shared" si="1"/>
        <v>0.5787234042553191</v>
      </c>
      <c r="H43" s="45">
        <f t="shared" si="2"/>
        <v>3.137110167927662E-2</v>
      </c>
      <c r="I43" s="46" t="str">
        <f t="shared" si="8"/>
        <v>é</v>
      </c>
      <c r="J43" s="47">
        <f t="shared" si="3"/>
        <v>1.7</v>
      </c>
      <c r="K43" s="47">
        <f t="shared" si="4"/>
        <v>1.62</v>
      </c>
      <c r="L43" s="48" t="str">
        <f t="shared" si="5"/>
        <v>2024 Q1</v>
      </c>
      <c r="N43" s="254" t="b">
        <v>0</v>
      </c>
      <c r="O43" s="254" t="s">
        <v>168</v>
      </c>
      <c r="P43" s="254" t="s">
        <v>252</v>
      </c>
      <c r="Q43" s="254" t="s">
        <v>168</v>
      </c>
      <c r="R43" s="254" t="s">
        <v>168</v>
      </c>
      <c r="S43" s="254" t="s">
        <v>168</v>
      </c>
      <c r="T43" s="254" t="s">
        <v>168</v>
      </c>
      <c r="U43" s="255" t="s">
        <v>252</v>
      </c>
      <c r="V43" s="140"/>
      <c r="W43" s="254">
        <v>52</v>
      </c>
      <c r="X43" s="256" t="s">
        <v>302</v>
      </c>
      <c r="Y43" s="262">
        <v>1.7</v>
      </c>
      <c r="Z43" s="140"/>
      <c r="AA43" s="254">
        <v>52</v>
      </c>
      <c r="AB43" s="258">
        <v>0.5787234042553191</v>
      </c>
      <c r="AC43" s="263">
        <v>-27200</v>
      </c>
      <c r="AD43" s="263">
        <v>47000</v>
      </c>
      <c r="AE43" s="140"/>
      <c r="AF43" s="254">
        <v>52</v>
      </c>
      <c r="AG43" s="259">
        <v>54.19</v>
      </c>
      <c r="AH43" s="140"/>
      <c r="AI43" s="254">
        <v>52</v>
      </c>
      <c r="AJ43" s="257" t="s">
        <v>20</v>
      </c>
      <c r="AK43" s="140"/>
      <c r="AL43" s="254">
        <v>52</v>
      </c>
      <c r="AM43" s="262">
        <v>1.7</v>
      </c>
      <c r="AN43" s="262">
        <v>1.62</v>
      </c>
      <c r="AO43" s="256" t="s">
        <v>291</v>
      </c>
      <c r="AP43" s="140"/>
      <c r="AQ43" s="254" t="b">
        <v>0</v>
      </c>
      <c r="AR43" s="260" t="s">
        <v>168</v>
      </c>
      <c r="AS43" s="260" t="s">
        <v>168</v>
      </c>
      <c r="AT43" s="139"/>
      <c r="AU43" s="254" t="b">
        <v>0</v>
      </c>
      <c r="AV43" s="260" t="s">
        <v>168</v>
      </c>
      <c r="AW43" s="260" t="s">
        <v>168</v>
      </c>
      <c r="AX43" s="139"/>
      <c r="AY43" s="254" t="b">
        <v>0</v>
      </c>
      <c r="AZ43" s="260" t="s">
        <v>168</v>
      </c>
      <c r="BA43" s="260" t="s">
        <v>168</v>
      </c>
      <c r="BB43" s="139"/>
      <c r="BC43" s="254" t="b">
        <v>1</v>
      </c>
      <c r="BD43" s="260">
        <v>4.9382716049382713E-2</v>
      </c>
      <c r="BE43" s="260" t="s">
        <v>168</v>
      </c>
      <c r="BF43" s="140"/>
    </row>
    <row r="44" spans="2:58" ht="11.1" customHeight="1">
      <c r="B44" s="93">
        <f t="shared" ca="1" si="9"/>
        <v>38</v>
      </c>
      <c r="C44" s="42" t="s">
        <v>186</v>
      </c>
      <c r="D44" s="43" t="s">
        <v>55</v>
      </c>
      <c r="E44" s="43" t="str">
        <f t="shared" si="6"/>
        <v>R</v>
      </c>
      <c r="F44" s="44">
        <f t="shared" si="7"/>
        <v>3.34</v>
      </c>
      <c r="G44" s="45">
        <f t="shared" si="1"/>
        <v>0.70631894321122157</v>
      </c>
      <c r="H44" s="45">
        <f t="shared" si="2"/>
        <v>3.5516801361122924E-2</v>
      </c>
      <c r="I44" s="46" t="str">
        <f t="shared" si="8"/>
        <v>é</v>
      </c>
      <c r="J44" s="47">
        <f t="shared" si="3"/>
        <v>3.34</v>
      </c>
      <c r="K44" s="47">
        <f t="shared" si="4"/>
        <v>3.12</v>
      </c>
      <c r="L44" s="48" t="str">
        <f t="shared" si="5"/>
        <v>2024 Q1</v>
      </c>
      <c r="N44" s="254" t="b">
        <v>0</v>
      </c>
      <c r="O44" s="254" t="s">
        <v>168</v>
      </c>
      <c r="P44" s="254" t="s">
        <v>252</v>
      </c>
      <c r="Q44" s="254" t="s">
        <v>168</v>
      </c>
      <c r="R44" s="254" t="s">
        <v>168</v>
      </c>
      <c r="S44" s="254" t="s">
        <v>168</v>
      </c>
      <c r="T44" s="254" t="s">
        <v>168</v>
      </c>
      <c r="U44" s="255" t="s">
        <v>252</v>
      </c>
      <c r="V44" s="140"/>
      <c r="W44" s="254">
        <v>53</v>
      </c>
      <c r="X44" s="256" t="s">
        <v>291</v>
      </c>
      <c r="Y44" s="262">
        <v>3.34</v>
      </c>
      <c r="Z44" s="140"/>
      <c r="AA44" s="254">
        <v>53</v>
      </c>
      <c r="AB44" s="258">
        <v>0.70631894321122157</v>
      </c>
      <c r="AC44" s="263">
        <v>-1037300</v>
      </c>
      <c r="AD44" s="263">
        <v>1468600</v>
      </c>
      <c r="AE44" s="140"/>
      <c r="AF44" s="254">
        <v>53</v>
      </c>
      <c r="AG44" s="259">
        <v>94.04</v>
      </c>
      <c r="AH44" s="140"/>
      <c r="AI44" s="254">
        <v>53</v>
      </c>
      <c r="AJ44" s="257" t="s">
        <v>20</v>
      </c>
      <c r="AK44" s="140"/>
      <c r="AL44" s="254">
        <v>53</v>
      </c>
      <c r="AM44" s="262">
        <v>3.34</v>
      </c>
      <c r="AN44" s="262">
        <v>3.12</v>
      </c>
      <c r="AO44" s="256" t="s">
        <v>291</v>
      </c>
      <c r="AP44" s="140"/>
      <c r="AQ44" s="254" t="b">
        <v>0</v>
      </c>
      <c r="AR44" s="260" t="s">
        <v>168</v>
      </c>
      <c r="AS44" s="260" t="s">
        <v>168</v>
      </c>
      <c r="AT44" s="139"/>
      <c r="AU44" s="254" t="b">
        <v>0</v>
      </c>
      <c r="AV44" s="260" t="s">
        <v>168</v>
      </c>
      <c r="AW44" s="260" t="s">
        <v>168</v>
      </c>
      <c r="AX44" s="139"/>
      <c r="AY44" s="254" t="b">
        <v>0</v>
      </c>
      <c r="AZ44" s="260" t="s">
        <v>168</v>
      </c>
      <c r="BA44" s="260" t="s">
        <v>168</v>
      </c>
      <c r="BB44" s="139"/>
      <c r="BC44" s="254" t="b">
        <v>1</v>
      </c>
      <c r="BD44" s="260">
        <v>7.0512820512820484E-2</v>
      </c>
      <c r="BE44" s="260" t="s">
        <v>168</v>
      </c>
      <c r="BF44" s="140"/>
    </row>
    <row r="45" spans="2:58" ht="11.1" customHeight="1">
      <c r="B45" s="93">
        <f t="shared" ca="1" si="9"/>
        <v>39</v>
      </c>
      <c r="C45" s="202" t="s">
        <v>104</v>
      </c>
      <c r="D45" s="203" t="s">
        <v>56</v>
      </c>
      <c r="E45" s="203" t="str">
        <f t="shared" si="6"/>
        <v>R</v>
      </c>
      <c r="F45" s="204">
        <f t="shared" si="7"/>
        <v>2.19</v>
      </c>
      <c r="G45" s="205">
        <f t="shared" si="1"/>
        <v>0.58802456499488232</v>
      </c>
      <c r="H45" s="205">
        <f t="shared" si="2"/>
        <v>3.2434834123222747E-2</v>
      </c>
      <c r="I45" s="206" t="str">
        <f t="shared" si="8"/>
        <v>é</v>
      </c>
      <c r="J45" s="207">
        <f t="shared" si="3"/>
        <v>2.19</v>
      </c>
      <c r="K45" s="207">
        <f t="shared" si="4"/>
        <v>2.08</v>
      </c>
      <c r="L45" s="208" t="str">
        <f t="shared" si="5"/>
        <v>2024 Q1</v>
      </c>
      <c r="N45" s="254" t="b">
        <v>0</v>
      </c>
      <c r="O45" s="254" t="s">
        <v>168</v>
      </c>
      <c r="P45" s="254" t="s">
        <v>252</v>
      </c>
      <c r="Q45" s="254" t="s">
        <v>168</v>
      </c>
      <c r="R45" s="254" t="s">
        <v>168</v>
      </c>
      <c r="S45" s="254" t="s">
        <v>168</v>
      </c>
      <c r="T45" s="254" t="s">
        <v>168</v>
      </c>
      <c r="U45" s="255" t="s">
        <v>252</v>
      </c>
      <c r="V45" s="140"/>
      <c r="W45" s="254">
        <v>54</v>
      </c>
      <c r="X45" s="256" t="s">
        <v>302</v>
      </c>
      <c r="Y45" s="262">
        <v>2.19</v>
      </c>
      <c r="Z45" s="140"/>
      <c r="AA45" s="254">
        <v>54</v>
      </c>
      <c r="AB45" s="258">
        <v>0.58802456499488232</v>
      </c>
      <c r="AC45" s="263">
        <v>-1149000</v>
      </c>
      <c r="AD45" s="263">
        <v>1954000</v>
      </c>
      <c r="AE45" s="140"/>
      <c r="AF45" s="254">
        <v>54</v>
      </c>
      <c r="AG45" s="259">
        <v>67.52</v>
      </c>
      <c r="AH45" s="140"/>
      <c r="AI45" s="254">
        <v>54</v>
      </c>
      <c r="AJ45" s="257" t="s">
        <v>20</v>
      </c>
      <c r="AK45" s="140"/>
      <c r="AL45" s="254">
        <v>54</v>
      </c>
      <c r="AM45" s="262">
        <v>2.19</v>
      </c>
      <c r="AN45" s="262">
        <v>2.08</v>
      </c>
      <c r="AO45" s="256" t="s">
        <v>291</v>
      </c>
      <c r="AP45" s="140"/>
      <c r="AQ45" s="254" t="b">
        <v>0</v>
      </c>
      <c r="AR45" s="260" t="s">
        <v>168</v>
      </c>
      <c r="AS45" s="260" t="s">
        <v>168</v>
      </c>
      <c r="AT45" s="139"/>
      <c r="AU45" s="254" t="b">
        <v>0</v>
      </c>
      <c r="AV45" s="260" t="s">
        <v>168</v>
      </c>
      <c r="AW45" s="260" t="s">
        <v>168</v>
      </c>
      <c r="AX45" s="139"/>
      <c r="AY45" s="254" t="b">
        <v>0</v>
      </c>
      <c r="AZ45" s="260" t="s">
        <v>168</v>
      </c>
      <c r="BA45" s="260" t="s">
        <v>168</v>
      </c>
      <c r="BB45" s="139"/>
      <c r="BC45" s="254" t="b">
        <v>1</v>
      </c>
      <c r="BD45" s="260">
        <v>5.2884615384615419E-2</v>
      </c>
      <c r="BE45" s="260" t="s">
        <v>168</v>
      </c>
      <c r="BF45" s="140"/>
    </row>
    <row r="46" spans="2:58" ht="11.1" customHeight="1">
      <c r="B46" s="93"/>
      <c r="N46" s="198"/>
      <c r="O46" s="198"/>
      <c r="P46" s="198"/>
      <c r="Q46" s="198"/>
      <c r="R46" s="198"/>
      <c r="S46" s="198"/>
      <c r="T46" s="198"/>
      <c r="U46" s="199"/>
      <c r="V46" s="140"/>
      <c r="W46" s="139"/>
      <c r="X46" s="139"/>
      <c r="Y46" s="200"/>
      <c r="Z46" s="140"/>
      <c r="AA46" s="139"/>
      <c r="AB46" s="201"/>
      <c r="AC46" s="201"/>
      <c r="AD46" s="201"/>
      <c r="AE46" s="140"/>
      <c r="AF46" s="139"/>
      <c r="AG46" s="201"/>
      <c r="AH46" s="140"/>
      <c r="AI46" s="139"/>
      <c r="AJ46" s="200"/>
      <c r="AK46" s="140"/>
      <c r="AL46" s="139"/>
      <c r="AM46" s="139"/>
      <c r="AN46" s="139"/>
      <c r="AO46" s="200"/>
      <c r="AP46" s="140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8"/>
    </row>
    <row r="47" spans="2:58" ht="11.1" customHeight="1">
      <c r="B47" s="93"/>
      <c r="C47" s="50" t="s">
        <v>57</v>
      </c>
      <c r="D47" s="31"/>
      <c r="E47" s="31"/>
      <c r="F47" s="50"/>
      <c r="G47" s="209">
        <f>AVERAGEIF(G7:G45,"&lt;&gt;0")</f>
        <v>0.61794492957051972</v>
      </c>
      <c r="H47" s="209">
        <f>AVERAGEIF(H6:H45,"&lt;&gt;0")</f>
        <v>3.584356711554168E-2</v>
      </c>
      <c r="I47" s="210"/>
      <c r="J47" s="50"/>
      <c r="K47" s="50"/>
      <c r="L47" s="50"/>
      <c r="M47" s="31"/>
      <c r="O47" s="31">
        <v>10</v>
      </c>
      <c r="P47" s="31">
        <v>28</v>
      </c>
      <c r="Q47" s="31">
        <v>0</v>
      </c>
      <c r="R47" s="31">
        <v>0</v>
      </c>
      <c r="S47" s="31">
        <v>0</v>
      </c>
      <c r="T47" s="31">
        <v>1</v>
      </c>
      <c r="U47" s="31">
        <v>39</v>
      </c>
      <c r="Y47" s="30"/>
      <c r="AA47" s="137">
        <v>56</v>
      </c>
      <c r="AB47" s="188">
        <v>0.59884989176509629</v>
      </c>
      <c r="AC47" s="264">
        <v>-33736965</v>
      </c>
      <c r="AD47" s="264">
        <v>56336263</v>
      </c>
      <c r="AQ47" s="272"/>
      <c r="AR47" s="268">
        <f>AVERAGE(AR7:AR45)</f>
        <v>4.8846940099001653E-2</v>
      </c>
      <c r="AS47" s="269" t="s">
        <v>193</v>
      </c>
      <c r="AT47" s="270"/>
      <c r="AU47" s="270"/>
      <c r="AV47" s="269"/>
      <c r="AW47" s="269"/>
      <c r="AX47" s="270"/>
      <c r="AY47" s="270"/>
      <c r="AZ47" s="269"/>
      <c r="BA47" s="269"/>
      <c r="BB47" s="270"/>
      <c r="BC47" s="270"/>
      <c r="BD47" s="273"/>
      <c r="BE47" s="269"/>
      <c r="BF47" s="140"/>
    </row>
    <row r="48" spans="2:58" ht="11.1" customHeight="1">
      <c r="B48" s="93"/>
      <c r="D48" s="30"/>
      <c r="E48" s="30"/>
      <c r="G48" s="49"/>
      <c r="H48" s="49"/>
      <c r="I48" s="33"/>
      <c r="U48" s="30"/>
      <c r="Y48" s="30"/>
      <c r="AB48" s="31" t="s">
        <v>260</v>
      </c>
      <c r="AQ48" s="272"/>
      <c r="AR48" s="270">
        <v>10</v>
      </c>
      <c r="AS48" s="270">
        <v>0</v>
      </c>
      <c r="AT48" s="272"/>
      <c r="AU48" s="272"/>
      <c r="AV48" s="270"/>
      <c r="AW48" s="270"/>
      <c r="AX48" s="272"/>
      <c r="AY48" s="272"/>
      <c r="AZ48" s="270"/>
      <c r="BA48" s="270"/>
      <c r="BB48" s="272"/>
      <c r="BC48" s="272"/>
      <c r="BD48" s="270"/>
      <c r="BE48" s="270"/>
      <c r="BF48" s="140"/>
    </row>
    <row r="49" spans="2:58" ht="11.1" customHeight="1">
      <c r="B49" s="93"/>
      <c r="D49" s="30"/>
      <c r="E49" s="30"/>
      <c r="G49" s="49"/>
      <c r="H49" s="49"/>
      <c r="I49" s="33"/>
      <c r="N49" s="139"/>
      <c r="O49" s="139"/>
      <c r="P49" s="139"/>
      <c r="Q49" s="139"/>
      <c r="R49" s="139"/>
      <c r="S49" s="139"/>
      <c r="T49" s="139"/>
      <c r="U49" s="179"/>
      <c r="V49" s="140"/>
      <c r="W49" s="139"/>
      <c r="X49" s="139"/>
      <c r="Y49" s="179"/>
      <c r="Z49" s="140"/>
      <c r="AA49" s="139"/>
      <c r="AB49" s="179"/>
      <c r="AC49" s="179"/>
      <c r="AD49" s="179"/>
      <c r="AE49" s="140"/>
      <c r="AF49" s="139"/>
      <c r="AG49" s="179"/>
      <c r="AH49" s="140"/>
      <c r="AI49" s="139"/>
      <c r="AJ49" s="139"/>
      <c r="AK49" s="140"/>
      <c r="AL49" s="139"/>
      <c r="AM49" s="139"/>
      <c r="AN49" s="139"/>
      <c r="AO49" s="139"/>
      <c r="AP49" s="140"/>
      <c r="AQ49" s="139"/>
      <c r="AR49" s="139"/>
      <c r="AS49" s="139"/>
      <c r="AT49" s="140"/>
      <c r="AU49" s="139"/>
      <c r="AV49" s="139"/>
      <c r="AW49" s="139"/>
      <c r="AX49" s="140"/>
      <c r="AY49" s="139"/>
      <c r="AZ49" s="139"/>
      <c r="BA49" s="139"/>
      <c r="BB49" s="140"/>
      <c r="BC49" s="139"/>
      <c r="BD49" s="139"/>
      <c r="BE49" s="139"/>
      <c r="BF49" s="140"/>
    </row>
    <row r="50" spans="2:58" ht="11.1" customHeight="1">
      <c r="C50" s="50" t="s">
        <v>71</v>
      </c>
      <c r="N50" s="139"/>
      <c r="O50" s="139"/>
      <c r="P50" s="139"/>
      <c r="Q50" s="139"/>
      <c r="R50" s="139"/>
      <c r="S50" s="139"/>
      <c r="T50" s="139"/>
      <c r="U50" s="179"/>
      <c r="V50" s="140"/>
      <c r="W50" s="139"/>
      <c r="X50" s="139"/>
      <c r="Y50" s="179"/>
      <c r="Z50" s="140"/>
      <c r="AA50" s="139"/>
      <c r="AB50" s="179"/>
      <c r="AC50" s="179"/>
      <c r="AD50" s="179"/>
      <c r="AE50" s="140"/>
      <c r="AF50" s="139"/>
      <c r="AG50" s="179"/>
      <c r="AH50" s="140"/>
      <c r="AI50" s="139"/>
      <c r="AJ50" s="139"/>
      <c r="AK50" s="140"/>
      <c r="AL50" s="139"/>
      <c r="AM50" s="139"/>
      <c r="AN50" s="139"/>
      <c r="AO50" s="139"/>
      <c r="AP50" s="140"/>
      <c r="AQ50" s="290" t="s">
        <v>305</v>
      </c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0"/>
      <c r="BD50" s="290"/>
      <c r="BE50" s="290"/>
      <c r="BF50" s="140"/>
    </row>
    <row r="51" spans="2:58" ht="11.1" customHeight="1">
      <c r="C51" s="50"/>
      <c r="N51" s="139"/>
      <c r="O51" s="139"/>
      <c r="P51" s="139"/>
      <c r="Q51" s="139"/>
      <c r="R51" s="139"/>
      <c r="S51" s="139"/>
      <c r="T51" s="139"/>
      <c r="U51" s="179"/>
      <c r="V51" s="140"/>
      <c r="W51" s="139"/>
      <c r="X51" s="139"/>
      <c r="Y51" s="179"/>
      <c r="Z51" s="140"/>
      <c r="AA51" s="139"/>
      <c r="AB51" s="179"/>
      <c r="AC51" s="179"/>
      <c r="AD51" s="179"/>
      <c r="AE51" s="140"/>
      <c r="AF51" s="139"/>
      <c r="AG51" s="179"/>
      <c r="AH51" s="140"/>
      <c r="AI51" s="139"/>
      <c r="AJ51" s="139"/>
      <c r="AK51" s="140"/>
      <c r="AL51" s="139"/>
      <c r="AM51" s="139"/>
      <c r="AN51" s="139"/>
      <c r="AO51" s="139"/>
      <c r="AP51" s="140"/>
      <c r="AQ51" s="290" t="s">
        <v>306</v>
      </c>
      <c r="AR51" s="290"/>
      <c r="AS51" s="290"/>
      <c r="AT51" s="290"/>
      <c r="AU51" s="290"/>
      <c r="AV51" s="290"/>
      <c r="AW51" s="290"/>
      <c r="AX51" s="290"/>
      <c r="AY51" s="290"/>
      <c r="AZ51" s="290"/>
      <c r="BA51" s="290"/>
      <c r="BB51" s="290"/>
      <c r="BC51" s="290"/>
      <c r="BD51" s="290"/>
      <c r="BE51" s="290"/>
      <c r="BF51" s="140"/>
    </row>
    <row r="52" spans="2:58" ht="11.1" customHeight="1">
      <c r="C52" s="51" t="s">
        <v>72</v>
      </c>
      <c r="H52" s="49"/>
      <c r="I52" s="33"/>
      <c r="N52" s="137"/>
      <c r="O52" s="137"/>
      <c r="P52" s="137"/>
      <c r="Q52" s="137"/>
      <c r="R52" s="137"/>
      <c r="S52" s="137"/>
      <c r="T52" s="137"/>
      <c r="U52" s="179"/>
      <c r="V52" s="140"/>
      <c r="W52" s="137"/>
      <c r="X52" s="137"/>
      <c r="Y52" s="179"/>
      <c r="Z52" s="140"/>
      <c r="AA52" s="137"/>
      <c r="AB52" s="179"/>
      <c r="AC52" s="179"/>
      <c r="AD52" s="179"/>
      <c r="AE52" s="140"/>
      <c r="AF52" s="137"/>
      <c r="AG52" s="179"/>
      <c r="AH52" s="140"/>
      <c r="AI52" s="137"/>
      <c r="AJ52" s="139"/>
      <c r="AK52" s="140"/>
      <c r="AL52" s="137"/>
      <c r="AM52" s="137"/>
      <c r="AN52" s="137"/>
      <c r="AO52" s="139"/>
      <c r="AP52" s="140"/>
      <c r="AQ52" s="290" t="s">
        <v>308</v>
      </c>
      <c r="AR52" s="290"/>
      <c r="AS52" s="290"/>
      <c r="AT52" s="290"/>
      <c r="AU52" s="290"/>
      <c r="AV52" s="290"/>
      <c r="AW52" s="290"/>
      <c r="AX52" s="290"/>
      <c r="AY52" s="290"/>
      <c r="AZ52" s="290"/>
      <c r="BA52" s="290"/>
      <c r="BB52" s="290"/>
      <c r="BC52" s="290"/>
      <c r="BD52" s="290"/>
      <c r="BE52" s="290"/>
      <c r="BF52" s="140"/>
    </row>
    <row r="53" spans="2:58" ht="11.1" customHeight="1">
      <c r="C53" s="52" t="str">
        <f>"Assets as of "&amp;TEXT(Date_Business_Segmentation,"m/dd/yyyy")</f>
        <v>Assets as of 12/31/2023</v>
      </c>
      <c r="D53" s="30"/>
      <c r="E53" s="30"/>
      <c r="N53" s="189"/>
      <c r="O53" s="189"/>
      <c r="P53" s="189"/>
      <c r="Q53" s="189"/>
      <c r="R53" s="189"/>
      <c r="S53" s="189"/>
      <c r="T53" s="189"/>
      <c r="U53" s="179"/>
      <c r="V53" s="140"/>
      <c r="W53" s="189"/>
      <c r="X53" s="189"/>
      <c r="Y53" s="179"/>
      <c r="Z53" s="140"/>
      <c r="AA53" s="189"/>
      <c r="AB53" s="179"/>
      <c r="AC53" s="179"/>
      <c r="AD53" s="179"/>
      <c r="AE53" s="140"/>
      <c r="AF53" s="189"/>
      <c r="AG53" s="179"/>
      <c r="AH53" s="140"/>
      <c r="AI53" s="189"/>
      <c r="AJ53" s="139"/>
      <c r="AK53" s="140"/>
      <c r="AL53" s="189"/>
      <c r="AM53" s="189"/>
      <c r="AN53" s="189"/>
      <c r="AO53" s="139"/>
      <c r="AP53" s="140"/>
      <c r="AQ53" s="290" t="s">
        <v>307</v>
      </c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290"/>
      <c r="BC53" s="290"/>
      <c r="BD53" s="290"/>
      <c r="BE53" s="290"/>
      <c r="BF53" s="140"/>
    </row>
    <row r="54" spans="2:58" ht="11.1" customHeight="1">
      <c r="C54" s="80" t="s">
        <v>210</v>
      </c>
      <c r="D54" s="30"/>
      <c r="E54" s="30"/>
      <c r="H54" s="49"/>
      <c r="I54" s="33"/>
      <c r="N54" s="190"/>
      <c r="O54" s="190"/>
      <c r="P54" s="190"/>
      <c r="Q54" s="190"/>
      <c r="R54" s="190"/>
      <c r="S54" s="190"/>
      <c r="T54" s="190"/>
      <c r="U54" s="179"/>
      <c r="V54" s="140"/>
      <c r="W54" s="190"/>
      <c r="X54" s="190"/>
      <c r="Y54" s="179"/>
      <c r="Z54" s="140"/>
      <c r="AA54" s="190"/>
      <c r="AB54" s="179"/>
      <c r="AC54" s="179"/>
      <c r="AD54" s="179"/>
      <c r="AE54" s="140"/>
      <c r="AF54" s="190"/>
      <c r="AG54" s="179"/>
      <c r="AH54" s="140"/>
      <c r="AI54" s="190"/>
      <c r="AJ54" s="139"/>
      <c r="AK54" s="140"/>
      <c r="AL54" s="190"/>
      <c r="AM54" s="190"/>
      <c r="AN54" s="190"/>
      <c r="AO54" s="139"/>
      <c r="AP54" s="140"/>
      <c r="AQ54" s="290" t="s">
        <v>304</v>
      </c>
      <c r="AR54" s="290"/>
      <c r="AS54" s="290"/>
      <c r="AT54" s="290"/>
      <c r="AU54" s="290"/>
      <c r="AV54" s="290"/>
      <c r="AW54" s="290"/>
      <c r="AX54" s="290"/>
      <c r="AY54" s="290"/>
      <c r="AZ54" s="290"/>
      <c r="BA54" s="290"/>
      <c r="BB54" s="290"/>
      <c r="BC54" s="290"/>
      <c r="BD54" s="290"/>
      <c r="BE54" s="290"/>
      <c r="BF54" s="140"/>
    </row>
    <row r="55" spans="2:58" ht="11.1" customHeight="1">
      <c r="C55" s="80" t="s">
        <v>211</v>
      </c>
      <c r="D55" s="30"/>
      <c r="E55" s="30"/>
      <c r="N55" s="191"/>
      <c r="O55" s="191"/>
      <c r="P55" s="191"/>
      <c r="Q55" s="191"/>
      <c r="R55" s="191"/>
      <c r="S55" s="191"/>
      <c r="T55" s="191"/>
      <c r="U55" s="179"/>
      <c r="V55" s="140"/>
      <c r="W55" s="191"/>
      <c r="X55" s="191"/>
      <c r="Y55" s="179"/>
      <c r="Z55" s="140"/>
      <c r="AA55" s="191"/>
      <c r="AB55" s="179"/>
      <c r="AC55" s="179"/>
      <c r="AD55" s="179"/>
      <c r="AE55" s="140"/>
      <c r="AF55" s="191"/>
      <c r="AG55" s="179"/>
      <c r="AH55" s="140"/>
      <c r="AI55" s="191"/>
      <c r="AJ55" s="139"/>
      <c r="AK55" s="140"/>
      <c r="AL55" s="191"/>
      <c r="AM55" s="191"/>
      <c r="AN55" s="191"/>
      <c r="AO55" s="139"/>
      <c r="AP55" s="140"/>
      <c r="AU55" s="191"/>
      <c r="BF55" s="140"/>
    </row>
    <row r="56" spans="2:58" ht="11.1" customHeight="1">
      <c r="C56" s="52"/>
      <c r="D56" s="30"/>
      <c r="E56" s="30"/>
      <c r="I56" s="33"/>
      <c r="N56" s="191"/>
      <c r="O56" s="191"/>
      <c r="P56" s="191"/>
      <c r="Q56" s="191"/>
      <c r="R56" s="191"/>
      <c r="S56" s="191"/>
      <c r="T56" s="191"/>
      <c r="U56" s="179"/>
      <c r="V56" s="140"/>
      <c r="W56" s="191"/>
      <c r="X56" s="191"/>
      <c r="Y56" s="179"/>
      <c r="Z56" s="140"/>
      <c r="AA56" s="191"/>
      <c r="AB56" s="179"/>
      <c r="AC56" s="179"/>
      <c r="AD56" s="179"/>
      <c r="AE56" s="140"/>
      <c r="AF56" s="191"/>
      <c r="AG56" s="179"/>
      <c r="AH56" s="140"/>
      <c r="AI56" s="191"/>
      <c r="AJ56" s="139"/>
      <c r="AK56" s="140"/>
      <c r="AL56" s="191"/>
      <c r="AM56" s="191"/>
      <c r="AN56" s="191"/>
      <c r="AO56" s="139"/>
      <c r="AP56" s="140"/>
      <c r="AQ56" s="191"/>
      <c r="AR56" s="191"/>
      <c r="AS56" s="191"/>
      <c r="AT56" s="140"/>
      <c r="AV56" s="191"/>
      <c r="AW56" s="191"/>
      <c r="AX56" s="140"/>
      <c r="AY56" s="191"/>
      <c r="AZ56" s="191"/>
      <c r="BA56" s="191"/>
      <c r="BB56" s="140"/>
      <c r="BC56" s="191"/>
      <c r="BD56" s="191"/>
      <c r="BE56" s="191"/>
      <c r="BF56" s="140"/>
    </row>
    <row r="57" spans="2:58" ht="11.1" customHeight="1">
      <c r="C57" s="51" t="s">
        <v>95</v>
      </c>
      <c r="D57" s="30"/>
      <c r="E57" s="30"/>
      <c r="I57" s="33"/>
      <c r="N57" s="190"/>
      <c r="O57" s="190"/>
      <c r="P57" s="190"/>
      <c r="Q57" s="190"/>
      <c r="R57" s="190"/>
      <c r="S57" s="190"/>
      <c r="T57" s="190"/>
      <c r="U57" s="179"/>
      <c r="V57" s="140"/>
      <c r="W57" s="190"/>
      <c r="X57" s="190"/>
      <c r="Y57" s="179"/>
      <c r="Z57" s="140"/>
      <c r="AA57" s="190"/>
      <c r="AB57" s="179"/>
      <c r="AC57" s="179"/>
      <c r="AD57" s="179"/>
      <c r="AE57" s="140"/>
      <c r="AF57" s="190"/>
      <c r="AG57" s="179"/>
      <c r="AH57" s="140"/>
      <c r="AI57" s="190"/>
      <c r="AJ57" s="139"/>
      <c r="AK57" s="140"/>
      <c r="AL57" s="190"/>
      <c r="AM57" s="190"/>
      <c r="AN57" s="190"/>
      <c r="AO57" s="139"/>
      <c r="AP57" s="140"/>
      <c r="AQ57" s="190"/>
      <c r="AR57" s="190"/>
      <c r="AS57" s="190"/>
      <c r="AT57" s="140"/>
      <c r="AU57" s="190"/>
      <c r="AV57" s="190"/>
      <c r="AW57" s="190"/>
      <c r="AX57" s="140"/>
      <c r="AY57" s="190"/>
      <c r="AZ57" s="190"/>
      <c r="BA57" s="190"/>
      <c r="BB57" s="140"/>
      <c r="BC57" s="190"/>
      <c r="BD57" s="190"/>
      <c r="BE57" s="190"/>
      <c r="BF57" s="140"/>
    </row>
    <row r="58" spans="2:58" ht="11.1" customHeight="1">
      <c r="C58" s="52" t="str">
        <f>"Per share amounts are annualized declared figures as of "&amp;TEXT(Date_EOP_Current,"m/dd/yyyy")&amp;". N/A = Not Applicable."</f>
        <v>Per share amounts are annualized declared figures as of 12/31/2024. N/A = Not Applicable.</v>
      </c>
      <c r="D58" s="30"/>
      <c r="E58" s="30"/>
      <c r="I58" s="33"/>
      <c r="N58" s="189"/>
      <c r="O58" s="189"/>
      <c r="P58" s="189"/>
      <c r="Q58" s="189"/>
      <c r="R58" s="189"/>
      <c r="S58" s="189"/>
      <c r="T58" s="189"/>
      <c r="U58" s="179"/>
      <c r="V58" s="140"/>
      <c r="W58" s="189"/>
      <c r="X58" s="189"/>
      <c r="Y58" s="179"/>
      <c r="Z58" s="140"/>
      <c r="AA58" s="189"/>
      <c r="AB58" s="179"/>
      <c r="AC58" s="179"/>
      <c r="AD58" s="179"/>
      <c r="AE58" s="140"/>
      <c r="AF58" s="189"/>
      <c r="AG58" s="179"/>
      <c r="AH58" s="140"/>
      <c r="AI58" s="189"/>
      <c r="AJ58" s="139"/>
      <c r="AK58" s="140"/>
      <c r="AL58" s="189"/>
      <c r="AM58" s="189"/>
      <c r="AN58" s="189"/>
      <c r="AO58" s="139"/>
      <c r="AP58" s="140"/>
      <c r="AQ58" s="189"/>
      <c r="AR58" s="189"/>
      <c r="AS58" s="189"/>
      <c r="AT58" s="140"/>
      <c r="AU58" s="189"/>
      <c r="AV58" s="189"/>
      <c r="AW58" s="189"/>
      <c r="AX58" s="140"/>
      <c r="AY58" s="189"/>
      <c r="AZ58" s="189"/>
      <c r="BA58" s="189"/>
      <c r="BB58" s="140"/>
      <c r="BC58" s="189"/>
      <c r="BD58" s="189"/>
      <c r="BE58" s="189"/>
      <c r="BF58" s="140"/>
    </row>
    <row r="59" spans="2:58" ht="11.1" customHeight="1">
      <c r="D59" s="30"/>
      <c r="E59" s="30"/>
      <c r="I59" s="33"/>
      <c r="N59" s="190"/>
      <c r="O59" s="190"/>
      <c r="P59" s="190"/>
      <c r="Q59" s="190"/>
      <c r="R59" s="190"/>
      <c r="S59" s="190"/>
      <c r="T59" s="190"/>
      <c r="U59" s="179"/>
      <c r="V59" s="140"/>
      <c r="W59" s="190"/>
      <c r="X59" s="190"/>
      <c r="Y59" s="179"/>
      <c r="Z59" s="140"/>
      <c r="AA59" s="190"/>
      <c r="AB59" s="179"/>
      <c r="AC59" s="179"/>
      <c r="AD59" s="179"/>
      <c r="AE59" s="140"/>
      <c r="AF59" s="190"/>
      <c r="AG59" s="179"/>
      <c r="AH59" s="140"/>
      <c r="AI59" s="190"/>
      <c r="AJ59" s="139"/>
      <c r="AK59" s="140"/>
      <c r="AL59" s="190"/>
      <c r="AM59" s="190"/>
      <c r="AN59" s="190"/>
      <c r="AO59" s="139"/>
      <c r="AP59" s="140"/>
      <c r="AQ59" s="190"/>
      <c r="AR59" s="190"/>
      <c r="AS59" s="190"/>
      <c r="AT59" s="140"/>
      <c r="AU59" s="190"/>
      <c r="AV59" s="190"/>
      <c r="AW59" s="190"/>
      <c r="AX59" s="140"/>
      <c r="AY59" s="190"/>
      <c r="AZ59" s="190"/>
      <c r="BA59" s="190"/>
      <c r="BB59" s="140"/>
      <c r="BC59" s="190"/>
      <c r="BD59" s="190"/>
      <c r="BE59" s="190"/>
      <c r="BF59" s="140"/>
    </row>
    <row r="60" spans="2:58" ht="11.1" customHeight="1">
      <c r="C60" s="51" t="s">
        <v>0</v>
      </c>
      <c r="D60" s="30"/>
      <c r="E60" s="30"/>
      <c r="I60" s="33"/>
      <c r="N60" s="190"/>
      <c r="O60" s="190"/>
      <c r="P60" s="190"/>
      <c r="Q60" s="190"/>
      <c r="R60" s="190"/>
      <c r="S60" s="190"/>
      <c r="T60" s="190"/>
      <c r="U60" s="179"/>
      <c r="V60" s="140"/>
      <c r="W60" s="190"/>
      <c r="X60" s="190"/>
      <c r="Y60" s="179"/>
      <c r="Z60" s="140"/>
      <c r="AA60" s="190"/>
      <c r="AB60" s="179"/>
      <c r="AC60" s="179"/>
      <c r="AD60" s="179"/>
      <c r="AE60" s="140"/>
      <c r="AF60" s="190"/>
      <c r="AG60" s="179"/>
      <c r="AH60" s="140"/>
      <c r="AI60" s="190"/>
      <c r="AJ60" s="139"/>
      <c r="AK60" s="140"/>
      <c r="AL60" s="190"/>
      <c r="AM60" s="190"/>
      <c r="AN60" s="190"/>
      <c r="AO60" s="139"/>
      <c r="AP60" s="140"/>
      <c r="AQ60" s="190"/>
      <c r="AR60" s="190"/>
      <c r="AS60" s="190"/>
      <c r="AT60" s="140"/>
      <c r="AU60" s="190"/>
      <c r="AV60" s="190"/>
      <c r="AW60" s="190"/>
      <c r="AX60" s="140"/>
      <c r="AY60" s="190"/>
      <c r="AZ60" s="190"/>
      <c r="BA60" s="190"/>
      <c r="BB60" s="140"/>
      <c r="BC60" s="190"/>
      <c r="BD60" s="190"/>
      <c r="BE60" s="190"/>
      <c r="BF60" s="140"/>
    </row>
    <row r="61" spans="2:58" ht="11.1" customHeight="1">
      <c r="C61" s="52" t="str">
        <f>"Dividends paid for 12 months ended "&amp;TEXT(Date_Payout_Ratio,"m/dd/yyyy")&amp;" divided by net income before nonrecurring and extraordinary items for 12 months ended "&amp;TEXT(Date_Payout_Ratio,"m/dd/yyyy")&amp;"."</f>
        <v>Dividends paid for 12 months ended 9/30/2024 divided by net income before nonrecurring and extraordinary items for 12 months ended 9/30/2024.</v>
      </c>
      <c r="D61" s="30"/>
      <c r="E61" s="30"/>
      <c r="I61" s="33"/>
      <c r="N61" s="189"/>
      <c r="O61" s="189"/>
      <c r="P61" s="189"/>
      <c r="Q61" s="189"/>
      <c r="R61" s="189"/>
      <c r="S61" s="189"/>
      <c r="T61" s="189"/>
      <c r="U61" s="179"/>
      <c r="V61" s="140"/>
      <c r="W61" s="189"/>
      <c r="X61" s="189"/>
      <c r="Y61" s="179"/>
      <c r="Z61" s="140"/>
      <c r="AA61" s="189"/>
      <c r="AB61" s="179"/>
      <c r="AC61" s="179"/>
      <c r="AD61" s="179"/>
      <c r="AE61" s="140"/>
      <c r="AF61" s="189"/>
      <c r="AG61" s="179"/>
      <c r="AH61" s="140"/>
      <c r="AI61" s="189"/>
      <c r="AJ61" s="139"/>
      <c r="AK61" s="140"/>
      <c r="AL61" s="189"/>
      <c r="AM61" s="189"/>
      <c r="AN61" s="189"/>
      <c r="AO61" s="139"/>
      <c r="AP61" s="140"/>
      <c r="AQ61" s="189"/>
      <c r="AR61" s="189"/>
      <c r="AS61" s="189"/>
      <c r="AT61" s="140"/>
      <c r="AU61" s="189"/>
      <c r="AV61" s="189"/>
      <c r="AW61" s="189"/>
      <c r="AX61" s="140"/>
      <c r="AY61" s="189"/>
      <c r="AZ61" s="189"/>
      <c r="BA61" s="189"/>
      <c r="BB61" s="140"/>
      <c r="BC61" s="189"/>
      <c r="BD61" s="189"/>
      <c r="BE61" s="189"/>
      <c r="BF61" s="140"/>
    </row>
    <row r="62" spans="2:58" ht="11.1" customHeight="1">
      <c r="C62" s="52" t="s">
        <v>175</v>
      </c>
      <c r="D62" s="30"/>
      <c r="E62" s="30"/>
      <c r="I62" s="33"/>
      <c r="N62" s="190"/>
      <c r="O62" s="190"/>
      <c r="P62" s="190"/>
      <c r="Q62" s="190"/>
      <c r="R62" s="190"/>
      <c r="S62" s="190"/>
      <c r="T62" s="190"/>
      <c r="U62" s="179"/>
      <c r="V62" s="140"/>
      <c r="W62" s="190"/>
      <c r="X62" s="190"/>
      <c r="Y62" s="179"/>
      <c r="Z62" s="140"/>
      <c r="AA62" s="190"/>
      <c r="AB62" s="179"/>
      <c r="AC62" s="179"/>
      <c r="AD62" s="179"/>
      <c r="AE62" s="140"/>
      <c r="AF62" s="190"/>
      <c r="AG62" s="179"/>
      <c r="AH62" s="140"/>
      <c r="AI62" s="190"/>
      <c r="AJ62" s="139"/>
      <c r="AK62" s="140"/>
      <c r="AL62" s="190"/>
      <c r="AM62" s="190"/>
      <c r="AN62" s="190"/>
      <c r="AO62" s="139"/>
      <c r="AP62" s="140"/>
      <c r="AQ62" s="190"/>
      <c r="AR62" s="190"/>
      <c r="AS62" s="190"/>
      <c r="AT62" s="140"/>
      <c r="AU62" s="190"/>
      <c r="AV62" s="190"/>
      <c r="AW62" s="190"/>
      <c r="AX62" s="140"/>
      <c r="AY62" s="190"/>
      <c r="AZ62" s="190"/>
      <c r="BA62" s="190"/>
      <c r="BB62" s="140"/>
      <c r="BC62" s="190"/>
      <c r="BD62" s="190"/>
      <c r="BE62" s="190"/>
      <c r="BF62" s="140"/>
    </row>
    <row r="63" spans="2:58" ht="11.1" customHeight="1">
      <c r="C63" s="52" t="s">
        <v>176</v>
      </c>
      <c r="D63" s="30"/>
      <c r="E63" s="30"/>
      <c r="I63" s="33"/>
      <c r="N63" s="190"/>
      <c r="O63" s="190"/>
      <c r="P63" s="190"/>
      <c r="Q63" s="190"/>
      <c r="R63" s="190"/>
      <c r="S63" s="190"/>
      <c r="T63" s="190"/>
      <c r="U63" s="179"/>
      <c r="V63" s="140"/>
      <c r="W63" s="190"/>
      <c r="X63" s="190"/>
      <c r="Y63" s="179"/>
      <c r="Z63" s="140"/>
      <c r="AA63" s="190"/>
      <c r="AB63" s="179"/>
      <c r="AC63" s="179"/>
      <c r="AD63" s="179"/>
      <c r="AE63" s="140"/>
      <c r="AF63" s="190"/>
      <c r="AG63" s="179"/>
      <c r="AH63" s="140"/>
      <c r="AI63" s="190"/>
      <c r="AJ63" s="139"/>
      <c r="AK63" s="140"/>
      <c r="AL63" s="190"/>
      <c r="AM63" s="190"/>
      <c r="AN63" s="190"/>
      <c r="AO63" s="139"/>
      <c r="AP63" s="140"/>
      <c r="AQ63" s="190"/>
      <c r="AR63" s="190"/>
      <c r="AS63" s="190"/>
      <c r="AT63" s="140"/>
      <c r="AU63" s="190"/>
      <c r="AV63" s="190"/>
      <c r="AW63" s="190"/>
      <c r="AX63" s="140"/>
      <c r="AY63" s="190"/>
      <c r="AZ63" s="190"/>
      <c r="BA63" s="190"/>
      <c r="BB63" s="140"/>
      <c r="BC63" s="190"/>
      <c r="BD63" s="190"/>
      <c r="BE63" s="190"/>
      <c r="BF63" s="140"/>
    </row>
    <row r="64" spans="2:58" ht="11.1" customHeight="1">
      <c r="C64" s="52" t="s">
        <v>96</v>
      </c>
      <c r="D64" s="30"/>
      <c r="E64" s="30"/>
      <c r="I64" s="33"/>
      <c r="N64" s="190"/>
      <c r="O64" s="190"/>
      <c r="P64" s="190"/>
      <c r="Q64" s="190"/>
      <c r="R64" s="190"/>
      <c r="S64" s="190"/>
      <c r="T64" s="190"/>
      <c r="U64" s="179"/>
      <c r="V64" s="140"/>
      <c r="W64" s="190"/>
      <c r="X64" s="190"/>
      <c r="Y64" s="179"/>
      <c r="Z64" s="140"/>
      <c r="AA64" s="190"/>
      <c r="AB64" s="179"/>
      <c r="AC64" s="179"/>
      <c r="AD64" s="179"/>
      <c r="AE64" s="140"/>
      <c r="AF64" s="190"/>
      <c r="AG64" s="179"/>
      <c r="AH64" s="140"/>
      <c r="AI64" s="190"/>
      <c r="AJ64" s="139"/>
      <c r="AK64" s="140"/>
      <c r="AL64" s="190"/>
      <c r="AM64" s="190"/>
      <c r="AN64" s="190"/>
      <c r="AO64" s="139"/>
      <c r="AP64" s="140"/>
      <c r="AQ64" s="190"/>
      <c r="AR64" s="190"/>
      <c r="AS64" s="190"/>
      <c r="AT64" s="140"/>
      <c r="AU64" s="190"/>
      <c r="AV64" s="190"/>
      <c r="AW64" s="190"/>
      <c r="AX64" s="140"/>
      <c r="AY64" s="190"/>
      <c r="AZ64" s="190"/>
      <c r="BA64" s="190"/>
      <c r="BB64" s="140"/>
      <c r="BC64" s="190"/>
      <c r="BD64" s="190"/>
      <c r="BE64" s="190"/>
      <c r="BF64" s="140"/>
    </row>
    <row r="65" spans="1:58" ht="11.1" customHeight="1">
      <c r="C65" s="52"/>
      <c r="D65" s="30"/>
      <c r="E65" s="30"/>
      <c r="I65" s="33"/>
      <c r="N65" s="189"/>
      <c r="O65" s="189"/>
      <c r="P65" s="189"/>
      <c r="Q65" s="189"/>
      <c r="R65" s="189"/>
      <c r="S65" s="189"/>
      <c r="T65" s="189"/>
      <c r="U65" s="179"/>
      <c r="V65" s="140"/>
      <c r="W65" s="189"/>
      <c r="X65" s="189"/>
      <c r="Y65" s="179"/>
      <c r="Z65" s="140"/>
      <c r="AA65" s="189"/>
      <c r="AB65" s="179"/>
      <c r="AC65" s="179"/>
      <c r="AD65" s="179"/>
      <c r="AE65" s="140"/>
      <c r="AF65" s="189"/>
      <c r="AG65" s="179"/>
      <c r="AH65" s="140"/>
      <c r="AI65" s="189"/>
      <c r="AJ65" s="139"/>
      <c r="AK65" s="140"/>
      <c r="AL65" s="189"/>
      <c r="AM65" s="189"/>
      <c r="AN65" s="189"/>
      <c r="AO65" s="139"/>
      <c r="AP65" s="140"/>
      <c r="AQ65" s="189"/>
      <c r="AR65" s="189"/>
      <c r="AS65" s="189"/>
      <c r="AT65" s="140"/>
      <c r="AU65" s="189"/>
      <c r="AV65" s="189"/>
      <c r="AW65" s="189"/>
      <c r="AX65" s="140"/>
      <c r="AY65" s="189"/>
      <c r="AZ65" s="189"/>
      <c r="BA65" s="189"/>
      <c r="BB65" s="140"/>
      <c r="BC65" s="189"/>
      <c r="BD65" s="189"/>
      <c r="BE65" s="189"/>
      <c r="BF65" s="140"/>
    </row>
    <row r="66" spans="1:58" ht="11.1" customHeight="1">
      <c r="C66" s="51" t="s">
        <v>3</v>
      </c>
      <c r="D66" s="30"/>
      <c r="E66" s="30"/>
      <c r="I66" s="33"/>
      <c r="N66" s="190"/>
      <c r="O66" s="190"/>
      <c r="P66" s="190"/>
      <c r="Q66" s="190"/>
      <c r="R66" s="190"/>
      <c r="S66" s="190"/>
      <c r="T66" s="190"/>
      <c r="U66" s="179"/>
      <c r="V66" s="140"/>
      <c r="W66" s="190"/>
      <c r="X66" s="190"/>
      <c r="Y66" s="179"/>
      <c r="Z66" s="140"/>
      <c r="AA66" s="190"/>
      <c r="AB66" s="179"/>
      <c r="AC66" s="179"/>
      <c r="AD66" s="179"/>
      <c r="AE66" s="140"/>
      <c r="AF66" s="190"/>
      <c r="AG66" s="179"/>
      <c r="AH66" s="140"/>
      <c r="AI66" s="190"/>
      <c r="AJ66" s="139"/>
      <c r="AK66" s="140"/>
      <c r="AL66" s="190"/>
      <c r="AM66" s="190"/>
      <c r="AN66" s="190"/>
      <c r="AO66" s="139"/>
      <c r="AP66" s="140"/>
      <c r="AQ66" s="190"/>
      <c r="AR66" s="190"/>
      <c r="AS66" s="190"/>
      <c r="AT66" s="140"/>
      <c r="AU66" s="190"/>
      <c r="AV66" s="190"/>
      <c r="AW66" s="190"/>
      <c r="AX66" s="140"/>
      <c r="AY66" s="190"/>
      <c r="AZ66" s="190"/>
      <c r="BA66" s="190"/>
      <c r="BB66" s="140"/>
      <c r="BC66" s="190"/>
      <c r="BD66" s="190"/>
      <c r="BE66" s="190"/>
      <c r="BF66" s="140"/>
    </row>
    <row r="67" spans="1:58" ht="11.1" customHeight="1">
      <c r="C67" s="52" t="str">
        <f>"Annualized Dividends Per Share at "&amp;TEXT(Date_EOP_Current,"m/dd/yyyy")&amp;" divided by stock price at market close on "&amp;TEXT(Date_EOP_Current,"m/dd/yyyy")&amp;"."</f>
        <v>Annualized Dividends Per Share at 12/31/2024 divided by stock price at market close on 12/31/2024.</v>
      </c>
      <c r="D67" s="30"/>
      <c r="E67" s="30"/>
      <c r="I67" s="33"/>
      <c r="N67" s="139"/>
      <c r="O67" s="139"/>
      <c r="P67" s="139"/>
      <c r="Q67" s="139"/>
      <c r="R67" s="139"/>
      <c r="S67" s="139"/>
      <c r="T67" s="139"/>
      <c r="U67" s="179"/>
      <c r="V67" s="140"/>
      <c r="W67" s="139"/>
      <c r="X67" s="139"/>
      <c r="Y67" s="179"/>
      <c r="Z67" s="140"/>
      <c r="AA67" s="139"/>
      <c r="AB67" s="179"/>
      <c r="AC67" s="179"/>
      <c r="AD67" s="179"/>
      <c r="AE67" s="140"/>
      <c r="AF67" s="139"/>
      <c r="AG67" s="179"/>
      <c r="AH67" s="140"/>
      <c r="AI67" s="139"/>
      <c r="AJ67" s="139"/>
      <c r="AK67" s="140"/>
      <c r="AL67" s="139"/>
      <c r="AM67" s="139"/>
      <c r="AN67" s="139"/>
      <c r="AO67" s="139"/>
      <c r="AP67" s="140"/>
      <c r="AQ67" s="139"/>
      <c r="AR67" s="139"/>
      <c r="AS67" s="139"/>
      <c r="AT67" s="140"/>
      <c r="AU67" s="139"/>
      <c r="AV67" s="139"/>
      <c r="AW67" s="139"/>
      <c r="AX67" s="140"/>
      <c r="AY67" s="139"/>
      <c r="AZ67" s="139"/>
      <c r="BA67" s="139"/>
      <c r="BB67" s="140"/>
      <c r="BC67" s="139"/>
      <c r="BD67" s="139"/>
      <c r="BE67" s="139"/>
      <c r="BF67" s="140"/>
    </row>
    <row r="68" spans="1:58" ht="11.1" customHeight="1">
      <c r="N68" s="139"/>
      <c r="O68" s="139"/>
      <c r="P68" s="139"/>
      <c r="Q68" s="139"/>
      <c r="R68" s="139"/>
      <c r="S68" s="139"/>
      <c r="T68" s="139"/>
      <c r="U68" s="179"/>
      <c r="V68" s="140"/>
      <c r="W68" s="139"/>
      <c r="X68" s="139"/>
      <c r="Y68" s="179"/>
      <c r="Z68" s="140"/>
      <c r="AA68" s="139"/>
      <c r="AB68" s="179"/>
      <c r="AC68" s="179"/>
      <c r="AD68" s="179"/>
      <c r="AE68" s="140"/>
      <c r="AF68" s="139"/>
      <c r="AG68" s="179"/>
      <c r="AH68" s="140"/>
      <c r="AI68" s="139"/>
      <c r="AJ68" s="139"/>
      <c r="AK68" s="140"/>
      <c r="AL68" s="139"/>
      <c r="AM68" s="139"/>
      <c r="AN68" s="139"/>
      <c r="AO68" s="139"/>
      <c r="AP68" s="140"/>
      <c r="AQ68" s="139"/>
      <c r="AR68" s="139"/>
      <c r="AS68" s="139"/>
      <c r="AT68" s="140"/>
      <c r="AU68" s="139"/>
      <c r="AV68" s="139"/>
      <c r="AW68" s="139"/>
      <c r="AX68" s="140"/>
      <c r="AY68" s="139"/>
      <c r="AZ68" s="139"/>
      <c r="BA68" s="139"/>
      <c r="BB68" s="140"/>
      <c r="BC68" s="139"/>
      <c r="BD68" s="139"/>
      <c r="BE68" s="139"/>
      <c r="BF68" s="140"/>
    </row>
    <row r="69" spans="1:58" ht="11.1" customHeight="1">
      <c r="C69" s="51" t="s">
        <v>160</v>
      </c>
      <c r="N69" s="139"/>
      <c r="O69" s="139"/>
      <c r="P69" s="139"/>
      <c r="Q69" s="139"/>
      <c r="R69" s="139"/>
      <c r="S69" s="139"/>
      <c r="T69" s="139"/>
      <c r="U69" s="179"/>
      <c r="V69" s="140"/>
      <c r="W69" s="139"/>
      <c r="X69" s="139"/>
      <c r="Y69" s="179"/>
      <c r="Z69" s="140"/>
      <c r="AA69" s="139"/>
      <c r="AB69" s="179"/>
      <c r="AC69" s="179"/>
      <c r="AD69" s="179"/>
      <c r="AE69" s="140"/>
      <c r="AF69" s="139"/>
      <c r="AG69" s="179"/>
      <c r="AH69" s="140"/>
      <c r="AI69" s="139"/>
      <c r="AJ69" s="139"/>
      <c r="AK69" s="140"/>
      <c r="AL69" s="139"/>
      <c r="AM69" s="139"/>
      <c r="AN69" s="139"/>
      <c r="AO69" s="139"/>
      <c r="AP69" s="140"/>
      <c r="AQ69" s="139"/>
      <c r="AR69" s="139"/>
      <c r="AS69" s="139"/>
      <c r="AT69" s="140"/>
      <c r="AU69" s="139"/>
      <c r="AV69" s="139"/>
      <c r="AW69" s="139"/>
      <c r="AX69" s="140"/>
      <c r="AY69" s="139"/>
      <c r="AZ69" s="139"/>
      <c r="BA69" s="139"/>
      <c r="BB69" s="140"/>
      <c r="BC69" s="139"/>
      <c r="BD69" s="139"/>
      <c r="BE69" s="139"/>
      <c r="BF69" s="140"/>
    </row>
    <row r="70" spans="1:58" ht="11.1" customHeight="1">
      <c r="C70" s="52" t="s">
        <v>161</v>
      </c>
      <c r="N70" s="139"/>
      <c r="O70" s="139"/>
      <c r="P70" s="139"/>
      <c r="Q70" s="139"/>
      <c r="R70" s="139"/>
      <c r="S70" s="139"/>
      <c r="T70" s="139"/>
      <c r="U70" s="179"/>
      <c r="V70" s="140"/>
      <c r="W70" s="139"/>
      <c r="X70" s="139"/>
      <c r="Y70" s="179"/>
      <c r="Z70" s="140"/>
      <c r="AA70" s="139"/>
      <c r="AB70" s="179"/>
      <c r="AC70" s="179"/>
      <c r="AD70" s="179"/>
      <c r="AE70" s="140"/>
      <c r="AF70" s="139"/>
      <c r="AG70" s="179"/>
      <c r="AH70" s="140"/>
      <c r="AI70" s="139"/>
      <c r="AJ70" s="139"/>
      <c r="AK70" s="140"/>
      <c r="AL70" s="139"/>
      <c r="AM70" s="139"/>
      <c r="AN70" s="139"/>
      <c r="AO70" s="139"/>
      <c r="AP70" s="140"/>
      <c r="AQ70" s="139"/>
      <c r="AR70" s="139"/>
      <c r="AS70" s="139"/>
      <c r="AT70" s="140"/>
      <c r="AU70" s="139"/>
      <c r="AV70" s="139"/>
      <c r="AW70" s="139"/>
      <c r="AX70" s="140"/>
      <c r="AY70" s="139"/>
      <c r="AZ70" s="139"/>
      <c r="BA70" s="139"/>
      <c r="BB70" s="140"/>
      <c r="BC70" s="139"/>
      <c r="BD70" s="139"/>
      <c r="BE70" s="139"/>
      <c r="BF70" s="140"/>
    </row>
    <row r="71" spans="1:58" ht="11.1" customHeight="1">
      <c r="C71" s="52"/>
      <c r="N71" s="139"/>
      <c r="O71" s="139"/>
      <c r="P71" s="139"/>
      <c r="Q71" s="139"/>
      <c r="R71" s="139"/>
      <c r="S71" s="139"/>
      <c r="T71" s="139"/>
      <c r="U71" s="179"/>
      <c r="V71" s="140"/>
      <c r="W71" s="139"/>
      <c r="X71" s="139"/>
      <c r="Y71" s="179"/>
      <c r="Z71" s="140"/>
      <c r="AA71" s="139"/>
      <c r="AB71" s="179"/>
      <c r="AC71" s="179"/>
      <c r="AD71" s="179"/>
      <c r="AE71" s="140"/>
      <c r="AF71" s="139"/>
      <c r="AG71" s="179"/>
      <c r="AH71" s="140"/>
      <c r="AI71" s="139"/>
      <c r="AJ71" s="139"/>
      <c r="AK71" s="140"/>
      <c r="AL71" s="139"/>
      <c r="AM71" s="139"/>
      <c r="AN71" s="139"/>
      <c r="AO71" s="139"/>
      <c r="AP71" s="140"/>
      <c r="AQ71" s="139"/>
      <c r="AR71" s="139"/>
      <c r="AS71" s="139"/>
      <c r="AT71" s="140"/>
      <c r="AU71" s="139"/>
      <c r="AV71" s="139"/>
      <c r="AW71" s="139"/>
      <c r="AX71" s="140"/>
      <c r="AY71" s="139"/>
      <c r="AZ71" s="139"/>
      <c r="BA71" s="139"/>
      <c r="BB71" s="140"/>
      <c r="BC71" s="139"/>
      <c r="BD71" s="139"/>
      <c r="BE71" s="139"/>
      <c r="BF71" s="140"/>
    </row>
    <row r="72" spans="1:58" ht="11.1" customHeight="1">
      <c r="B72" s="53"/>
      <c r="C72" s="52"/>
      <c r="D72" s="82" t="s">
        <v>162</v>
      </c>
      <c r="E72" s="83" t="s">
        <v>64</v>
      </c>
      <c r="F72" s="83" t="s">
        <v>127</v>
      </c>
      <c r="N72" s="190"/>
      <c r="O72" s="190"/>
      <c r="P72" s="190"/>
      <c r="Q72" s="190"/>
      <c r="R72" s="190"/>
      <c r="S72" s="190"/>
      <c r="T72" s="190"/>
      <c r="U72" s="179"/>
      <c r="V72" s="192"/>
      <c r="W72" s="193"/>
      <c r="X72" s="193"/>
      <c r="Y72" s="194"/>
      <c r="Z72" s="140"/>
      <c r="AA72" s="193"/>
      <c r="AB72" s="194"/>
      <c r="AC72" s="194"/>
      <c r="AD72" s="194"/>
      <c r="AE72" s="140"/>
      <c r="AF72" s="193"/>
      <c r="AG72" s="194"/>
      <c r="AH72" s="140"/>
      <c r="AI72" s="193"/>
      <c r="AJ72" s="193"/>
      <c r="AK72" s="140"/>
      <c r="AL72" s="193"/>
      <c r="AM72" s="193"/>
      <c r="AN72" s="193"/>
      <c r="AO72" s="193"/>
      <c r="AP72" s="140"/>
      <c r="AQ72" s="190"/>
      <c r="AR72" s="190"/>
      <c r="AS72" s="190"/>
      <c r="AT72" s="140"/>
      <c r="AU72" s="190"/>
      <c r="AV72" s="190"/>
      <c r="AW72" s="190"/>
      <c r="AX72" s="140"/>
      <c r="AY72" s="190"/>
      <c r="AZ72" s="190"/>
      <c r="BA72" s="190"/>
      <c r="BB72" s="140"/>
      <c r="BC72" s="190"/>
      <c r="BD72" s="190"/>
      <c r="BE72" s="190"/>
      <c r="BF72" s="140"/>
    </row>
    <row r="73" spans="1:58" ht="11.1" customHeight="1">
      <c r="A73" s="53"/>
      <c r="B73" s="53"/>
      <c r="D73" s="211" t="s">
        <v>20</v>
      </c>
      <c r="E73" s="212">
        <f>AVERAGEIFS($G$7:$G$45,$E$7:$E$45,D73,$G$7:$G$45,"&lt;&gt;0")</f>
        <v>0.6096379706385251</v>
      </c>
      <c r="F73" s="212">
        <f>AVERAGEIFS($H$7:$H$45,$E$7:$E$45,D73,$H$7:$H$45,"&lt;&gt;0")</f>
        <v>3.5962381970944389E-2</v>
      </c>
      <c r="H73" s="26"/>
      <c r="I73" s="81"/>
      <c r="J73" s="53"/>
      <c r="K73" s="53"/>
      <c r="L73" s="53"/>
      <c r="M73" s="54"/>
      <c r="N73" s="190"/>
      <c r="O73" s="190"/>
      <c r="P73" s="190"/>
      <c r="Q73" s="190"/>
      <c r="R73" s="190"/>
      <c r="S73" s="190"/>
      <c r="T73" s="190"/>
      <c r="U73" s="179"/>
      <c r="V73" s="192"/>
      <c r="W73" s="193"/>
      <c r="X73" s="193"/>
      <c r="Y73" s="194"/>
      <c r="Z73" s="192"/>
      <c r="AA73" s="193"/>
      <c r="AB73" s="194"/>
      <c r="AC73" s="194"/>
      <c r="AD73" s="194"/>
      <c r="AE73" s="192"/>
      <c r="AF73" s="193"/>
      <c r="AG73" s="194"/>
      <c r="AH73" s="192"/>
      <c r="AI73" s="193"/>
      <c r="AJ73" s="193"/>
      <c r="AK73" s="192"/>
      <c r="AL73" s="193"/>
      <c r="AM73" s="193"/>
      <c r="AN73" s="193"/>
      <c r="AO73" s="193"/>
      <c r="AP73" s="192"/>
      <c r="AQ73" s="190"/>
      <c r="AR73" s="190"/>
      <c r="AS73" s="190"/>
      <c r="AT73" s="192"/>
      <c r="AU73" s="190"/>
      <c r="AV73" s="190"/>
      <c r="AW73" s="190"/>
      <c r="AX73" s="192"/>
      <c r="AY73" s="190"/>
      <c r="AZ73" s="190"/>
      <c r="BA73" s="190"/>
      <c r="BB73" s="192"/>
      <c r="BC73" s="190"/>
      <c r="BD73" s="190"/>
      <c r="BE73" s="190"/>
      <c r="BF73" s="192"/>
    </row>
    <row r="74" spans="1:58" s="53" customFormat="1" ht="11.1" customHeight="1">
      <c r="D74" s="91" t="s">
        <v>17</v>
      </c>
      <c r="E74" s="213">
        <f>AVERAGEIFS($G$7:$G$45,$E$7:$E$45,D74,$G$7:$G$45,"&lt;&gt;0")</f>
        <v>0.67277085852168383</v>
      </c>
      <c r="F74" s="213">
        <f>AVERAGEIFS($H$7:$H$45,$E$7:$E$45,D74,$H$7:$H$45,"&lt;&gt;0")</f>
        <v>3.5059389069883803E-2</v>
      </c>
      <c r="I74" s="81"/>
      <c r="M74" s="54"/>
      <c r="N74" s="190"/>
      <c r="O74" s="190"/>
      <c r="P74" s="190"/>
      <c r="Q74" s="190"/>
      <c r="R74" s="190"/>
      <c r="S74" s="190"/>
      <c r="T74" s="190"/>
      <c r="U74" s="179"/>
      <c r="V74" s="192"/>
      <c r="W74" s="193"/>
      <c r="X74" s="193"/>
      <c r="Y74" s="194"/>
      <c r="Z74" s="192"/>
      <c r="AA74" s="193"/>
      <c r="AB74" s="194"/>
      <c r="AC74" s="194"/>
      <c r="AD74" s="194"/>
      <c r="AE74" s="192"/>
      <c r="AF74" s="193"/>
      <c r="AG74" s="194"/>
      <c r="AH74" s="192"/>
      <c r="AI74" s="193"/>
      <c r="AJ74" s="193"/>
      <c r="AK74" s="192"/>
      <c r="AL74" s="193"/>
      <c r="AM74" s="193"/>
      <c r="AN74" s="193"/>
      <c r="AO74" s="193"/>
      <c r="AP74" s="192"/>
      <c r="AQ74" s="190"/>
      <c r="AR74" s="190"/>
      <c r="AS74" s="190"/>
      <c r="AT74" s="192"/>
      <c r="AU74" s="190"/>
      <c r="AV74" s="190"/>
      <c r="AW74" s="190"/>
      <c r="AX74" s="192"/>
      <c r="AY74" s="190"/>
      <c r="AZ74" s="190"/>
      <c r="BA74" s="190"/>
      <c r="BB74" s="192"/>
      <c r="BC74" s="190"/>
      <c r="BD74" s="190"/>
      <c r="BE74" s="190"/>
      <c r="BF74" s="192"/>
    </row>
    <row r="75" spans="1:58" s="53" customFormat="1" ht="11.1" customHeight="1">
      <c r="A75" s="26"/>
      <c r="B75" s="26"/>
      <c r="C75" s="26"/>
      <c r="D75" s="26"/>
      <c r="E75" s="26"/>
      <c r="F75" s="26"/>
      <c r="G75" s="26"/>
      <c r="H75" s="32"/>
      <c r="I75" s="26"/>
      <c r="J75" s="26"/>
      <c r="K75" s="26"/>
      <c r="L75" s="26"/>
      <c r="M75" s="30"/>
      <c r="N75" s="139"/>
      <c r="O75" s="139"/>
      <c r="P75" s="139"/>
      <c r="Q75" s="139"/>
      <c r="R75" s="139"/>
      <c r="S75" s="139"/>
      <c r="T75" s="139"/>
      <c r="U75" s="179"/>
      <c r="V75" s="140"/>
      <c r="W75" s="139"/>
      <c r="X75" s="139"/>
      <c r="Y75" s="179"/>
      <c r="Z75" s="140"/>
      <c r="AA75" s="139"/>
      <c r="AB75" s="179"/>
      <c r="AC75" s="179"/>
      <c r="AD75" s="179"/>
      <c r="AE75" s="140"/>
      <c r="AF75" s="139"/>
      <c r="AG75" s="179"/>
      <c r="AH75" s="140"/>
      <c r="AI75" s="139"/>
      <c r="AJ75" s="139"/>
      <c r="AK75" s="140"/>
      <c r="AL75" s="139"/>
      <c r="AM75" s="139"/>
      <c r="AN75" s="139"/>
      <c r="AO75" s="139"/>
      <c r="AP75" s="140"/>
      <c r="AQ75" s="139"/>
      <c r="AR75" s="139"/>
      <c r="AS75" s="139"/>
      <c r="AT75" s="140"/>
      <c r="AU75" s="139"/>
      <c r="AV75" s="139"/>
      <c r="AW75" s="139"/>
      <c r="AX75" s="140"/>
      <c r="AY75" s="139"/>
      <c r="AZ75" s="139"/>
      <c r="BA75" s="139"/>
      <c r="BB75" s="140"/>
      <c r="BC75" s="139"/>
      <c r="BD75" s="139"/>
      <c r="BE75" s="139"/>
      <c r="BF75" s="140"/>
    </row>
    <row r="76" spans="1:58" ht="11.1" customHeight="1">
      <c r="N76" s="139"/>
      <c r="O76" s="139"/>
      <c r="P76" s="139"/>
      <c r="Q76" s="139"/>
      <c r="R76" s="139"/>
      <c r="S76" s="139"/>
      <c r="T76" s="139"/>
      <c r="U76" s="179"/>
      <c r="V76" s="140"/>
      <c r="W76" s="139"/>
      <c r="X76" s="139"/>
      <c r="Y76" s="179"/>
      <c r="Z76" s="140"/>
      <c r="AA76" s="139"/>
      <c r="AB76" s="179"/>
      <c r="AC76" s="179"/>
      <c r="AD76" s="179"/>
      <c r="AE76" s="140"/>
      <c r="AF76" s="139"/>
      <c r="AG76" s="179"/>
      <c r="AH76" s="140"/>
      <c r="AI76" s="139"/>
      <c r="AJ76" s="139"/>
      <c r="AK76" s="140"/>
      <c r="AL76" s="139"/>
      <c r="AM76" s="139"/>
      <c r="AN76" s="139"/>
      <c r="AO76" s="139"/>
      <c r="AP76" s="140"/>
      <c r="AQ76" s="139"/>
      <c r="AR76" s="139"/>
      <c r="AS76" s="139"/>
      <c r="AT76" s="140"/>
      <c r="AU76" s="139"/>
      <c r="AV76" s="139"/>
      <c r="AW76" s="139"/>
      <c r="AX76" s="140"/>
      <c r="AY76" s="139"/>
      <c r="AZ76" s="139"/>
      <c r="BA76" s="139"/>
      <c r="BB76" s="140"/>
      <c r="BC76" s="139"/>
      <c r="BD76" s="139"/>
      <c r="BE76" s="139"/>
      <c r="BF76" s="140"/>
    </row>
    <row r="77" spans="1:58" ht="11.1" customHeight="1">
      <c r="C77" s="51" t="s">
        <v>163</v>
      </c>
      <c r="N77" s="139"/>
      <c r="O77" s="139"/>
      <c r="P77" s="139"/>
      <c r="Q77" s="139"/>
      <c r="R77" s="139"/>
      <c r="S77" s="139"/>
      <c r="T77" s="139"/>
      <c r="U77" s="179"/>
      <c r="V77" s="140"/>
      <c r="W77" s="139"/>
      <c r="X77" s="139"/>
      <c r="Y77" s="179"/>
      <c r="Z77" s="140"/>
      <c r="AA77" s="139"/>
      <c r="AB77" s="179"/>
      <c r="AC77" s="179"/>
      <c r="AD77" s="179"/>
      <c r="AE77" s="140"/>
      <c r="AF77" s="139"/>
      <c r="AG77" s="179"/>
      <c r="AH77" s="140"/>
      <c r="AI77" s="139"/>
      <c r="AJ77" s="139"/>
      <c r="AK77" s="140"/>
      <c r="AL77" s="139"/>
      <c r="AM77" s="139"/>
      <c r="AN77" s="139"/>
      <c r="AO77" s="139"/>
      <c r="AP77" s="140"/>
      <c r="AQ77" s="139"/>
      <c r="AR77" s="139"/>
      <c r="AS77" s="139"/>
      <c r="AT77" s="140"/>
      <c r="AU77" s="139"/>
      <c r="AV77" s="139"/>
      <c r="AW77" s="139"/>
      <c r="AX77" s="140"/>
      <c r="AY77" s="139"/>
      <c r="AZ77" s="139"/>
      <c r="BA77" s="139"/>
      <c r="BB77" s="140"/>
      <c r="BC77" s="139"/>
      <c r="BD77" s="139"/>
      <c r="BE77" s="139"/>
      <c r="BF77" s="140"/>
    </row>
    <row r="78" spans="1:58" ht="11.1" customHeight="1">
      <c r="N78" s="139"/>
      <c r="O78" s="139"/>
      <c r="P78" s="139"/>
      <c r="Q78" s="139"/>
      <c r="R78" s="139"/>
      <c r="S78" s="139"/>
      <c r="T78" s="139"/>
      <c r="U78" s="179"/>
      <c r="V78" s="140"/>
      <c r="W78" s="139"/>
      <c r="X78" s="139"/>
      <c r="Y78" s="179"/>
      <c r="Z78" s="140"/>
      <c r="AA78" s="139"/>
      <c r="AB78" s="179"/>
      <c r="AC78" s="179"/>
      <c r="AD78" s="179"/>
      <c r="AE78" s="140"/>
      <c r="AF78" s="139"/>
      <c r="AG78" s="179"/>
      <c r="AH78" s="140"/>
      <c r="AI78" s="139"/>
      <c r="AJ78" s="139"/>
      <c r="AK78" s="140"/>
      <c r="AL78" s="139"/>
      <c r="AM78" s="139"/>
      <c r="AN78" s="139"/>
      <c r="AO78" s="139"/>
      <c r="AP78" s="140"/>
      <c r="AQ78" s="139"/>
      <c r="AR78" s="139"/>
      <c r="AS78" s="139"/>
      <c r="AT78" s="140"/>
      <c r="AU78" s="139"/>
      <c r="AV78" s="139"/>
      <c r="AW78" s="139"/>
      <c r="AX78" s="140"/>
      <c r="AY78" s="139"/>
      <c r="AZ78" s="139"/>
      <c r="BA78" s="139"/>
      <c r="BB78" s="140"/>
      <c r="BC78" s="139"/>
      <c r="BD78" s="139"/>
      <c r="BE78" s="139"/>
      <c r="BF78" s="140"/>
    </row>
    <row r="79" spans="1:58" ht="11.1" customHeight="1">
      <c r="D79" s="84" t="s">
        <v>158</v>
      </c>
      <c r="E79" s="83" t="s">
        <v>152</v>
      </c>
      <c r="N79" s="195"/>
      <c r="O79" s="195"/>
      <c r="P79" s="195"/>
      <c r="Q79" s="195"/>
      <c r="R79" s="195"/>
      <c r="S79" s="195"/>
      <c r="T79" s="195"/>
      <c r="U79" s="179"/>
      <c r="V79" s="140"/>
      <c r="W79" s="139"/>
      <c r="X79" s="139"/>
      <c r="Y79" s="179"/>
      <c r="Z79" s="140"/>
      <c r="AA79" s="139"/>
      <c r="AB79" s="179"/>
      <c r="AC79" s="179"/>
      <c r="AD79" s="179"/>
      <c r="AE79" s="140"/>
      <c r="AF79" s="139"/>
      <c r="AG79" s="179"/>
      <c r="AH79" s="140"/>
      <c r="AI79" s="139"/>
      <c r="AJ79" s="139"/>
      <c r="AK79" s="140"/>
      <c r="AL79" s="139"/>
      <c r="AM79" s="139"/>
      <c r="AN79" s="139"/>
      <c r="AO79" s="139"/>
      <c r="AP79" s="140"/>
      <c r="AQ79" s="195"/>
      <c r="AR79" s="195"/>
      <c r="AS79" s="195"/>
      <c r="AT79" s="140"/>
      <c r="AU79" s="195"/>
      <c r="AV79" s="195"/>
      <c r="AW79" s="195"/>
      <c r="AX79" s="140"/>
      <c r="AY79" s="195"/>
      <c r="AZ79" s="195"/>
      <c r="BA79" s="195"/>
      <c r="BB79" s="140"/>
      <c r="BC79" s="195"/>
      <c r="BD79" s="195"/>
      <c r="BE79" s="195"/>
      <c r="BF79" s="140"/>
    </row>
    <row r="80" spans="1:58" ht="11.1" customHeight="1">
      <c r="D80" s="85" t="s">
        <v>58</v>
      </c>
      <c r="E80" s="86">
        <f>COUNTIF($U$7:$U$45,"Raised")</f>
        <v>10</v>
      </c>
      <c r="H80" s="26"/>
      <c r="N80" s="195"/>
      <c r="O80" s="195"/>
      <c r="P80" s="195"/>
      <c r="Q80" s="195"/>
      <c r="R80" s="195"/>
      <c r="S80" s="195"/>
      <c r="T80" s="195"/>
      <c r="U80" s="179"/>
      <c r="V80" s="140"/>
      <c r="W80" s="139"/>
      <c r="X80" s="139"/>
      <c r="Y80" s="179"/>
      <c r="Z80" s="140"/>
      <c r="AA80" s="139"/>
      <c r="AB80" s="179"/>
      <c r="AC80" s="179"/>
      <c r="AD80" s="179"/>
      <c r="AE80" s="140"/>
      <c r="AF80" s="139"/>
      <c r="AG80" s="179"/>
      <c r="AH80" s="140"/>
      <c r="AI80" s="139"/>
      <c r="AJ80" s="139"/>
      <c r="AK80" s="140"/>
      <c r="AL80" s="139"/>
      <c r="AM80" s="139"/>
      <c r="AN80" s="139"/>
      <c r="AO80" s="139"/>
      <c r="AP80" s="140"/>
      <c r="AQ80" s="195"/>
      <c r="AR80" s="195"/>
      <c r="AS80" s="195"/>
      <c r="AT80" s="140"/>
      <c r="AU80" s="195"/>
      <c r="AV80" s="195"/>
      <c r="AW80" s="195"/>
      <c r="AX80" s="140"/>
      <c r="AY80" s="195"/>
      <c r="AZ80" s="195"/>
      <c r="BA80" s="195"/>
      <c r="BB80" s="140"/>
      <c r="BC80" s="195"/>
      <c r="BD80" s="195"/>
      <c r="BE80" s="195"/>
      <c r="BF80" s="140"/>
    </row>
    <row r="81" spans="3:58" ht="11.1" customHeight="1">
      <c r="D81" s="87" t="s">
        <v>252</v>
      </c>
      <c r="E81" s="88">
        <f>COUNTIF($U$7:$U$45,"No Change")</f>
        <v>28</v>
      </c>
      <c r="H81" s="26"/>
      <c r="N81" s="195"/>
      <c r="O81" s="195"/>
      <c r="P81" s="195"/>
      <c r="Q81" s="195"/>
      <c r="R81" s="195"/>
      <c r="S81" s="195"/>
      <c r="T81" s="195"/>
      <c r="U81" s="179"/>
      <c r="V81" s="140"/>
      <c r="W81" s="139"/>
      <c r="X81" s="139"/>
      <c r="Y81" s="179"/>
      <c r="Z81" s="140"/>
      <c r="AA81" s="139"/>
      <c r="AB81" s="179"/>
      <c r="AC81" s="179"/>
      <c r="AD81" s="179"/>
      <c r="AE81" s="140"/>
      <c r="AF81" s="139"/>
      <c r="AG81" s="179"/>
      <c r="AH81" s="140"/>
      <c r="AI81" s="139"/>
      <c r="AJ81" s="139"/>
      <c r="AK81" s="140"/>
      <c r="AL81" s="139"/>
      <c r="AM81" s="139"/>
      <c r="AN81" s="139"/>
      <c r="AO81" s="139"/>
      <c r="AP81" s="140"/>
      <c r="AQ81" s="195"/>
      <c r="AR81" s="195"/>
      <c r="AS81" s="195"/>
      <c r="AT81" s="140"/>
      <c r="AU81" s="195"/>
      <c r="AV81" s="195"/>
      <c r="AW81" s="195"/>
      <c r="AX81" s="140"/>
      <c r="AY81" s="195"/>
      <c r="AZ81" s="195"/>
      <c r="BA81" s="195"/>
      <c r="BB81" s="140"/>
      <c r="BC81" s="195"/>
      <c r="BD81" s="195"/>
      <c r="BE81" s="195"/>
      <c r="BF81" s="140"/>
    </row>
    <row r="82" spans="3:58" ht="11.1" customHeight="1">
      <c r="D82" s="87" t="s">
        <v>59</v>
      </c>
      <c r="E82" s="88">
        <f>COUNTIF($U$7:$U$45,"Lowered")</f>
        <v>0</v>
      </c>
      <c r="H82" s="26"/>
      <c r="N82" s="195"/>
      <c r="O82" s="195"/>
      <c r="P82" s="195"/>
      <c r="Q82" s="195"/>
      <c r="R82" s="195"/>
      <c r="S82" s="195"/>
      <c r="T82" s="195"/>
      <c r="U82" s="179"/>
      <c r="V82" s="140"/>
      <c r="W82" s="139"/>
      <c r="X82" s="139"/>
      <c r="Y82" s="179"/>
      <c r="Z82" s="140"/>
      <c r="AA82" s="139"/>
      <c r="AB82" s="179"/>
      <c r="AC82" s="179"/>
      <c r="AD82" s="179"/>
      <c r="AE82" s="140"/>
      <c r="AF82" s="139"/>
      <c r="AG82" s="179"/>
      <c r="AH82" s="140"/>
      <c r="AI82" s="139"/>
      <c r="AJ82" s="139"/>
      <c r="AK82" s="140"/>
      <c r="AL82" s="139"/>
      <c r="AM82" s="139"/>
      <c r="AN82" s="139"/>
      <c r="AO82" s="139"/>
      <c r="AP82" s="140"/>
      <c r="AQ82" s="195"/>
      <c r="AR82" s="195"/>
      <c r="AS82" s="195"/>
      <c r="AT82" s="140"/>
      <c r="AU82" s="195"/>
      <c r="AV82" s="195"/>
      <c r="AW82" s="195"/>
      <c r="AX82" s="140"/>
      <c r="AY82" s="195"/>
      <c r="AZ82" s="195"/>
      <c r="BA82" s="195"/>
      <c r="BB82" s="140"/>
      <c r="BC82" s="195"/>
      <c r="BD82" s="195"/>
      <c r="BE82" s="195"/>
      <c r="BF82" s="140"/>
    </row>
    <row r="83" spans="3:58" ht="11.1" customHeight="1">
      <c r="D83" s="87" t="s">
        <v>14</v>
      </c>
      <c r="E83" s="88">
        <f>COUNTIF($U$7:$U$45,"Omitted")</f>
        <v>0</v>
      </c>
      <c r="H83" s="26"/>
      <c r="N83" s="195"/>
      <c r="O83" s="195"/>
      <c r="P83" s="195"/>
      <c r="Q83" s="195"/>
      <c r="R83" s="195"/>
      <c r="S83" s="195"/>
      <c r="T83" s="195"/>
      <c r="U83" s="179"/>
      <c r="V83" s="140"/>
      <c r="W83" s="139"/>
      <c r="X83" s="139"/>
      <c r="Y83" s="179"/>
      <c r="Z83" s="140"/>
      <c r="AA83" s="139"/>
      <c r="AB83" s="179"/>
      <c r="AC83" s="179"/>
      <c r="AD83" s="179"/>
      <c r="AE83" s="140"/>
      <c r="AF83" s="139"/>
      <c r="AG83" s="179"/>
      <c r="AH83" s="140"/>
      <c r="AI83" s="139"/>
      <c r="AJ83" s="139"/>
      <c r="AK83" s="140"/>
      <c r="AL83" s="139"/>
      <c r="AM83" s="139"/>
      <c r="AN83" s="139"/>
      <c r="AO83" s="139"/>
      <c r="AP83" s="140"/>
      <c r="AQ83" s="195"/>
      <c r="AR83" s="195"/>
      <c r="AS83" s="195"/>
      <c r="AT83" s="140"/>
      <c r="AU83" s="195"/>
      <c r="AV83" s="195"/>
      <c r="AW83" s="195"/>
      <c r="AX83" s="140"/>
      <c r="AY83" s="195"/>
      <c r="AZ83" s="195"/>
      <c r="BA83" s="195"/>
      <c r="BB83" s="140"/>
      <c r="BC83" s="195"/>
      <c r="BD83" s="195"/>
      <c r="BE83" s="195"/>
      <c r="BF83" s="140"/>
    </row>
    <row r="84" spans="3:58" ht="11.1" customHeight="1">
      <c r="D84" s="87" t="s">
        <v>157</v>
      </c>
      <c r="E84" s="88">
        <f>COUNTIF($U$7:$U$45,"Re-insta")</f>
        <v>0</v>
      </c>
      <c r="H84" s="26"/>
      <c r="N84" s="195"/>
      <c r="O84" s="195"/>
      <c r="P84" s="195"/>
      <c r="Q84" s="195"/>
      <c r="R84" s="195"/>
      <c r="S84" s="195"/>
      <c r="T84" s="195"/>
      <c r="U84" s="179"/>
      <c r="V84" s="140"/>
      <c r="W84" s="139"/>
      <c r="X84" s="139"/>
      <c r="Y84" s="179"/>
      <c r="Z84" s="140"/>
      <c r="AA84" s="139"/>
      <c r="AB84" s="179"/>
      <c r="AC84" s="179"/>
      <c r="AD84" s="179"/>
      <c r="AE84" s="140"/>
      <c r="AF84" s="139"/>
      <c r="AG84" s="179"/>
      <c r="AH84" s="140"/>
      <c r="AI84" s="139"/>
      <c r="AJ84" s="139"/>
      <c r="AK84" s="140"/>
      <c r="AL84" s="139"/>
      <c r="AM84" s="139"/>
      <c r="AN84" s="139"/>
      <c r="AO84" s="139"/>
      <c r="AP84" s="140"/>
      <c r="AQ84" s="195"/>
      <c r="AR84" s="195"/>
      <c r="AS84" s="195"/>
      <c r="AT84" s="140"/>
      <c r="AU84" s="195"/>
      <c r="AV84" s="195"/>
      <c r="AW84" s="195"/>
      <c r="AX84" s="140"/>
      <c r="AY84" s="195"/>
      <c r="AZ84" s="195"/>
      <c r="BA84" s="195"/>
      <c r="BB84" s="140"/>
      <c r="BC84" s="195"/>
      <c r="BD84" s="195"/>
      <c r="BE84" s="195"/>
      <c r="BF84" s="140"/>
    </row>
    <row r="85" spans="3:58" ht="11.1" customHeight="1">
      <c r="D85" s="89" t="s">
        <v>253</v>
      </c>
      <c r="E85" s="90">
        <f>COUNTIF($U$7:$U$45,"Not Paying")</f>
        <v>1</v>
      </c>
      <c r="H85" s="26"/>
      <c r="N85" s="195"/>
      <c r="O85" s="195"/>
      <c r="P85" s="195"/>
      <c r="Q85" s="195"/>
      <c r="R85" s="195"/>
      <c r="S85" s="195"/>
      <c r="T85" s="195"/>
      <c r="U85" s="179"/>
      <c r="V85" s="140"/>
      <c r="W85" s="139"/>
      <c r="X85" s="139"/>
      <c r="Y85" s="179"/>
      <c r="Z85" s="140"/>
      <c r="AA85" s="139"/>
      <c r="AB85" s="179"/>
      <c r="AC85" s="179"/>
      <c r="AD85" s="179"/>
      <c r="AE85" s="140"/>
      <c r="AF85" s="139"/>
      <c r="AG85" s="179"/>
      <c r="AH85" s="140"/>
      <c r="AI85" s="139"/>
      <c r="AJ85" s="139"/>
      <c r="AK85" s="140"/>
      <c r="AL85" s="139"/>
      <c r="AM85" s="139"/>
      <c r="AN85" s="139"/>
      <c r="AO85" s="139"/>
      <c r="AP85" s="140"/>
      <c r="AQ85" s="195"/>
      <c r="AR85" s="195"/>
      <c r="AS85" s="195"/>
      <c r="AT85" s="140"/>
      <c r="AU85" s="195"/>
      <c r="AV85" s="195"/>
      <c r="AW85" s="195"/>
      <c r="AX85" s="140"/>
      <c r="AY85" s="195"/>
      <c r="AZ85" s="195"/>
      <c r="BA85" s="195"/>
      <c r="BB85" s="140"/>
      <c r="BC85" s="195"/>
      <c r="BD85" s="195"/>
      <c r="BE85" s="195"/>
      <c r="BF85" s="140"/>
    </row>
    <row r="86" spans="3:58" ht="11.1" customHeight="1">
      <c r="D86" s="91" t="s">
        <v>60</v>
      </c>
      <c r="E86" s="90">
        <f>SUM(E80:E85)</f>
        <v>39</v>
      </c>
      <c r="H86" s="26"/>
      <c r="N86" s="139"/>
      <c r="O86" s="139"/>
      <c r="P86" s="139"/>
      <c r="Q86" s="139"/>
      <c r="R86" s="139"/>
      <c r="S86" s="139"/>
      <c r="T86" s="139"/>
      <c r="U86" s="179"/>
      <c r="V86" s="140"/>
      <c r="W86" s="139"/>
      <c r="X86" s="139"/>
      <c r="Y86" s="179"/>
      <c r="Z86" s="140"/>
      <c r="AA86" s="139"/>
      <c r="AB86" s="179"/>
      <c r="AC86" s="179"/>
      <c r="AD86" s="179"/>
      <c r="AE86" s="140"/>
      <c r="AF86" s="139"/>
      <c r="AG86" s="179"/>
      <c r="AH86" s="140"/>
      <c r="AI86" s="139"/>
      <c r="AJ86" s="139"/>
      <c r="AK86" s="140"/>
      <c r="AL86" s="139"/>
      <c r="AM86" s="139"/>
      <c r="AN86" s="139"/>
      <c r="AO86" s="139"/>
      <c r="AP86" s="140"/>
      <c r="AQ86" s="139"/>
      <c r="AR86" s="139"/>
      <c r="AS86" s="139"/>
      <c r="AT86" s="140"/>
      <c r="AU86" s="139"/>
      <c r="AV86" s="139"/>
      <c r="AW86" s="139"/>
      <c r="AX86" s="140"/>
      <c r="AY86" s="139"/>
      <c r="AZ86" s="139"/>
      <c r="BA86" s="139"/>
      <c r="BB86" s="140"/>
      <c r="BC86" s="139"/>
      <c r="BD86" s="139"/>
      <c r="BE86" s="139"/>
      <c r="BF86" s="140"/>
    </row>
    <row r="87" spans="3:58" ht="11.1" customHeight="1">
      <c r="N87" s="139"/>
      <c r="O87" s="139"/>
      <c r="P87" s="139"/>
      <c r="Q87" s="139"/>
      <c r="R87" s="139"/>
      <c r="S87" s="139"/>
      <c r="T87" s="139"/>
      <c r="U87" s="179"/>
      <c r="V87" s="140"/>
      <c r="W87" s="139"/>
      <c r="X87" s="139"/>
      <c r="Y87" s="179"/>
      <c r="Z87" s="140"/>
      <c r="AA87" s="139"/>
      <c r="AB87" s="179"/>
      <c r="AC87" s="179"/>
      <c r="AD87" s="179"/>
      <c r="AE87" s="140"/>
      <c r="AF87" s="139"/>
      <c r="AG87" s="179"/>
      <c r="AH87" s="140"/>
      <c r="AI87" s="139"/>
      <c r="AJ87" s="139"/>
      <c r="AK87" s="140"/>
      <c r="AL87" s="139"/>
      <c r="AM87" s="139"/>
      <c r="AN87" s="139"/>
      <c r="AO87" s="139"/>
      <c r="AP87" s="140"/>
      <c r="AQ87" s="139"/>
      <c r="AR87" s="139"/>
      <c r="AS87" s="139"/>
      <c r="AT87" s="140"/>
      <c r="AU87" s="139"/>
      <c r="AV87" s="139"/>
      <c r="AW87" s="139"/>
      <c r="AX87" s="140"/>
      <c r="AY87" s="139"/>
      <c r="AZ87" s="139"/>
      <c r="BA87" s="139"/>
      <c r="BB87" s="140"/>
      <c r="BC87" s="139"/>
      <c r="BD87" s="139"/>
      <c r="BE87" s="139"/>
      <c r="BF87" s="140"/>
    </row>
    <row r="88" spans="3:58" ht="11.1" customHeight="1">
      <c r="N88" s="139"/>
      <c r="O88" s="139"/>
      <c r="P88" s="139"/>
      <c r="Q88" s="139"/>
      <c r="R88" s="139"/>
      <c r="S88" s="139"/>
      <c r="T88" s="139"/>
      <c r="U88" s="179"/>
      <c r="V88" s="140"/>
      <c r="W88" s="139"/>
      <c r="X88" s="139"/>
      <c r="Y88" s="179"/>
      <c r="Z88" s="140"/>
      <c r="AA88" s="139"/>
      <c r="AB88" s="179"/>
      <c r="AC88" s="179"/>
      <c r="AD88" s="179"/>
      <c r="AE88" s="140"/>
      <c r="AF88" s="139"/>
      <c r="AG88" s="179"/>
      <c r="AH88" s="140"/>
      <c r="AI88" s="139"/>
      <c r="AJ88" s="139"/>
      <c r="AK88" s="140"/>
      <c r="AL88" s="139"/>
      <c r="AM88" s="139"/>
      <c r="AN88" s="139"/>
      <c r="AO88" s="139"/>
      <c r="AP88" s="140"/>
      <c r="AQ88" s="139"/>
      <c r="AR88" s="139"/>
      <c r="AS88" s="139"/>
      <c r="AT88" s="140"/>
      <c r="AU88" s="139"/>
      <c r="AV88" s="139"/>
      <c r="AW88" s="139"/>
      <c r="AX88" s="140"/>
      <c r="AY88" s="139"/>
      <c r="AZ88" s="139"/>
      <c r="BA88" s="139"/>
      <c r="BB88" s="140"/>
      <c r="BC88" s="139"/>
      <c r="BD88" s="139"/>
      <c r="BE88" s="139"/>
      <c r="BF88" s="140"/>
    </row>
    <row r="89" spans="3:58" ht="11.1" customHeight="1">
      <c r="C89" s="51" t="s">
        <v>164</v>
      </c>
      <c r="N89" s="139"/>
      <c r="O89" s="139"/>
      <c r="P89" s="139"/>
      <c r="Q89" s="139"/>
      <c r="R89" s="139"/>
      <c r="S89" s="139"/>
      <c r="T89" s="139"/>
      <c r="U89" s="179"/>
      <c r="V89" s="140"/>
      <c r="W89" s="139"/>
      <c r="X89" s="139"/>
      <c r="Y89" s="179"/>
      <c r="Z89" s="140"/>
      <c r="AA89" s="139"/>
      <c r="AB89" s="179"/>
      <c r="AC89" s="179"/>
      <c r="AD89" s="179"/>
      <c r="AE89" s="140"/>
      <c r="AF89" s="139"/>
      <c r="AG89" s="179"/>
      <c r="AH89" s="140"/>
      <c r="AI89" s="139"/>
      <c r="AJ89" s="139"/>
      <c r="AK89" s="140"/>
      <c r="AL89" s="139"/>
      <c r="AM89" s="139"/>
      <c r="AN89" s="139"/>
      <c r="AO89" s="139"/>
      <c r="AP89" s="140"/>
      <c r="AQ89" s="139"/>
      <c r="AR89" s="139"/>
      <c r="AS89" s="139"/>
      <c r="AT89" s="140"/>
      <c r="AU89" s="139"/>
      <c r="AV89" s="139"/>
      <c r="AW89" s="139"/>
      <c r="AX89" s="140"/>
      <c r="AY89" s="139"/>
      <c r="AZ89" s="139"/>
      <c r="BA89" s="139"/>
      <c r="BB89" s="140"/>
      <c r="BC89" s="139"/>
      <c r="BD89" s="139"/>
      <c r="BE89" s="139"/>
      <c r="BF89" s="140"/>
    </row>
    <row r="90" spans="3:58" ht="11.1" customHeight="1">
      <c r="N90" s="139"/>
      <c r="O90" s="139"/>
      <c r="P90" s="139"/>
      <c r="Q90" s="139"/>
      <c r="R90" s="139"/>
      <c r="S90" s="139"/>
      <c r="T90" s="139"/>
      <c r="U90" s="179"/>
      <c r="V90" s="140"/>
      <c r="W90" s="139"/>
      <c r="X90" s="139"/>
      <c r="Y90" s="179"/>
      <c r="Z90" s="140"/>
      <c r="AA90" s="139"/>
      <c r="AB90" s="179"/>
      <c r="AC90" s="179"/>
      <c r="AD90" s="179"/>
      <c r="AE90" s="140"/>
      <c r="AF90" s="139"/>
      <c r="AG90" s="179"/>
      <c r="AH90" s="140"/>
      <c r="AI90" s="139"/>
      <c r="AJ90" s="139"/>
      <c r="AK90" s="140"/>
      <c r="AL90" s="139"/>
      <c r="AM90" s="139"/>
      <c r="AN90" s="139"/>
      <c r="AO90" s="139"/>
      <c r="AP90" s="140"/>
      <c r="AQ90" s="139"/>
      <c r="AR90" s="139"/>
      <c r="AS90" s="139"/>
      <c r="AT90" s="140"/>
      <c r="AU90" s="139"/>
      <c r="AV90" s="139"/>
      <c r="AW90" s="139"/>
      <c r="AX90" s="140"/>
      <c r="AY90" s="139"/>
      <c r="AZ90" s="139"/>
      <c r="BA90" s="139"/>
      <c r="BB90" s="140"/>
      <c r="BC90" s="139"/>
      <c r="BD90" s="139"/>
      <c r="BE90" s="139"/>
      <c r="BF90" s="140"/>
    </row>
    <row r="91" spans="3:58" ht="11.1" customHeight="1">
      <c r="D91" s="84" t="s">
        <v>165</v>
      </c>
      <c r="E91" s="83"/>
      <c r="N91" s="139"/>
      <c r="O91" s="139"/>
      <c r="P91" s="139"/>
      <c r="Q91" s="139"/>
      <c r="R91" s="139"/>
      <c r="S91" s="139"/>
      <c r="T91" s="139"/>
      <c r="U91" s="179"/>
      <c r="V91" s="140"/>
      <c r="W91" s="139"/>
      <c r="X91" s="139"/>
      <c r="Y91" s="179"/>
      <c r="Z91" s="140"/>
      <c r="AA91" s="139"/>
      <c r="AB91" s="179"/>
      <c r="AC91" s="140"/>
      <c r="AD91" s="139"/>
      <c r="AE91" s="179"/>
      <c r="AF91" s="140"/>
      <c r="AG91" s="139"/>
      <c r="AH91" s="139"/>
      <c r="AI91" s="140"/>
      <c r="AJ91" s="139"/>
      <c r="AK91" s="139"/>
      <c r="AL91" s="139"/>
      <c r="AM91" s="139"/>
      <c r="AN91" s="140"/>
      <c r="AO91" s="139"/>
      <c r="AP91" s="139"/>
      <c r="AQ91" s="139"/>
      <c r="AR91" s="140"/>
      <c r="AS91" s="139"/>
      <c r="AT91" s="139"/>
      <c r="AU91" s="139"/>
      <c r="AV91" s="140"/>
      <c r="AW91" s="139"/>
      <c r="AX91" s="139"/>
      <c r="AY91" s="139"/>
      <c r="AZ91" s="140"/>
      <c r="BA91" s="139"/>
      <c r="BB91" s="139"/>
      <c r="BC91" s="139"/>
      <c r="BD91" s="140"/>
      <c r="BE91" s="26"/>
    </row>
    <row r="92" spans="3:58" ht="11.1" customHeight="1">
      <c r="D92" s="85" t="s">
        <v>166</v>
      </c>
      <c r="E92" s="86">
        <f>-AC47</f>
        <v>33736965</v>
      </c>
      <c r="N92" s="139"/>
      <c r="O92" s="139"/>
      <c r="P92" s="139"/>
      <c r="Q92" s="139"/>
      <c r="R92" s="139"/>
      <c r="S92" s="139"/>
      <c r="T92" s="139"/>
      <c r="U92" s="179"/>
      <c r="V92" s="140"/>
      <c r="W92" s="139"/>
      <c r="X92" s="139"/>
      <c r="Y92" s="179"/>
      <c r="Z92" s="140"/>
      <c r="AA92" s="139"/>
      <c r="AB92" s="179"/>
      <c r="AC92" s="179"/>
      <c r="AD92" s="179"/>
      <c r="AE92" s="140"/>
      <c r="AF92" s="139"/>
      <c r="AG92" s="179"/>
      <c r="AH92" s="140"/>
      <c r="AI92" s="139"/>
      <c r="AJ92" s="139"/>
      <c r="AK92" s="140"/>
      <c r="AL92" s="139"/>
      <c r="AM92" s="139"/>
      <c r="AN92" s="139"/>
      <c r="AO92" s="139"/>
      <c r="AP92" s="140"/>
      <c r="AQ92" s="139"/>
      <c r="AR92" s="139"/>
      <c r="AS92" s="139"/>
      <c r="AT92" s="140"/>
      <c r="AU92" s="139"/>
      <c r="AV92" s="139"/>
      <c r="AW92" s="139"/>
      <c r="AX92" s="140"/>
      <c r="AY92" s="139"/>
      <c r="AZ92" s="139"/>
      <c r="BA92" s="139"/>
      <c r="BB92" s="140"/>
      <c r="BC92" s="139"/>
      <c r="BD92" s="139"/>
      <c r="BE92" s="139"/>
      <c r="BF92" s="140"/>
    </row>
    <row r="93" spans="3:58" ht="11.1" customHeight="1">
      <c r="D93" s="87" t="s">
        <v>167</v>
      </c>
      <c r="E93" s="88">
        <f>AD47</f>
        <v>56336263</v>
      </c>
      <c r="N93" s="139"/>
      <c r="O93" s="139"/>
      <c r="P93" s="139"/>
      <c r="Q93" s="139"/>
      <c r="R93" s="139"/>
      <c r="S93" s="139"/>
      <c r="T93" s="139"/>
      <c r="U93" s="179"/>
      <c r="V93" s="140"/>
      <c r="W93" s="139"/>
      <c r="X93" s="139"/>
      <c r="Y93" s="179"/>
      <c r="Z93" s="140"/>
      <c r="AA93" s="139"/>
      <c r="AB93" s="179"/>
      <c r="AC93" s="179"/>
      <c r="AD93" s="179"/>
      <c r="AE93" s="140"/>
      <c r="AF93" s="139"/>
      <c r="AG93" s="179"/>
      <c r="AH93" s="140"/>
      <c r="AI93" s="139"/>
      <c r="AJ93" s="139"/>
      <c r="AK93" s="140"/>
      <c r="AL93" s="139"/>
      <c r="AM93" s="139"/>
      <c r="AN93" s="139"/>
      <c r="AO93" s="139"/>
      <c r="AP93" s="140"/>
      <c r="AQ93" s="139"/>
      <c r="AR93" s="139"/>
      <c r="AS93" s="139"/>
      <c r="AT93" s="140"/>
      <c r="AU93" s="139"/>
      <c r="AV93" s="139"/>
      <c r="AW93" s="139"/>
      <c r="AX93" s="140"/>
      <c r="AY93" s="139"/>
      <c r="AZ93" s="139"/>
      <c r="BA93" s="139"/>
      <c r="BB93" s="140"/>
      <c r="BC93" s="139"/>
      <c r="BD93" s="139"/>
      <c r="BE93" s="139"/>
      <c r="BF93" s="140"/>
    </row>
    <row r="94" spans="3:58" ht="11.1" customHeight="1">
      <c r="D94" s="89" t="s">
        <v>64</v>
      </c>
      <c r="E94" s="92">
        <f>E92/E93</f>
        <v>0.59884989176509629</v>
      </c>
      <c r="N94" s="139"/>
      <c r="O94" s="139"/>
      <c r="P94" s="139"/>
      <c r="Q94" s="139"/>
      <c r="R94" s="139"/>
      <c r="S94" s="139"/>
      <c r="T94" s="139"/>
      <c r="U94" s="179"/>
      <c r="V94" s="140"/>
      <c r="W94" s="139"/>
      <c r="X94" s="139"/>
      <c r="Y94" s="179"/>
      <c r="Z94" s="140"/>
      <c r="AA94" s="139"/>
      <c r="AB94" s="179"/>
      <c r="AC94" s="179"/>
      <c r="AD94" s="179"/>
      <c r="AE94" s="140"/>
      <c r="AF94" s="139"/>
      <c r="AG94" s="179"/>
      <c r="AH94" s="140"/>
      <c r="AI94" s="139"/>
      <c r="AJ94" s="139"/>
      <c r="AK94" s="140"/>
      <c r="AL94" s="139"/>
      <c r="AM94" s="139"/>
      <c r="AN94" s="139"/>
      <c r="AO94" s="139"/>
      <c r="AP94" s="140"/>
      <c r="AQ94" s="139"/>
      <c r="AR94" s="139"/>
      <c r="AS94" s="139"/>
      <c r="AT94" s="140"/>
      <c r="AU94" s="139"/>
      <c r="AV94" s="139"/>
      <c r="AW94" s="139"/>
      <c r="AX94" s="140"/>
      <c r="AY94" s="139"/>
      <c r="AZ94" s="139"/>
      <c r="BA94" s="139"/>
      <c r="BB94" s="140"/>
      <c r="BC94" s="139"/>
      <c r="BD94" s="139"/>
      <c r="BE94" s="139"/>
      <c r="BF94" s="140"/>
    </row>
    <row r="95" spans="3:58" ht="11.1" customHeight="1">
      <c r="N95" s="139"/>
      <c r="O95" s="139"/>
      <c r="P95" s="139"/>
      <c r="Q95" s="139"/>
      <c r="R95" s="139"/>
      <c r="S95" s="139"/>
      <c r="T95" s="139"/>
      <c r="U95" s="179"/>
      <c r="V95" s="140"/>
      <c r="W95" s="139"/>
      <c r="X95" s="139"/>
      <c r="Y95" s="179"/>
      <c r="Z95" s="140"/>
      <c r="AA95" s="139"/>
      <c r="AB95" s="179"/>
      <c r="AC95" s="179"/>
      <c r="AD95" s="179"/>
      <c r="AE95" s="140"/>
      <c r="AF95" s="139"/>
      <c r="AG95" s="179"/>
      <c r="AH95" s="140"/>
      <c r="AI95" s="139"/>
      <c r="AJ95" s="139"/>
      <c r="AK95" s="140"/>
      <c r="AL95" s="139"/>
      <c r="AM95" s="139"/>
      <c r="AN95" s="139"/>
      <c r="AO95" s="139"/>
      <c r="AP95" s="140"/>
      <c r="AQ95" s="139"/>
      <c r="AR95" s="139"/>
      <c r="AS95" s="139"/>
      <c r="AT95" s="140"/>
      <c r="AU95" s="139"/>
      <c r="AV95" s="139"/>
      <c r="AW95" s="139"/>
      <c r="AX95" s="140"/>
      <c r="AY95" s="139"/>
      <c r="AZ95" s="139"/>
      <c r="BA95" s="139"/>
      <c r="BB95" s="140"/>
      <c r="BC95" s="139"/>
      <c r="BD95" s="139"/>
      <c r="BE95" s="139"/>
      <c r="BF95" s="140"/>
    </row>
    <row r="96" spans="3:58" ht="11.1" customHeight="1">
      <c r="N96" s="139"/>
      <c r="O96" s="139"/>
      <c r="P96" s="139"/>
      <c r="Q96" s="139"/>
      <c r="R96" s="139"/>
      <c r="S96" s="139"/>
      <c r="T96" s="139"/>
      <c r="U96" s="179"/>
      <c r="V96" s="140"/>
      <c r="W96" s="139"/>
      <c r="X96" s="139"/>
      <c r="Y96" s="179"/>
      <c r="Z96" s="140"/>
      <c r="AA96" s="139"/>
      <c r="AB96" s="179"/>
      <c r="AC96" s="179"/>
      <c r="AD96" s="179"/>
      <c r="AE96" s="140"/>
      <c r="AF96" s="139"/>
      <c r="AG96" s="179"/>
      <c r="AH96" s="140"/>
      <c r="AI96" s="139"/>
      <c r="AJ96" s="139"/>
      <c r="AK96" s="140"/>
      <c r="AL96" s="139"/>
      <c r="AM96" s="139"/>
      <c r="AN96" s="139"/>
      <c r="AO96" s="139"/>
      <c r="AP96" s="140"/>
      <c r="AQ96" s="139"/>
      <c r="AR96" s="139"/>
      <c r="AS96" s="139"/>
      <c r="AT96" s="140"/>
      <c r="AU96" s="139"/>
      <c r="AV96" s="139"/>
      <c r="AW96" s="139"/>
      <c r="AX96" s="140"/>
      <c r="AY96" s="139"/>
      <c r="AZ96" s="139"/>
      <c r="BA96" s="139"/>
      <c r="BB96" s="140"/>
      <c r="BC96" s="139"/>
      <c r="BD96" s="139"/>
      <c r="BE96" s="139"/>
      <c r="BF96" s="140"/>
    </row>
    <row r="97" spans="3:58" ht="11.1" customHeight="1">
      <c r="C97" s="51" t="s">
        <v>169</v>
      </c>
      <c r="N97" s="139"/>
      <c r="O97" s="139"/>
      <c r="P97" s="139"/>
      <c r="Q97" s="139"/>
      <c r="R97" s="139"/>
      <c r="S97" s="139"/>
      <c r="T97" s="139"/>
      <c r="U97" s="179"/>
      <c r="V97" s="140"/>
      <c r="W97" s="139"/>
      <c r="X97" s="139"/>
      <c r="Y97" s="179"/>
      <c r="Z97" s="140"/>
      <c r="AA97" s="139"/>
      <c r="AB97" s="179"/>
      <c r="AC97" s="179"/>
      <c r="AD97" s="179"/>
      <c r="AE97" s="140"/>
      <c r="AF97" s="139"/>
      <c r="AG97" s="179"/>
      <c r="AH97" s="140"/>
      <c r="AI97" s="139"/>
      <c r="AJ97" s="139"/>
      <c r="AK97" s="140"/>
      <c r="AL97" s="139"/>
      <c r="AM97" s="139"/>
      <c r="AN97" s="139"/>
      <c r="AO97" s="139"/>
      <c r="AP97" s="140"/>
      <c r="AQ97" s="139"/>
      <c r="AR97" s="139"/>
      <c r="AS97" s="139"/>
      <c r="AT97" s="140"/>
      <c r="AU97" s="139"/>
      <c r="AV97" s="139"/>
      <c r="AW97" s="139"/>
      <c r="AX97" s="140"/>
      <c r="AY97" s="139"/>
      <c r="AZ97" s="139"/>
      <c r="BA97" s="139"/>
      <c r="BB97" s="140"/>
      <c r="BC97" s="139"/>
      <c r="BD97" s="139"/>
      <c r="BE97" s="139"/>
      <c r="BF97" s="140"/>
    </row>
    <row r="98" spans="3:58" ht="11.1" customHeight="1">
      <c r="C98" s="52" t="s">
        <v>204</v>
      </c>
      <c r="N98" s="139"/>
      <c r="O98" s="139"/>
      <c r="P98" s="139"/>
      <c r="Q98" s="139"/>
      <c r="R98" s="139"/>
      <c r="S98" s="139"/>
      <c r="T98" s="139"/>
      <c r="U98" s="179"/>
      <c r="V98" s="140"/>
      <c r="W98" s="139"/>
      <c r="X98" s="139"/>
      <c r="Y98" s="179"/>
      <c r="Z98" s="140"/>
      <c r="AA98" s="139"/>
      <c r="AB98" s="179"/>
      <c r="AC98" s="179"/>
      <c r="AD98" s="179"/>
      <c r="AE98" s="140"/>
      <c r="AF98" s="139"/>
      <c r="AG98" s="179"/>
      <c r="AH98" s="140"/>
      <c r="AI98" s="139"/>
      <c r="AJ98" s="139"/>
      <c r="AK98" s="140"/>
      <c r="AL98" s="139"/>
      <c r="AM98" s="139"/>
      <c r="AN98" s="139"/>
      <c r="AO98" s="139"/>
      <c r="AP98" s="140"/>
      <c r="AQ98" s="139"/>
      <c r="AR98" s="139"/>
      <c r="AS98" s="139"/>
      <c r="AT98" s="140"/>
      <c r="AU98" s="139"/>
      <c r="AV98" s="139"/>
      <c r="AW98" s="139"/>
      <c r="AX98" s="140"/>
      <c r="AY98" s="139"/>
      <c r="AZ98" s="139"/>
      <c r="BA98" s="139"/>
      <c r="BB98" s="140"/>
      <c r="BC98" s="139"/>
      <c r="BD98" s="139"/>
      <c r="BE98" s="139"/>
      <c r="BF98" s="140"/>
    </row>
    <row r="99" spans="3:58" ht="11.1" customHeight="1">
      <c r="C99" s="52" t="s">
        <v>203</v>
      </c>
      <c r="N99" s="139"/>
      <c r="O99" s="139"/>
      <c r="P99" s="139"/>
      <c r="Q99" s="139"/>
      <c r="R99" s="139"/>
      <c r="S99" s="139"/>
      <c r="T99" s="139"/>
      <c r="U99" s="179"/>
      <c r="V99" s="140"/>
      <c r="W99" s="139"/>
      <c r="X99" s="139"/>
      <c r="Y99" s="179"/>
      <c r="Z99" s="140"/>
      <c r="AA99" s="139"/>
      <c r="AB99" s="179"/>
      <c r="AC99" s="179"/>
      <c r="AD99" s="179"/>
      <c r="AE99" s="140"/>
      <c r="AF99" s="139"/>
      <c r="AG99" s="179"/>
      <c r="AH99" s="140"/>
      <c r="AI99" s="139"/>
      <c r="AJ99" s="139"/>
      <c r="AK99" s="140"/>
      <c r="AL99" s="139"/>
      <c r="AM99" s="139"/>
      <c r="AN99" s="139"/>
      <c r="AO99" s="139"/>
      <c r="AP99" s="140"/>
      <c r="AQ99" s="139"/>
      <c r="AR99" s="26"/>
      <c r="AS99" s="26"/>
      <c r="AU99" s="26"/>
      <c r="AV99" s="26"/>
      <c r="AW99" s="26"/>
      <c r="AY99" s="26"/>
      <c r="AZ99" s="26"/>
      <c r="BA99" s="26"/>
      <c r="BC99" s="26"/>
      <c r="BD99" s="26"/>
      <c r="BE99" s="26"/>
    </row>
    <row r="100" spans="3:58" ht="11.1" customHeight="1">
      <c r="N100" s="139"/>
      <c r="O100" s="139"/>
      <c r="P100" s="139"/>
      <c r="Q100" s="139"/>
      <c r="R100" s="139"/>
      <c r="S100" s="139"/>
      <c r="T100" s="139"/>
      <c r="U100" s="179"/>
      <c r="V100" s="140"/>
      <c r="W100" s="139"/>
      <c r="X100" s="139"/>
      <c r="Y100" s="179"/>
      <c r="Z100" s="140"/>
      <c r="AA100" s="139"/>
      <c r="AB100" s="179"/>
      <c r="AC100" s="179"/>
      <c r="AD100" s="179"/>
      <c r="AE100" s="140"/>
      <c r="AF100" s="139"/>
      <c r="AG100" s="179"/>
      <c r="AH100" s="140"/>
      <c r="AI100" s="139"/>
      <c r="AJ100" s="139"/>
      <c r="AK100" s="140"/>
      <c r="AL100" s="139"/>
      <c r="AM100" s="139"/>
      <c r="AN100" s="139"/>
      <c r="AO100" s="139"/>
      <c r="AP100" s="140"/>
      <c r="AQ100" s="139"/>
      <c r="AR100" s="26"/>
      <c r="AS100" s="26"/>
      <c r="AU100" s="26"/>
      <c r="AV100" s="26"/>
      <c r="AW100" s="26"/>
      <c r="AY100" s="26"/>
      <c r="AZ100" s="26"/>
      <c r="BA100" s="26"/>
      <c r="BC100" s="26"/>
      <c r="BD100" s="26"/>
      <c r="BE100" s="26"/>
    </row>
    <row r="101" spans="3:58" ht="11.1" customHeight="1">
      <c r="D101" s="84" t="s">
        <v>170</v>
      </c>
      <c r="E101" s="83" t="s">
        <v>58</v>
      </c>
      <c r="F101" s="83" t="s">
        <v>59</v>
      </c>
      <c r="N101" s="139"/>
      <c r="O101" s="139"/>
      <c r="P101" s="139"/>
      <c r="Q101" s="139"/>
      <c r="R101" s="139"/>
      <c r="S101" s="139"/>
      <c r="T101" s="139"/>
      <c r="U101" s="179"/>
      <c r="V101" s="140"/>
      <c r="W101" s="139"/>
      <c r="X101" s="139"/>
      <c r="Y101" s="179"/>
      <c r="Z101" s="140"/>
      <c r="AA101" s="139"/>
      <c r="AB101" s="179"/>
      <c r="AC101" s="179"/>
      <c r="AD101" s="179"/>
      <c r="AE101" s="140"/>
      <c r="AF101" s="139"/>
      <c r="AG101" s="179"/>
      <c r="AH101" s="140"/>
      <c r="AI101" s="139"/>
      <c r="AJ101" s="139"/>
      <c r="AK101" s="140"/>
      <c r="AL101" s="139"/>
      <c r="AM101" s="139"/>
      <c r="AN101" s="139"/>
      <c r="AO101" s="139"/>
      <c r="AP101" s="140"/>
      <c r="AQ101" s="139"/>
      <c r="AR101" s="139"/>
      <c r="AS101" s="139"/>
      <c r="AT101" s="140"/>
      <c r="AU101" s="139"/>
      <c r="AV101" s="139"/>
      <c r="AW101" s="139"/>
      <c r="AX101" s="140"/>
      <c r="AY101" s="139"/>
      <c r="AZ101" s="139"/>
      <c r="BA101" s="139"/>
      <c r="BB101" s="140"/>
      <c r="BC101" s="139"/>
      <c r="BD101" s="139"/>
      <c r="BE101" s="139"/>
      <c r="BF101" s="140"/>
    </row>
    <row r="102" spans="3:58" ht="11.1" customHeight="1">
      <c r="D102" s="87" t="str">
        <f>Quarter_CY_Q1</f>
        <v>2024 Q1</v>
      </c>
      <c r="E102" s="94">
        <f>'III. Dividend Patterns'!L$33</f>
        <v>5.2805617587226926E-2</v>
      </c>
      <c r="F102" s="94" t="str">
        <f>'III. Dividend Patterns'!M$33</f>
        <v>-</v>
      </c>
      <c r="N102" s="139"/>
      <c r="O102" s="139"/>
      <c r="P102" s="139"/>
      <c r="Q102" s="139"/>
      <c r="R102" s="139"/>
      <c r="S102" s="139"/>
      <c r="T102" s="139"/>
      <c r="U102" s="179"/>
      <c r="V102" s="140"/>
      <c r="W102" s="139"/>
      <c r="X102" s="139"/>
      <c r="Y102" s="179"/>
      <c r="Z102" s="140"/>
      <c r="AA102" s="139"/>
      <c r="AB102" s="179"/>
      <c r="AC102" s="179"/>
      <c r="AD102" s="179"/>
      <c r="AE102" s="140"/>
      <c r="AF102" s="139"/>
      <c r="AG102" s="179"/>
      <c r="AH102" s="140"/>
      <c r="AI102" s="139"/>
      <c r="AJ102" s="139"/>
      <c r="AK102" s="140"/>
      <c r="AL102" s="139"/>
      <c r="AM102" s="139"/>
      <c r="AN102" s="139"/>
      <c r="AO102" s="139"/>
      <c r="AP102" s="140"/>
      <c r="AQ102" s="139"/>
      <c r="AR102" s="139"/>
      <c r="AS102" s="139"/>
      <c r="AT102" s="140"/>
      <c r="AU102" s="139"/>
      <c r="AV102" s="139"/>
      <c r="AW102" s="139"/>
      <c r="AX102" s="140"/>
      <c r="AY102" s="139"/>
      <c r="AZ102" s="139"/>
      <c r="BA102" s="139"/>
      <c r="BB102" s="140"/>
      <c r="BC102" s="139"/>
      <c r="BD102" s="139"/>
      <c r="BE102" s="139"/>
      <c r="BF102" s="140"/>
    </row>
    <row r="103" spans="3:58" ht="11.1" customHeight="1">
      <c r="D103" s="87" t="str">
        <f>Quarter_CY_Q2</f>
        <v>2024 Q2</v>
      </c>
      <c r="E103" s="94">
        <f>'III. Dividend Patterns'!L$34</f>
        <v>4.0601503759398527E-2</v>
      </c>
      <c r="F103" s="94" t="str">
        <f>'III. Dividend Patterns'!M$34</f>
        <v>-</v>
      </c>
      <c r="N103" s="137"/>
      <c r="O103" s="137"/>
      <c r="P103" s="137"/>
      <c r="Q103" s="137"/>
      <c r="R103" s="137"/>
      <c r="S103" s="137"/>
      <c r="T103" s="137"/>
      <c r="U103" s="196"/>
      <c r="V103" s="138"/>
      <c r="W103" s="137"/>
      <c r="X103" s="137"/>
      <c r="Y103" s="196"/>
      <c r="Z103" s="138"/>
      <c r="AA103" s="137"/>
      <c r="AB103" s="196"/>
      <c r="AC103" s="196"/>
      <c r="AD103" s="196"/>
      <c r="AE103" s="138"/>
      <c r="AF103" s="137"/>
      <c r="AG103" s="196"/>
      <c r="AH103" s="138"/>
      <c r="AI103" s="137"/>
      <c r="AJ103" s="137"/>
      <c r="AK103" s="138"/>
      <c r="AL103" s="137"/>
      <c r="AM103" s="137"/>
      <c r="AN103" s="137"/>
      <c r="AO103" s="137"/>
      <c r="AP103" s="138"/>
      <c r="AQ103" s="137"/>
      <c r="AR103" s="137"/>
      <c r="AS103" s="137"/>
      <c r="AT103" s="138"/>
      <c r="AU103" s="137"/>
      <c r="AV103" s="137"/>
      <c r="AW103" s="137"/>
      <c r="AX103" s="138"/>
      <c r="AY103" s="137"/>
      <c r="AZ103" s="137"/>
      <c r="BA103" s="137"/>
      <c r="BB103" s="138"/>
      <c r="BC103" s="137"/>
      <c r="BD103" s="137"/>
      <c r="BE103" s="137"/>
      <c r="BF103" s="138"/>
    </row>
    <row r="104" spans="3:58" ht="11.1" customHeight="1">
      <c r="D104" s="87" t="str">
        <f>Quarter_CY_Q3</f>
        <v>2024 Q3</v>
      </c>
      <c r="E104" s="94">
        <f>'III. Dividend Patterns'!L$35</f>
        <v>3.3887387047245053E-2</v>
      </c>
      <c r="F104" s="94" t="str">
        <f>'III. Dividend Patterns'!M$35</f>
        <v>-</v>
      </c>
      <c r="N104" s="139"/>
      <c r="O104" s="139"/>
      <c r="P104" s="139"/>
      <c r="Q104" s="139"/>
      <c r="R104" s="139"/>
      <c r="S104" s="139"/>
      <c r="T104" s="139"/>
      <c r="U104" s="179"/>
      <c r="V104" s="140"/>
      <c r="W104" s="139"/>
      <c r="X104" s="139"/>
      <c r="Y104" s="179"/>
      <c r="Z104" s="140"/>
      <c r="AA104" s="139"/>
      <c r="AB104" s="179"/>
      <c r="AC104" s="179"/>
      <c r="AD104" s="179"/>
      <c r="AE104" s="140"/>
      <c r="AF104" s="139"/>
      <c r="AG104" s="179"/>
      <c r="AH104" s="140"/>
      <c r="AI104" s="139"/>
      <c r="AJ104" s="139"/>
      <c r="AK104" s="140"/>
      <c r="AL104" s="139"/>
      <c r="AM104" s="139"/>
      <c r="AN104" s="139"/>
      <c r="AO104" s="139"/>
      <c r="AP104" s="140"/>
      <c r="AQ104" s="139"/>
      <c r="AR104" s="139"/>
      <c r="AS104" s="139"/>
      <c r="AT104" s="140"/>
      <c r="AU104" s="139"/>
      <c r="AV104" s="139"/>
      <c r="AW104" s="139"/>
      <c r="AX104" s="140"/>
      <c r="AY104" s="139"/>
      <c r="AZ104" s="139"/>
      <c r="BA104" s="139"/>
      <c r="BB104" s="140"/>
      <c r="BC104" s="139"/>
      <c r="BD104" s="139"/>
      <c r="BE104" s="139"/>
      <c r="BF104" s="140"/>
    </row>
    <row r="105" spans="3:58" ht="11.1" customHeight="1">
      <c r="D105" s="89" t="str">
        <f>Quarter_CY_Q4</f>
        <v>2024 Q4</v>
      </c>
      <c r="E105" s="95">
        <f>'III. Dividend Patterns'!L$36</f>
        <v>4.8846940099001653E-2</v>
      </c>
      <c r="F105" s="95" t="str">
        <f>'III. Dividend Patterns'!M$36</f>
        <v>-</v>
      </c>
      <c r="N105" s="137"/>
      <c r="O105" s="137"/>
      <c r="P105" s="137"/>
      <c r="Q105" s="137"/>
      <c r="R105" s="137"/>
      <c r="S105" s="137"/>
      <c r="T105" s="137"/>
      <c r="U105" s="196"/>
      <c r="V105" s="138"/>
      <c r="W105" s="137"/>
      <c r="X105" s="137"/>
      <c r="Y105" s="196"/>
      <c r="Z105" s="138"/>
      <c r="AA105" s="137"/>
      <c r="AB105" s="196"/>
      <c r="AC105" s="196"/>
      <c r="AD105" s="196"/>
      <c r="AE105" s="138"/>
      <c r="AF105" s="137"/>
      <c r="AG105" s="196"/>
      <c r="AH105" s="138"/>
      <c r="AI105" s="137"/>
      <c r="AJ105" s="137"/>
      <c r="AK105" s="138"/>
      <c r="AL105" s="137"/>
      <c r="AM105" s="137"/>
      <c r="AN105" s="137"/>
      <c r="AO105" s="137"/>
      <c r="AP105" s="138"/>
      <c r="AQ105" s="137"/>
      <c r="AR105" s="137"/>
      <c r="AS105" s="137"/>
      <c r="AT105" s="138"/>
      <c r="AU105" s="137"/>
      <c r="AV105" s="137"/>
      <c r="AW105" s="137"/>
      <c r="AX105" s="138"/>
      <c r="AY105" s="137"/>
      <c r="AZ105" s="137"/>
      <c r="BA105" s="137"/>
      <c r="BB105" s="138"/>
      <c r="BC105" s="137"/>
      <c r="BD105" s="137"/>
      <c r="BE105" s="137"/>
      <c r="BF105" s="140"/>
    </row>
    <row r="106" spans="3:58" ht="11.1" customHeight="1">
      <c r="C106" s="50"/>
      <c r="D106" s="50" t="s">
        <v>171</v>
      </c>
      <c r="E106" s="96">
        <f>'III. Dividend Patterns'!L$37</f>
        <v>4.9999505283502096E-2</v>
      </c>
      <c r="F106" s="96" t="str">
        <f>'III. Dividend Patterns'!M$37</f>
        <v>-</v>
      </c>
      <c r="G106" s="50"/>
      <c r="H106" s="97"/>
      <c r="I106" s="50"/>
      <c r="J106" s="50"/>
      <c r="K106" s="50"/>
      <c r="L106" s="50"/>
      <c r="M106" s="31"/>
      <c r="N106" s="139"/>
      <c r="O106" s="139"/>
      <c r="P106" s="139"/>
      <c r="Q106" s="139"/>
      <c r="R106" s="139"/>
      <c r="S106" s="139"/>
      <c r="T106" s="139"/>
      <c r="U106" s="179"/>
      <c r="V106" s="140"/>
      <c r="W106" s="139"/>
      <c r="X106" s="139"/>
      <c r="Y106" s="179"/>
      <c r="Z106" s="140"/>
      <c r="AA106" s="139"/>
      <c r="AB106" s="179"/>
      <c r="AC106" s="179"/>
      <c r="AD106" s="179"/>
      <c r="AE106" s="140"/>
      <c r="AF106" s="139"/>
      <c r="AG106" s="179"/>
      <c r="AH106" s="140"/>
      <c r="AI106" s="139"/>
      <c r="AJ106" s="139"/>
      <c r="AK106" s="140"/>
      <c r="AL106" s="139"/>
      <c r="AM106" s="139"/>
      <c r="AN106" s="139"/>
      <c r="AO106" s="139"/>
      <c r="AP106" s="140"/>
      <c r="AQ106" s="139"/>
      <c r="AR106" s="139"/>
      <c r="AS106" s="139"/>
      <c r="AT106" s="140"/>
      <c r="AU106" s="139"/>
      <c r="AV106" s="139"/>
      <c r="AW106" s="139"/>
      <c r="AX106" s="140"/>
      <c r="AY106" s="139"/>
      <c r="AZ106" s="139"/>
      <c r="BA106" s="139"/>
      <c r="BB106" s="140"/>
      <c r="BC106" s="139"/>
      <c r="BD106" s="139"/>
      <c r="BE106" s="139"/>
      <c r="BF106" s="138"/>
    </row>
    <row r="107" spans="3:58" ht="11.1" customHeight="1">
      <c r="N107" s="139"/>
      <c r="O107" s="139"/>
      <c r="P107" s="139"/>
      <c r="Q107" s="139"/>
      <c r="R107" s="139"/>
      <c r="S107" s="139"/>
      <c r="T107" s="139"/>
      <c r="U107" s="179"/>
      <c r="V107" s="140"/>
      <c r="W107" s="139"/>
      <c r="X107" s="139"/>
      <c r="Y107" s="179"/>
      <c r="Z107" s="140"/>
      <c r="AA107" s="139"/>
      <c r="AB107" s="179"/>
      <c r="AC107" s="179"/>
      <c r="AD107" s="179"/>
      <c r="AE107" s="140"/>
      <c r="AF107" s="139"/>
      <c r="AG107" s="179"/>
      <c r="AH107" s="140"/>
      <c r="AI107" s="139"/>
      <c r="AJ107" s="139"/>
      <c r="AK107" s="140"/>
      <c r="AL107" s="139"/>
      <c r="AM107" s="139"/>
      <c r="AN107" s="139"/>
      <c r="AO107" s="139"/>
      <c r="AP107" s="140"/>
      <c r="AQ107" s="139"/>
      <c r="AR107" s="139"/>
      <c r="AS107" s="139"/>
      <c r="AT107" s="140"/>
      <c r="AU107" s="139"/>
      <c r="AV107" s="139"/>
      <c r="AW107" s="139"/>
      <c r="AX107" s="140"/>
      <c r="AY107" s="139"/>
      <c r="AZ107" s="139"/>
      <c r="BA107" s="139"/>
      <c r="BB107" s="140"/>
      <c r="BC107" s="139"/>
      <c r="BD107" s="139"/>
      <c r="BE107" s="139"/>
      <c r="BF107" s="140"/>
    </row>
    <row r="108" spans="3:58" ht="11.1" customHeight="1">
      <c r="C108" s="52" t="s">
        <v>303</v>
      </c>
      <c r="N108" s="139"/>
      <c r="O108" s="139"/>
      <c r="P108" s="139"/>
      <c r="Q108" s="139"/>
      <c r="R108" s="139"/>
      <c r="S108" s="139"/>
      <c r="T108" s="139"/>
      <c r="U108" s="179"/>
      <c r="V108" s="140"/>
      <c r="W108" s="139"/>
      <c r="X108" s="139"/>
      <c r="Y108" s="179"/>
      <c r="Z108" s="140"/>
      <c r="AA108" s="139"/>
      <c r="AB108" s="179"/>
      <c r="AC108" s="179"/>
      <c r="AD108" s="179"/>
      <c r="AE108" s="140"/>
      <c r="AF108" s="139"/>
      <c r="AG108" s="179"/>
      <c r="AH108" s="140"/>
      <c r="AI108" s="139"/>
      <c r="AJ108" s="139"/>
      <c r="AK108" s="140"/>
      <c r="AL108" s="139"/>
      <c r="AM108" s="139"/>
      <c r="AN108" s="139"/>
      <c r="AO108" s="139"/>
      <c r="AP108" s="140"/>
      <c r="AQ108" s="139"/>
      <c r="AR108" s="139"/>
      <c r="AS108" s="139"/>
      <c r="AT108" s="140"/>
      <c r="AU108" s="139"/>
      <c r="AV108" s="139"/>
      <c r="AW108" s="139"/>
      <c r="AX108" s="140"/>
      <c r="AY108" s="139"/>
      <c r="AZ108" s="139"/>
      <c r="BA108" s="139"/>
      <c r="BB108" s="140"/>
      <c r="BC108" s="139"/>
      <c r="BD108" s="139"/>
      <c r="BE108" s="139"/>
      <c r="BF108" s="140"/>
    </row>
    <row r="109" spans="3:58" ht="11.1" customHeight="1">
      <c r="N109" s="139"/>
      <c r="O109" s="139"/>
      <c r="P109" s="139"/>
      <c r="Q109" s="139"/>
      <c r="R109" s="139"/>
      <c r="S109" s="139"/>
      <c r="T109" s="139"/>
      <c r="U109" s="179"/>
      <c r="V109" s="140"/>
      <c r="W109" s="139"/>
      <c r="X109" s="139"/>
      <c r="Y109" s="179"/>
      <c r="Z109" s="140"/>
      <c r="AA109" s="139"/>
      <c r="AB109" s="179"/>
      <c r="AC109" s="179"/>
      <c r="AD109" s="179"/>
      <c r="AE109" s="140"/>
      <c r="AF109" s="139"/>
      <c r="AG109" s="179"/>
      <c r="AH109" s="140"/>
      <c r="AI109" s="139"/>
      <c r="AJ109" s="139"/>
      <c r="AK109" s="140"/>
      <c r="AL109" s="139"/>
      <c r="AM109" s="139"/>
      <c r="AN109" s="139"/>
      <c r="AO109" s="139"/>
      <c r="AP109" s="140"/>
      <c r="AQ109" s="139"/>
      <c r="AR109" s="139"/>
      <c r="AS109" s="139"/>
      <c r="AT109" s="140"/>
      <c r="AU109" s="139"/>
      <c r="AV109" s="139"/>
      <c r="AW109" s="139"/>
      <c r="AX109" s="140"/>
      <c r="AY109" s="139"/>
      <c r="AZ109" s="139"/>
      <c r="BA109" s="139"/>
      <c r="BB109" s="140"/>
      <c r="BC109" s="139"/>
      <c r="BD109" s="139"/>
      <c r="BE109" s="139"/>
      <c r="BF109" s="140"/>
    </row>
    <row r="110" spans="3:58" ht="11.1" customHeight="1">
      <c r="N110" s="139"/>
      <c r="O110" s="139"/>
      <c r="P110" s="139"/>
      <c r="Q110" s="139"/>
      <c r="R110" s="139"/>
      <c r="S110" s="139"/>
      <c r="T110" s="139"/>
      <c r="U110" s="179"/>
      <c r="V110" s="140"/>
      <c r="W110" s="139"/>
      <c r="X110" s="139"/>
      <c r="Y110" s="179"/>
      <c r="Z110" s="140"/>
      <c r="AA110" s="139"/>
      <c r="AB110" s="179"/>
      <c r="AC110" s="179"/>
      <c r="AD110" s="179"/>
      <c r="AE110" s="140"/>
      <c r="AF110" s="139"/>
      <c r="AG110" s="179"/>
      <c r="AH110" s="140"/>
      <c r="AI110" s="139"/>
      <c r="AJ110" s="139"/>
      <c r="AK110" s="140"/>
      <c r="AL110" s="139"/>
      <c r="AM110" s="139"/>
      <c r="AN110" s="139"/>
      <c r="AO110" s="139"/>
      <c r="AP110" s="140"/>
      <c r="AQ110" s="139"/>
      <c r="AR110" s="139"/>
      <c r="AS110" s="139"/>
      <c r="AT110" s="140"/>
      <c r="AU110" s="139"/>
      <c r="AV110" s="139"/>
      <c r="AW110" s="139"/>
      <c r="AX110" s="140"/>
      <c r="AY110" s="139"/>
      <c r="AZ110" s="139"/>
      <c r="BA110" s="139"/>
      <c r="BB110" s="140"/>
      <c r="BC110" s="139"/>
      <c r="BD110" s="139"/>
      <c r="BE110" s="139"/>
      <c r="BF110" s="140"/>
    </row>
    <row r="111" spans="3:58" ht="11.1" customHeight="1">
      <c r="N111" s="139"/>
      <c r="O111" s="139"/>
      <c r="P111" s="139"/>
      <c r="Q111" s="139"/>
      <c r="R111" s="139"/>
      <c r="S111" s="139"/>
      <c r="T111" s="139"/>
      <c r="U111" s="179"/>
      <c r="V111" s="140"/>
      <c r="W111" s="139"/>
      <c r="X111" s="139"/>
      <c r="Y111" s="179"/>
      <c r="Z111" s="140"/>
      <c r="AA111" s="139"/>
      <c r="AB111" s="179"/>
      <c r="AC111" s="179"/>
      <c r="AD111" s="179"/>
      <c r="AE111" s="140"/>
      <c r="AF111" s="139"/>
      <c r="AG111" s="179"/>
      <c r="AH111" s="140"/>
      <c r="AI111" s="139"/>
      <c r="AJ111" s="139"/>
      <c r="AK111" s="140"/>
      <c r="AL111" s="139"/>
      <c r="AM111" s="139"/>
      <c r="AN111" s="139"/>
      <c r="AO111" s="139"/>
      <c r="AP111" s="140"/>
      <c r="AQ111" s="139"/>
      <c r="AR111" s="139"/>
      <c r="AS111" s="139"/>
      <c r="AT111" s="140"/>
      <c r="AU111" s="139"/>
      <c r="AV111" s="139"/>
      <c r="AW111" s="139"/>
      <c r="AX111" s="140"/>
      <c r="AY111" s="139"/>
      <c r="AZ111" s="139"/>
      <c r="BA111" s="139"/>
      <c r="BB111" s="140"/>
      <c r="BC111" s="139"/>
      <c r="BD111" s="139"/>
      <c r="BE111" s="139"/>
      <c r="BF111" s="140"/>
    </row>
    <row r="112" spans="3:58" ht="11.1" customHeight="1">
      <c r="N112" s="139"/>
      <c r="O112" s="139"/>
      <c r="P112" s="139"/>
      <c r="Q112" s="139"/>
      <c r="R112" s="139"/>
      <c r="S112" s="139"/>
      <c r="T112" s="139"/>
      <c r="U112" s="179"/>
      <c r="V112" s="140"/>
      <c r="W112" s="139"/>
      <c r="X112" s="139"/>
      <c r="Y112" s="179"/>
      <c r="Z112" s="140"/>
      <c r="AA112" s="139"/>
      <c r="AB112" s="179"/>
      <c r="AC112" s="179"/>
      <c r="AD112" s="179"/>
      <c r="AE112" s="140"/>
      <c r="AF112" s="139"/>
      <c r="AG112" s="179"/>
      <c r="AH112" s="140"/>
      <c r="AI112" s="139"/>
      <c r="AJ112" s="139"/>
      <c r="AK112" s="140"/>
      <c r="AL112" s="139"/>
      <c r="AM112" s="139"/>
      <c r="AN112" s="139"/>
      <c r="AO112" s="139"/>
      <c r="AP112" s="140"/>
      <c r="AQ112" s="139"/>
      <c r="AR112" s="139"/>
      <c r="AS112" s="139"/>
      <c r="AT112" s="140"/>
      <c r="AU112" s="139"/>
      <c r="AV112" s="139"/>
      <c r="AW112" s="139"/>
      <c r="AX112" s="140"/>
      <c r="AY112" s="139"/>
      <c r="AZ112" s="139"/>
      <c r="BA112" s="139"/>
      <c r="BB112" s="140"/>
      <c r="BC112" s="139"/>
      <c r="BD112" s="139"/>
      <c r="BE112" s="139"/>
      <c r="BF112" s="140"/>
    </row>
    <row r="113" spans="14:57" ht="11.1" customHeight="1">
      <c r="N113" s="139"/>
      <c r="O113" s="139"/>
      <c r="P113" s="139"/>
      <c r="Q113" s="139"/>
      <c r="R113" s="139"/>
      <c r="S113" s="139"/>
      <c r="T113" s="139"/>
      <c r="U113" s="179"/>
      <c r="V113" s="140"/>
      <c r="W113" s="139"/>
      <c r="X113" s="139"/>
      <c r="Y113" s="179"/>
      <c r="Z113" s="140"/>
      <c r="AA113" s="139"/>
      <c r="AB113" s="179"/>
      <c r="AC113" s="179"/>
      <c r="AD113" s="179"/>
      <c r="AE113" s="140"/>
      <c r="AF113" s="139"/>
      <c r="AG113" s="179"/>
      <c r="AH113" s="140"/>
      <c r="AI113" s="139"/>
      <c r="AJ113" s="139"/>
      <c r="AK113" s="140"/>
      <c r="AL113" s="139"/>
      <c r="AM113" s="139"/>
      <c r="AN113" s="139"/>
      <c r="AO113" s="139"/>
      <c r="AP113" s="140"/>
      <c r="AQ113" s="139"/>
      <c r="AR113" s="139"/>
      <c r="AS113" s="139"/>
      <c r="AT113" s="140"/>
      <c r="AU113" s="139"/>
      <c r="AV113" s="139"/>
      <c r="AW113" s="139"/>
      <c r="AX113" s="140"/>
      <c r="AY113" s="139"/>
      <c r="AZ113" s="139"/>
      <c r="BA113" s="139"/>
      <c r="BB113" s="140"/>
      <c r="BC113" s="139"/>
      <c r="BD113" s="139"/>
      <c r="BE113" s="139"/>
    </row>
    <row r="114" spans="14:57" ht="11.1" customHeight="1">
      <c r="N114" s="139"/>
      <c r="O114" s="139"/>
      <c r="P114" s="139"/>
      <c r="Q114" s="139"/>
      <c r="R114" s="139"/>
      <c r="S114" s="139"/>
      <c r="T114" s="139"/>
      <c r="U114" s="179"/>
      <c r="V114" s="140"/>
      <c r="W114" s="139"/>
      <c r="X114" s="139"/>
      <c r="Y114" s="179"/>
      <c r="Z114" s="140"/>
      <c r="AA114" s="139"/>
      <c r="AB114" s="179"/>
      <c r="AC114" s="179"/>
      <c r="AD114" s="179"/>
      <c r="AE114" s="140"/>
      <c r="AF114" s="139"/>
      <c r="AG114" s="179"/>
      <c r="AH114" s="140"/>
      <c r="AI114" s="139"/>
      <c r="AJ114" s="139"/>
      <c r="AK114" s="140"/>
      <c r="AL114" s="139"/>
      <c r="AM114" s="139"/>
      <c r="AN114" s="139"/>
      <c r="AO114" s="139"/>
      <c r="AP114" s="140"/>
      <c r="AQ114" s="139"/>
      <c r="AR114" s="139"/>
      <c r="AS114" s="139"/>
      <c r="AT114" s="140"/>
      <c r="AU114" s="139"/>
      <c r="AV114" s="139"/>
      <c r="AW114" s="139"/>
      <c r="AX114" s="140"/>
      <c r="AY114" s="139"/>
      <c r="AZ114" s="139"/>
      <c r="BA114" s="139"/>
      <c r="BB114" s="140"/>
      <c r="BC114" s="139"/>
      <c r="BD114" s="139"/>
      <c r="BE114" s="139"/>
    </row>
    <row r="115" spans="14:57" ht="11.1" customHeight="1">
      <c r="N115" s="139"/>
      <c r="O115" s="139"/>
      <c r="P115" s="139"/>
      <c r="Q115" s="139"/>
      <c r="R115" s="139"/>
      <c r="S115" s="139"/>
      <c r="T115" s="139"/>
      <c r="U115" s="179"/>
      <c r="V115" s="140"/>
      <c r="W115" s="139"/>
      <c r="X115" s="139"/>
      <c r="Y115" s="179"/>
      <c r="Z115" s="140"/>
      <c r="AA115" s="139"/>
      <c r="AB115" s="179"/>
      <c r="AC115" s="179"/>
      <c r="AD115" s="179"/>
      <c r="AE115" s="140"/>
      <c r="AF115" s="139"/>
      <c r="AG115" s="179"/>
      <c r="AH115" s="140"/>
      <c r="AI115" s="139"/>
      <c r="AJ115" s="139"/>
      <c r="AK115" s="140"/>
      <c r="AL115" s="139"/>
      <c r="AM115" s="139"/>
      <c r="AN115" s="139"/>
      <c r="AO115" s="139"/>
      <c r="AP115" s="140"/>
      <c r="AQ115" s="139"/>
      <c r="AR115" s="139"/>
      <c r="AS115" s="139"/>
      <c r="AT115" s="140"/>
      <c r="AU115" s="139"/>
      <c r="AV115" s="139"/>
      <c r="AW115" s="139"/>
      <c r="AX115" s="140"/>
      <c r="AY115" s="139"/>
      <c r="AZ115" s="139"/>
      <c r="BA115" s="139"/>
      <c r="BB115" s="140"/>
      <c r="BC115" s="139"/>
      <c r="BD115" s="139"/>
      <c r="BE115" s="139"/>
    </row>
    <row r="116" spans="14:57" ht="11.1" customHeight="1">
      <c r="N116" s="139"/>
      <c r="O116" s="139"/>
      <c r="P116" s="139"/>
      <c r="Q116" s="139"/>
      <c r="R116" s="139"/>
      <c r="S116" s="139"/>
      <c r="T116" s="139"/>
      <c r="U116" s="179"/>
      <c r="V116" s="140"/>
      <c r="W116" s="139"/>
      <c r="X116" s="139"/>
      <c r="Y116" s="179"/>
      <c r="Z116" s="140"/>
      <c r="AA116" s="139"/>
      <c r="AB116" s="179"/>
      <c r="AC116" s="179"/>
      <c r="AD116" s="179"/>
      <c r="AE116" s="140"/>
      <c r="AF116" s="139"/>
      <c r="AG116" s="179"/>
      <c r="AH116" s="140"/>
      <c r="AI116" s="139"/>
      <c r="AJ116" s="139"/>
      <c r="AK116" s="140"/>
      <c r="AL116" s="139"/>
      <c r="AM116" s="139"/>
      <c r="AN116" s="139"/>
      <c r="AO116" s="139"/>
      <c r="AP116" s="140"/>
      <c r="AQ116" s="139"/>
      <c r="AR116" s="139"/>
      <c r="AS116" s="139"/>
      <c r="AT116" s="140"/>
      <c r="AU116" s="139"/>
      <c r="AV116" s="139"/>
      <c r="AW116" s="139"/>
      <c r="AX116" s="140"/>
      <c r="AY116" s="139"/>
      <c r="AZ116" s="139"/>
      <c r="BA116" s="139"/>
      <c r="BB116" s="140"/>
      <c r="BC116" s="139"/>
      <c r="BD116" s="139"/>
      <c r="BE116" s="139"/>
    </row>
    <row r="117" spans="14:57" ht="11.1" customHeight="1">
      <c r="N117" s="139"/>
      <c r="O117" s="139"/>
      <c r="P117" s="139"/>
      <c r="Q117" s="139"/>
      <c r="R117" s="139"/>
      <c r="S117" s="139"/>
      <c r="T117" s="139"/>
      <c r="U117" s="179"/>
      <c r="V117" s="140"/>
      <c r="W117" s="139"/>
      <c r="X117" s="139"/>
      <c r="Y117" s="179"/>
      <c r="Z117" s="140"/>
      <c r="AA117" s="139"/>
      <c r="AB117" s="179"/>
      <c r="AC117" s="179"/>
      <c r="AD117" s="179"/>
      <c r="AE117" s="140"/>
      <c r="AF117" s="139"/>
      <c r="AG117" s="179"/>
      <c r="AH117" s="140"/>
      <c r="AI117" s="139"/>
      <c r="AJ117" s="139"/>
      <c r="AK117" s="140"/>
      <c r="AL117" s="139"/>
      <c r="AM117" s="139"/>
      <c r="AN117" s="139"/>
      <c r="AO117" s="139"/>
      <c r="AP117" s="140"/>
      <c r="AQ117" s="139"/>
      <c r="AR117" s="139"/>
      <c r="AS117" s="139"/>
      <c r="AT117" s="140"/>
      <c r="AU117" s="139"/>
      <c r="AV117" s="139"/>
      <c r="AW117" s="139"/>
      <c r="AX117" s="140"/>
      <c r="AY117" s="139"/>
      <c r="AZ117" s="139"/>
      <c r="BA117" s="139"/>
      <c r="BB117" s="140"/>
      <c r="BC117" s="139"/>
      <c r="BD117" s="139"/>
      <c r="BE117" s="139"/>
    </row>
    <row r="118" spans="14:57" ht="11.1" customHeight="1">
      <c r="N118" s="139"/>
      <c r="O118" s="139"/>
      <c r="P118" s="139"/>
      <c r="Q118" s="139"/>
      <c r="R118" s="139"/>
      <c r="S118" s="139"/>
      <c r="T118" s="139"/>
      <c r="U118" s="179"/>
      <c r="V118" s="140"/>
      <c r="W118" s="139"/>
      <c r="X118" s="139"/>
      <c r="Y118" s="179"/>
      <c r="Z118" s="140"/>
      <c r="AA118" s="139"/>
      <c r="AB118" s="179"/>
      <c r="AC118" s="179"/>
      <c r="AD118" s="179"/>
      <c r="AE118" s="140"/>
      <c r="AF118" s="139"/>
      <c r="AG118" s="179"/>
      <c r="AH118" s="140"/>
      <c r="AI118" s="139"/>
      <c r="AJ118" s="139"/>
      <c r="AK118" s="140"/>
      <c r="AL118" s="139"/>
      <c r="AM118" s="139"/>
      <c r="AN118" s="139"/>
      <c r="AO118" s="139"/>
      <c r="AP118" s="140"/>
      <c r="AQ118" s="139"/>
      <c r="AR118" s="139"/>
      <c r="AS118" s="139"/>
      <c r="AT118" s="140"/>
      <c r="AU118" s="139"/>
      <c r="AV118" s="139"/>
      <c r="AW118" s="139"/>
      <c r="AX118" s="140"/>
      <c r="AY118" s="139"/>
      <c r="AZ118" s="139"/>
      <c r="BA118" s="139"/>
      <c r="BB118" s="140"/>
      <c r="BC118" s="139"/>
      <c r="BD118" s="139"/>
      <c r="BE118" s="139"/>
    </row>
    <row r="119" spans="14:57" ht="11.1" customHeight="1">
      <c r="N119" s="139"/>
      <c r="O119" s="139"/>
      <c r="P119" s="139"/>
      <c r="Q119" s="139"/>
      <c r="R119" s="139"/>
      <c r="S119" s="139"/>
      <c r="T119" s="139"/>
      <c r="U119" s="179"/>
      <c r="V119" s="140"/>
      <c r="W119" s="139"/>
      <c r="X119" s="139"/>
      <c r="Y119" s="179"/>
      <c r="Z119" s="140"/>
      <c r="AA119" s="139"/>
      <c r="AB119" s="179"/>
      <c r="AC119" s="179"/>
      <c r="AD119" s="179"/>
      <c r="AE119" s="140"/>
      <c r="AF119" s="139"/>
      <c r="AG119" s="179"/>
      <c r="AH119" s="140"/>
      <c r="AI119" s="139"/>
      <c r="AJ119" s="139"/>
      <c r="AK119" s="140"/>
      <c r="AL119" s="139"/>
      <c r="AM119" s="139"/>
      <c r="AN119" s="139"/>
      <c r="AO119" s="139"/>
      <c r="AP119" s="140"/>
      <c r="AQ119" s="139"/>
      <c r="AR119" s="139"/>
      <c r="AS119" s="139"/>
      <c r="AT119" s="140"/>
      <c r="AU119" s="139"/>
      <c r="AV119" s="139"/>
      <c r="AW119" s="139"/>
      <c r="AX119" s="140"/>
      <c r="AY119" s="139"/>
      <c r="AZ119" s="139"/>
      <c r="BA119" s="139"/>
      <c r="BB119" s="140"/>
      <c r="BC119" s="139"/>
      <c r="BD119" s="139"/>
      <c r="BE119" s="139"/>
    </row>
    <row r="120" spans="14:57" ht="11.1" customHeight="1">
      <c r="N120" s="139"/>
      <c r="O120" s="139"/>
      <c r="P120" s="139"/>
      <c r="Q120" s="139"/>
      <c r="R120" s="139"/>
      <c r="S120" s="139"/>
      <c r="T120" s="139"/>
      <c r="U120" s="179"/>
      <c r="V120" s="140"/>
      <c r="W120" s="139"/>
      <c r="X120" s="139"/>
      <c r="Y120" s="179"/>
      <c r="Z120" s="140"/>
      <c r="AA120" s="139"/>
      <c r="AB120" s="179"/>
      <c r="AC120" s="179"/>
      <c r="AD120" s="179"/>
      <c r="AE120" s="140"/>
      <c r="AF120" s="139"/>
      <c r="AG120" s="179"/>
      <c r="AH120" s="140"/>
      <c r="AI120" s="139"/>
      <c r="AJ120" s="139"/>
      <c r="AK120" s="140"/>
      <c r="AL120" s="139"/>
      <c r="AM120" s="139"/>
      <c r="AN120" s="139"/>
      <c r="AO120" s="139"/>
      <c r="AP120" s="140"/>
      <c r="AQ120" s="139"/>
      <c r="AR120" s="139"/>
      <c r="AS120" s="139"/>
      <c r="AT120" s="140"/>
      <c r="AU120" s="139"/>
      <c r="AV120" s="139"/>
      <c r="AW120" s="139"/>
      <c r="AX120" s="140"/>
      <c r="AY120" s="139"/>
      <c r="AZ120" s="139"/>
      <c r="BA120" s="139"/>
      <c r="BB120" s="140"/>
      <c r="BC120" s="139"/>
      <c r="BD120" s="139"/>
      <c r="BE120" s="139"/>
    </row>
    <row r="121" spans="14:57" ht="11.1" customHeight="1">
      <c r="N121" s="139"/>
      <c r="O121" s="139"/>
      <c r="P121" s="139"/>
      <c r="Q121" s="139"/>
      <c r="R121" s="139"/>
      <c r="S121" s="139"/>
      <c r="T121" s="139"/>
      <c r="U121" s="179"/>
      <c r="V121" s="140"/>
      <c r="W121" s="139"/>
      <c r="X121" s="139"/>
      <c r="Y121" s="179"/>
      <c r="Z121" s="140"/>
      <c r="AA121" s="139"/>
      <c r="AB121" s="179"/>
      <c r="AC121" s="179"/>
      <c r="AD121" s="179"/>
      <c r="AE121" s="140"/>
      <c r="AF121" s="139"/>
      <c r="AG121" s="179"/>
      <c r="AH121" s="140"/>
      <c r="AI121" s="139"/>
      <c r="AJ121" s="139"/>
      <c r="AK121" s="140"/>
      <c r="AL121" s="139"/>
      <c r="AM121" s="139"/>
      <c r="AN121" s="139"/>
      <c r="AO121" s="139"/>
      <c r="AP121" s="140"/>
      <c r="AQ121" s="139"/>
      <c r="AR121" s="139"/>
      <c r="AS121" s="139"/>
      <c r="AT121" s="140"/>
      <c r="AU121" s="139"/>
      <c r="AV121" s="139"/>
      <c r="AW121" s="139"/>
      <c r="AX121" s="140"/>
      <c r="AY121" s="139"/>
      <c r="AZ121" s="139"/>
      <c r="BA121" s="139"/>
      <c r="BB121" s="140"/>
      <c r="BC121" s="139"/>
      <c r="BD121" s="139"/>
      <c r="BE121" s="139"/>
    </row>
    <row r="122" spans="14:57" ht="11.1" customHeight="1">
      <c r="N122" s="139"/>
      <c r="O122" s="139"/>
      <c r="P122" s="139"/>
      <c r="Q122" s="139"/>
      <c r="R122" s="139"/>
      <c r="S122" s="139"/>
      <c r="T122" s="139"/>
      <c r="U122" s="179"/>
      <c r="V122" s="140"/>
      <c r="W122" s="139"/>
      <c r="X122" s="139"/>
      <c r="Y122" s="179"/>
      <c r="Z122" s="140"/>
      <c r="AA122" s="139"/>
      <c r="AB122" s="179"/>
      <c r="AC122" s="179"/>
      <c r="AD122" s="179"/>
      <c r="AE122" s="140"/>
      <c r="AF122" s="139"/>
      <c r="AG122" s="179"/>
      <c r="AH122" s="140"/>
      <c r="AI122" s="139"/>
      <c r="AJ122" s="139"/>
      <c r="AK122" s="140"/>
      <c r="AL122" s="139"/>
      <c r="AM122" s="139"/>
      <c r="AN122" s="139"/>
      <c r="AO122" s="139"/>
      <c r="AP122" s="140"/>
      <c r="AQ122" s="139"/>
      <c r="AR122" s="139"/>
      <c r="AS122" s="139"/>
      <c r="AT122" s="140"/>
      <c r="AU122" s="139"/>
      <c r="AV122" s="139"/>
      <c r="AW122" s="139"/>
      <c r="AX122" s="140"/>
      <c r="AY122" s="139"/>
      <c r="AZ122" s="139"/>
      <c r="BA122" s="139"/>
      <c r="BB122" s="140"/>
      <c r="BC122" s="139"/>
      <c r="BD122" s="139"/>
      <c r="BE122" s="139"/>
    </row>
    <row r="123" spans="14:57" ht="11.1" customHeight="1">
      <c r="N123" s="139"/>
      <c r="O123" s="139"/>
      <c r="P123" s="139"/>
      <c r="Q123" s="139"/>
      <c r="R123" s="139"/>
      <c r="S123" s="139"/>
      <c r="T123" s="139"/>
      <c r="U123" s="179"/>
      <c r="V123" s="140"/>
      <c r="W123" s="139"/>
      <c r="X123" s="139"/>
      <c r="Y123" s="179"/>
      <c r="Z123" s="140"/>
      <c r="AA123" s="139"/>
      <c r="AB123" s="179"/>
      <c r="AC123" s="179"/>
      <c r="AD123" s="179"/>
      <c r="AE123" s="140"/>
      <c r="AF123" s="139"/>
      <c r="AG123" s="179"/>
      <c r="AH123" s="140"/>
      <c r="AI123" s="139"/>
      <c r="AJ123" s="139"/>
      <c r="AK123" s="140"/>
      <c r="AL123" s="139"/>
      <c r="AM123" s="139"/>
      <c r="AN123" s="139"/>
      <c r="AO123" s="139"/>
      <c r="AP123" s="140"/>
      <c r="AQ123" s="139"/>
      <c r="AR123" s="139"/>
      <c r="AS123" s="139"/>
      <c r="AT123" s="140"/>
      <c r="AU123" s="139"/>
      <c r="AV123" s="139"/>
      <c r="AW123" s="139"/>
      <c r="AX123" s="140"/>
      <c r="AY123" s="139"/>
      <c r="AZ123" s="139"/>
      <c r="BA123" s="139"/>
      <c r="BB123" s="140"/>
      <c r="BC123" s="139"/>
      <c r="BD123" s="139"/>
      <c r="BE123" s="139"/>
    </row>
    <row r="124" spans="14:57" ht="11.1" customHeight="1">
      <c r="N124" s="139"/>
      <c r="O124" s="139"/>
      <c r="P124" s="139"/>
      <c r="Q124" s="139"/>
      <c r="R124" s="139"/>
      <c r="S124" s="139"/>
      <c r="T124" s="139"/>
      <c r="U124" s="179"/>
      <c r="V124" s="140"/>
      <c r="W124" s="139"/>
      <c r="X124" s="139"/>
      <c r="Y124" s="179"/>
      <c r="Z124" s="140"/>
      <c r="AA124" s="139"/>
      <c r="AB124" s="179"/>
      <c r="AC124" s="179"/>
      <c r="AD124" s="179"/>
      <c r="AE124" s="140"/>
      <c r="AF124" s="139"/>
      <c r="AG124" s="179"/>
      <c r="AH124" s="140"/>
      <c r="AI124" s="139"/>
      <c r="AJ124" s="139"/>
      <c r="AK124" s="140"/>
      <c r="AL124" s="139"/>
      <c r="AM124" s="139"/>
      <c r="AN124" s="139"/>
      <c r="AO124" s="139"/>
      <c r="AP124" s="140"/>
      <c r="AQ124" s="139"/>
      <c r="AR124" s="139"/>
      <c r="AS124" s="139"/>
      <c r="AT124" s="140"/>
      <c r="AU124" s="139"/>
      <c r="AV124" s="139"/>
      <c r="AW124" s="139"/>
      <c r="AX124" s="140"/>
      <c r="AY124" s="139"/>
      <c r="AZ124" s="139"/>
      <c r="BA124" s="139"/>
      <c r="BB124" s="140"/>
      <c r="BC124" s="139"/>
      <c r="BD124" s="139"/>
      <c r="BE124" s="139"/>
    </row>
    <row r="125" spans="14:57" ht="11.1" customHeight="1">
      <c r="N125" s="139"/>
      <c r="O125" s="139"/>
      <c r="P125" s="139"/>
      <c r="Q125" s="139"/>
      <c r="R125" s="139"/>
      <c r="S125" s="139"/>
      <c r="T125" s="139"/>
      <c r="U125" s="179"/>
      <c r="V125" s="140"/>
      <c r="W125" s="139"/>
      <c r="X125" s="139"/>
      <c r="Y125" s="179"/>
      <c r="Z125" s="140"/>
      <c r="AA125" s="139"/>
      <c r="AB125" s="179"/>
      <c r="AC125" s="179"/>
      <c r="AD125" s="179"/>
      <c r="AE125" s="140"/>
      <c r="AF125" s="139"/>
      <c r="AG125" s="179"/>
      <c r="AH125" s="140"/>
      <c r="AI125" s="139"/>
      <c r="AJ125" s="139"/>
      <c r="AK125" s="140"/>
      <c r="AL125" s="139"/>
      <c r="AM125" s="139"/>
      <c r="AN125" s="139"/>
      <c r="AO125" s="139"/>
      <c r="AP125" s="140"/>
      <c r="AQ125" s="139"/>
      <c r="AR125" s="139"/>
      <c r="AS125" s="139"/>
      <c r="AT125" s="140"/>
      <c r="AU125" s="139"/>
      <c r="AV125" s="139"/>
      <c r="AW125" s="139"/>
      <c r="AX125" s="140"/>
      <c r="AY125" s="139"/>
      <c r="AZ125" s="139"/>
      <c r="BA125" s="139"/>
      <c r="BB125" s="140"/>
      <c r="BC125" s="139"/>
      <c r="BD125" s="139"/>
      <c r="BE125" s="139"/>
    </row>
    <row r="126" spans="14:57" ht="11.1" customHeight="1">
      <c r="N126" s="139"/>
      <c r="O126" s="139"/>
      <c r="P126" s="139"/>
      <c r="Q126" s="139"/>
      <c r="R126" s="139"/>
      <c r="S126" s="139"/>
      <c r="T126" s="139"/>
      <c r="U126" s="179"/>
      <c r="V126" s="140"/>
      <c r="W126" s="139"/>
      <c r="X126" s="139"/>
      <c r="Y126" s="179"/>
      <c r="Z126" s="140"/>
      <c r="AA126" s="139"/>
      <c r="AB126" s="179"/>
      <c r="AC126" s="179"/>
      <c r="AD126" s="179"/>
      <c r="AE126" s="140"/>
      <c r="AF126" s="139"/>
      <c r="AG126" s="179"/>
      <c r="AH126" s="140"/>
      <c r="AI126" s="139"/>
      <c r="AJ126" s="139"/>
      <c r="AK126" s="140"/>
      <c r="AL126" s="139"/>
      <c r="AM126" s="139"/>
      <c r="AN126" s="139"/>
      <c r="AO126" s="139"/>
      <c r="AP126" s="140"/>
      <c r="AQ126" s="139"/>
      <c r="AR126" s="139"/>
      <c r="AS126" s="139"/>
      <c r="AT126" s="140"/>
      <c r="AU126" s="139"/>
      <c r="AV126" s="139"/>
      <c r="AW126" s="139"/>
      <c r="AX126" s="140"/>
      <c r="AY126" s="139"/>
      <c r="AZ126" s="139"/>
      <c r="BA126" s="139"/>
      <c r="BB126" s="140"/>
      <c r="BC126" s="139"/>
      <c r="BD126" s="139"/>
      <c r="BE126" s="139"/>
    </row>
    <row r="127" spans="14:57" ht="11.1" customHeight="1">
      <c r="N127" s="139"/>
      <c r="O127" s="139"/>
      <c r="P127" s="139"/>
      <c r="Q127" s="139"/>
      <c r="R127" s="139"/>
      <c r="S127" s="139"/>
      <c r="T127" s="139"/>
      <c r="U127" s="179"/>
      <c r="V127" s="140"/>
      <c r="W127" s="139"/>
      <c r="X127" s="139"/>
      <c r="Y127" s="179"/>
      <c r="Z127" s="140"/>
      <c r="AA127" s="139"/>
      <c r="AB127" s="179"/>
      <c r="AC127" s="179"/>
      <c r="AD127" s="179"/>
      <c r="AE127" s="140"/>
      <c r="AF127" s="139"/>
      <c r="AG127" s="179"/>
      <c r="AH127" s="140"/>
      <c r="AI127" s="139"/>
      <c r="AJ127" s="139"/>
      <c r="AK127" s="140"/>
      <c r="AL127" s="139"/>
      <c r="AM127" s="139"/>
      <c r="AN127" s="139"/>
      <c r="AO127" s="139"/>
      <c r="AP127" s="140"/>
      <c r="AQ127" s="139"/>
      <c r="AR127" s="139"/>
      <c r="AS127" s="139"/>
      <c r="AT127" s="140"/>
      <c r="AU127" s="139"/>
      <c r="AV127" s="139"/>
      <c r="AW127" s="139"/>
      <c r="AX127" s="140"/>
      <c r="AY127" s="139"/>
      <c r="AZ127" s="139"/>
      <c r="BA127" s="139"/>
      <c r="BB127" s="140"/>
      <c r="BC127" s="139"/>
      <c r="BD127" s="139"/>
      <c r="BE127" s="139"/>
    </row>
    <row r="128" spans="14:57" ht="11.1" customHeight="1">
      <c r="N128" s="139"/>
      <c r="O128" s="139"/>
      <c r="P128" s="139"/>
      <c r="Q128" s="139"/>
      <c r="R128" s="139"/>
      <c r="S128" s="139"/>
      <c r="T128" s="139"/>
      <c r="U128" s="179"/>
      <c r="V128" s="140"/>
      <c r="W128" s="139"/>
      <c r="X128" s="139"/>
      <c r="Y128" s="179"/>
      <c r="Z128" s="140"/>
      <c r="AA128" s="139"/>
      <c r="AB128" s="179"/>
      <c r="AC128" s="179"/>
      <c r="AD128" s="179"/>
      <c r="AE128" s="140"/>
      <c r="AF128" s="139"/>
      <c r="AG128" s="179"/>
      <c r="AH128" s="140"/>
      <c r="AI128" s="139"/>
      <c r="AJ128" s="139"/>
      <c r="AK128" s="140"/>
      <c r="AL128" s="139"/>
      <c r="AM128" s="139"/>
      <c r="AN128" s="139"/>
      <c r="AO128" s="139"/>
      <c r="AP128" s="140"/>
      <c r="AQ128" s="139"/>
      <c r="AR128" s="139"/>
      <c r="AS128" s="139"/>
      <c r="AT128" s="140"/>
      <c r="AU128" s="139"/>
      <c r="AV128" s="139"/>
      <c r="AW128" s="139"/>
      <c r="AX128" s="140"/>
      <c r="AY128" s="139"/>
      <c r="AZ128" s="139"/>
      <c r="BA128" s="139"/>
      <c r="BB128" s="140"/>
      <c r="BC128" s="139"/>
      <c r="BD128" s="139"/>
      <c r="BE128" s="139"/>
    </row>
    <row r="129" spans="14:57" ht="11.1" customHeight="1">
      <c r="N129" s="139"/>
      <c r="O129" s="139"/>
      <c r="P129" s="139"/>
      <c r="Q129" s="139"/>
      <c r="R129" s="139"/>
      <c r="S129" s="139"/>
      <c r="T129" s="139"/>
      <c r="U129" s="179"/>
      <c r="V129" s="140"/>
      <c r="W129" s="139"/>
      <c r="X129" s="139"/>
      <c r="Y129" s="179"/>
      <c r="Z129" s="140"/>
      <c r="AA129" s="139"/>
      <c r="AB129" s="179"/>
      <c r="AC129" s="179"/>
      <c r="AD129" s="179"/>
      <c r="AE129" s="140"/>
      <c r="AF129" s="139"/>
      <c r="AG129" s="179"/>
      <c r="AH129" s="140"/>
      <c r="AI129" s="139"/>
      <c r="AJ129" s="139"/>
      <c r="AK129" s="140"/>
      <c r="AL129" s="139"/>
      <c r="AM129" s="139"/>
      <c r="AN129" s="139"/>
      <c r="AO129" s="139"/>
      <c r="AP129" s="140"/>
      <c r="AQ129" s="139"/>
      <c r="AR129" s="139"/>
      <c r="AS129" s="139"/>
      <c r="AT129" s="140"/>
      <c r="AU129" s="139"/>
      <c r="AV129" s="139"/>
      <c r="AW129" s="139"/>
      <c r="AX129" s="140"/>
      <c r="AY129" s="139"/>
      <c r="AZ129" s="139"/>
      <c r="BA129" s="139"/>
      <c r="BB129" s="140"/>
      <c r="BC129" s="139"/>
      <c r="BD129" s="139"/>
      <c r="BE129" s="139"/>
    </row>
    <row r="130" spans="14:57" ht="11.1" customHeight="1">
      <c r="N130" s="139"/>
      <c r="O130" s="139"/>
      <c r="P130" s="139"/>
      <c r="Q130" s="139"/>
      <c r="R130" s="139"/>
      <c r="S130" s="139"/>
      <c r="T130" s="139"/>
      <c r="U130" s="179"/>
      <c r="V130" s="140"/>
      <c r="W130" s="139"/>
      <c r="X130" s="139"/>
      <c r="Y130" s="179"/>
      <c r="Z130" s="140"/>
      <c r="AA130" s="139"/>
      <c r="AB130" s="179"/>
      <c r="AC130" s="179"/>
      <c r="AD130" s="179"/>
      <c r="AE130" s="140"/>
      <c r="AF130" s="139"/>
      <c r="AG130" s="179"/>
      <c r="AH130" s="140"/>
      <c r="AI130" s="139"/>
      <c r="AJ130" s="139"/>
      <c r="AK130" s="140"/>
      <c r="AL130" s="139"/>
      <c r="AM130" s="139"/>
      <c r="AN130" s="139"/>
      <c r="AO130" s="139"/>
      <c r="AP130" s="140"/>
      <c r="AQ130" s="139"/>
      <c r="AR130" s="139"/>
      <c r="AS130" s="139"/>
      <c r="AT130" s="140"/>
      <c r="AU130" s="139"/>
      <c r="AV130" s="139"/>
      <c r="AW130" s="139"/>
      <c r="AX130" s="140"/>
      <c r="AY130" s="139"/>
      <c r="AZ130" s="139"/>
      <c r="BA130" s="139"/>
      <c r="BB130" s="140"/>
      <c r="BC130" s="139"/>
      <c r="BD130" s="139"/>
      <c r="BE130" s="139"/>
    </row>
  </sheetData>
  <mergeCells count="13">
    <mergeCell ref="G5:G6"/>
    <mergeCell ref="H5:H6"/>
    <mergeCell ref="I5:L5"/>
    <mergeCell ref="A1:C1"/>
    <mergeCell ref="C5:C6"/>
    <mergeCell ref="D5:D6"/>
    <mergeCell ref="E5:E6"/>
    <mergeCell ref="F5:F6"/>
    <mergeCell ref="AQ51:BE51"/>
    <mergeCell ref="AQ53:BE53"/>
    <mergeCell ref="AQ54:BE54"/>
    <mergeCell ref="AQ50:BE50"/>
    <mergeCell ref="AQ52:BE52"/>
  </mergeCells>
  <conditionalFormatting sqref="I7:I45">
    <cfRule type="cellIs" dxfId="4" priority="100" operator="equal">
      <formula>"ê"</formula>
    </cfRule>
    <cfRule type="cellIs" dxfId="3" priority="101" operator="equal">
      <formula>"é"</formula>
    </cfRule>
  </conditionalFormatting>
  <conditionalFormatting sqref="J7:L45">
    <cfRule type="expression" dxfId="2" priority="102">
      <formula>IF( $N7, IF( LEN( $P7 ) = 0, FALSE, TRUE ), FALSE )</formula>
    </cfRule>
    <cfRule type="expression" dxfId="1" priority="103">
      <formula>IF( $N7, IF( LEN( $O7 ) = 0, FALSE, TRUE ), FALSE )</formula>
    </cfRule>
  </conditionalFormatting>
  <conditionalFormatting sqref="N7:N45 AQ7:AQ45 AU7:AU45 AY7:AY45 BC7:BC45">
    <cfRule type="cellIs" dxfId="0" priority="1" operator="equal">
      <formula>TRUE</formula>
    </cfRule>
  </conditionalFormatting>
  <hyperlinks>
    <hyperlink ref="A1" location="Index!A1" display="Return to Index" xr:uid="{00000000-0004-0000-0700-000000000000}"/>
    <hyperlink ref="A1:B1" location="Contents!A1" display="Go to Contents" xr:uid="{00000000-0004-0000-0700-000001000000}"/>
  </hyperlinks>
  <pageMargins left="0.21" right="0.75" top="0.27" bottom="0.28999999999999998" header="0.2" footer="0.21"/>
  <pageSetup scale="66" orientation="portrait" r:id="rId1"/>
  <headerFooter alignWithMargins="0"/>
  <rowBreaks count="1" manualBreakCount="1">
    <brk id="5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_Report_07"/>
  <dimension ref="A1:AB36"/>
  <sheetViews>
    <sheetView showGridLines="0" zoomScaleNormal="100" workbookViewId="0">
      <selection sqref="A1:D1"/>
    </sheetView>
  </sheetViews>
  <sheetFormatPr defaultColWidth="9.28515625" defaultRowHeight="12.75"/>
  <cols>
    <col min="1" max="2" width="4.7109375" style="26" customWidth="1"/>
    <col min="3" max="3" width="1.7109375" style="1" customWidth="1"/>
    <col min="4" max="4" width="34.7109375" style="26" customWidth="1"/>
    <col min="5" max="27" width="7" style="27" customWidth="1"/>
    <col min="28" max="28" width="7.140625" style="1" bestFit="1" customWidth="1"/>
    <col min="29" max="16384" width="9.28515625" style="26"/>
  </cols>
  <sheetData>
    <row r="1" spans="1:28">
      <c r="A1" s="274" t="s">
        <v>155</v>
      </c>
      <c r="B1" s="284"/>
      <c r="C1" s="284"/>
      <c r="D1" s="299"/>
    </row>
    <row r="2" spans="1:28" s="1" customFormat="1" ht="18.75">
      <c r="B2" s="67" t="s">
        <v>119</v>
      </c>
      <c r="C2" s="9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8" s="1" customFormat="1">
      <c r="C3" s="99" t="s">
        <v>120</v>
      </c>
      <c r="D3" s="6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8" s="1" customFormat="1">
      <c r="C4" s="99"/>
      <c r="D4" s="6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6" spans="1:28">
      <c r="C6" s="69"/>
      <c r="D6" s="69" t="s">
        <v>109</v>
      </c>
      <c r="E6" s="55">
        <v>2000</v>
      </c>
      <c r="F6" s="55">
        <v>2001</v>
      </c>
      <c r="G6" s="55">
        <v>2002</v>
      </c>
      <c r="H6" s="55">
        <v>2003</v>
      </c>
      <c r="I6" s="55">
        <v>2004</v>
      </c>
      <c r="J6" s="55">
        <v>2005</v>
      </c>
      <c r="K6" s="55">
        <v>2006</v>
      </c>
      <c r="L6" s="55">
        <v>2007</v>
      </c>
      <c r="M6" s="55">
        <v>2008</v>
      </c>
      <c r="N6" s="55">
        <v>2009</v>
      </c>
      <c r="O6" s="55">
        <v>2010</v>
      </c>
      <c r="P6" s="55">
        <v>2011</v>
      </c>
      <c r="Q6" s="55">
        <v>2012</v>
      </c>
      <c r="R6" s="55">
        <v>2013</v>
      </c>
      <c r="S6" s="55">
        <v>2014</v>
      </c>
      <c r="T6" s="55">
        <v>2015</v>
      </c>
      <c r="U6" s="55">
        <v>2016</v>
      </c>
      <c r="V6" s="55">
        <v>2017</v>
      </c>
      <c r="W6" s="55">
        <v>2018</v>
      </c>
      <c r="X6" s="55">
        <v>2019</v>
      </c>
      <c r="Y6" s="55">
        <v>2020</v>
      </c>
      <c r="Z6" s="55">
        <v>2021</v>
      </c>
      <c r="AA6" s="55">
        <v>2022</v>
      </c>
      <c r="AB6" s="55">
        <v>2023</v>
      </c>
    </row>
    <row r="7" spans="1:28">
      <c r="D7" s="105" t="s">
        <v>110</v>
      </c>
      <c r="E7" s="106">
        <v>42.109487999999999</v>
      </c>
      <c r="F7" s="106">
        <v>55.396526487999999</v>
      </c>
      <c r="G7" s="106">
        <v>56.347946014488002</v>
      </c>
      <c r="H7" s="106">
        <v>56.984228960502485</v>
      </c>
      <c r="I7" s="107">
        <v>58.116750772462986</v>
      </c>
      <c r="J7" s="107">
        <v>50.236589923235449</v>
      </c>
      <c r="K7" s="108">
        <f>69.431807</f>
        <v>69.431807000000006</v>
      </c>
      <c r="L7" s="108">
        <v>61.061184999999995</v>
      </c>
      <c r="M7" s="108">
        <v>61.308586000000005</v>
      </c>
      <c r="N7" s="108">
        <v>82.899051</v>
      </c>
      <c r="O7" s="108">
        <v>77.732206000000005</v>
      </c>
      <c r="P7" s="108">
        <v>84.415952999999988</v>
      </c>
      <c r="Q7" s="108">
        <v>84.029558000000009</v>
      </c>
      <c r="R7" s="108">
        <v>87.114055999999991</v>
      </c>
      <c r="S7" s="108">
        <v>88.977907000000002</v>
      </c>
      <c r="T7" s="108">
        <v>101.643005</v>
      </c>
      <c r="U7" s="108">
        <v>98.319720000000004</v>
      </c>
      <c r="V7" s="108">
        <v>101.18553999999999</v>
      </c>
      <c r="W7" s="108">
        <v>100.007834</v>
      </c>
      <c r="X7" s="108">
        <v>95.262595000000005</v>
      </c>
      <c r="Y7" s="108">
        <v>67.650507000000005</v>
      </c>
      <c r="Z7" s="108">
        <v>82.399991999999997</v>
      </c>
      <c r="AA7" s="108">
        <v>92.3</v>
      </c>
      <c r="AB7" s="108">
        <v>117.3</v>
      </c>
    </row>
    <row r="8" spans="1:28">
      <c r="D8" s="65" t="s">
        <v>111</v>
      </c>
      <c r="E8" s="109">
        <v>-47.421543999999997</v>
      </c>
      <c r="F8" s="109">
        <v>-57.187627544000001</v>
      </c>
      <c r="G8" s="109">
        <v>-48.989965171544</v>
      </c>
      <c r="H8" s="109">
        <v>-43.000999999999998</v>
      </c>
      <c r="I8" s="110">
        <v>-41.073999999999998</v>
      </c>
      <c r="J8" s="110">
        <v>-48.366</v>
      </c>
      <c r="K8" s="111">
        <f>-59.859181</f>
        <v>-59.859181</v>
      </c>
      <c r="L8" s="111">
        <v>-74.064451000000005</v>
      </c>
      <c r="M8" s="111">
        <v>-82.834267999999994</v>
      </c>
      <c r="N8" s="111">
        <v>-77.623931999999996</v>
      </c>
      <c r="O8" s="111">
        <v>-74.167339999999996</v>
      </c>
      <c r="P8" s="111">
        <v>-78.609971999999999</v>
      </c>
      <c r="Q8" s="111">
        <v>-90.277812000000011</v>
      </c>
      <c r="R8" s="111">
        <v>-90.288657000000001</v>
      </c>
      <c r="S8" s="111">
        <v>-96.087747000000007</v>
      </c>
      <c r="T8" s="111">
        <v>-103.989929</v>
      </c>
      <c r="U8" s="111">
        <v>-112.535957</v>
      </c>
      <c r="V8" s="111">
        <v>-113.14630899999999</v>
      </c>
      <c r="W8" s="111">
        <v>-121.014753</v>
      </c>
      <c r="X8" s="111">
        <v>-125.90896600000001</v>
      </c>
      <c r="Y8" s="111">
        <v>-135.27323699999999</v>
      </c>
      <c r="Z8" s="111">
        <v>-136.55336700000001</v>
      </c>
      <c r="AA8" s="111">
        <v>-150.79689300000001</v>
      </c>
      <c r="AB8" s="111">
        <v>-171.9</v>
      </c>
    </row>
    <row r="9" spans="1:28">
      <c r="C9" s="112"/>
      <c r="D9" s="113" t="s">
        <v>112</v>
      </c>
      <c r="E9" s="114">
        <v>-14.5715</v>
      </c>
      <c r="F9" s="114">
        <v>-13.0525945</v>
      </c>
      <c r="G9" s="114">
        <v>-13.385125094500001</v>
      </c>
      <c r="H9" s="114">
        <v>-12.2956372195945</v>
      </c>
      <c r="I9" s="115">
        <v>-13.220194413814093</v>
      </c>
      <c r="J9" s="115">
        <v>-15.091341608227909</v>
      </c>
      <c r="K9" s="116">
        <f>-16.12581</f>
        <v>-16.125810000000001</v>
      </c>
      <c r="L9" s="116">
        <v>-15.367177999999999</v>
      </c>
      <c r="M9" s="116">
        <v>-16.519347000000003</v>
      </c>
      <c r="N9" s="116">
        <v>-17.100375</v>
      </c>
      <c r="O9" s="116">
        <v>-17.958245999999999</v>
      </c>
      <c r="P9" s="116">
        <v>-19.334876999999999</v>
      </c>
      <c r="Q9" s="116">
        <v>-20.527822</v>
      </c>
      <c r="R9" s="116">
        <v>-20.825267</v>
      </c>
      <c r="S9" s="116">
        <v>-21.112323</v>
      </c>
      <c r="T9" s="116">
        <v>-22.477599999999999</v>
      </c>
      <c r="U9" s="116">
        <v>-23.828298999999998</v>
      </c>
      <c r="V9" s="116">
        <v>-25.534421999999999</v>
      </c>
      <c r="W9" s="116">
        <v>-25.616491000000003</v>
      </c>
      <c r="X9" s="116">
        <v>-27.875906000000001</v>
      </c>
      <c r="Y9" s="116">
        <v>-29.321317999999998</v>
      </c>
      <c r="Z9" s="116">
        <v>-30.278663999999999</v>
      </c>
      <c r="AA9" s="116">
        <v>-31.4</v>
      </c>
      <c r="AB9" s="116">
        <v>-32.9</v>
      </c>
    </row>
    <row r="10" spans="1:28">
      <c r="C10" s="227"/>
      <c r="D10" s="228" t="s">
        <v>113</v>
      </c>
      <c r="E10" s="229">
        <f t="shared" ref="E10:J10" si="0">SUM(E7:E9)</f>
        <v>-19.883555999999999</v>
      </c>
      <c r="F10" s="229">
        <f t="shared" si="0"/>
        <v>-14.843695556000002</v>
      </c>
      <c r="G10" s="229">
        <f t="shared" si="0"/>
        <v>-6.027144251555999</v>
      </c>
      <c r="H10" s="229">
        <f t="shared" si="0"/>
        <v>1.6875917409079868</v>
      </c>
      <c r="I10" s="229">
        <f t="shared" si="0"/>
        <v>3.8225563586488942</v>
      </c>
      <c r="J10" s="229">
        <f t="shared" si="0"/>
        <v>-13.220751684992459</v>
      </c>
      <c r="K10" s="229">
        <f>SUM(K7:K9)</f>
        <v>-6.5531839999999946</v>
      </c>
      <c r="L10" s="229">
        <f>SUM(L7:L9)</f>
        <v>-28.37044400000001</v>
      </c>
      <c r="M10" s="229">
        <f>SUM(M7:M9)</f>
        <v>-38.045028999999992</v>
      </c>
      <c r="N10" s="229">
        <f>SUM(N7:N9)</f>
        <v>-11.825255999999996</v>
      </c>
      <c r="O10" s="229">
        <v>-14.39337999999999</v>
      </c>
      <c r="P10" s="229">
        <f>P7 + P8 + P9</f>
        <v>-13.52889600000001</v>
      </c>
      <c r="Q10" s="229">
        <f>Q7 + Q8 + Q9</f>
        <v>-26.776076000000003</v>
      </c>
      <c r="R10" s="229">
        <v>-23.99986800000001</v>
      </c>
      <c r="S10" s="229">
        <v>-28.222163000000005</v>
      </c>
      <c r="T10" s="229">
        <v>-24.824524</v>
      </c>
      <c r="U10" s="229">
        <v>-38.044535999999994</v>
      </c>
      <c r="V10" s="229">
        <v>-37.500044999999993</v>
      </c>
      <c r="W10" s="229">
        <v>-46.62341</v>
      </c>
      <c r="X10" s="229">
        <v>-58.522277000000003</v>
      </c>
      <c r="Y10" s="229">
        <v>-96.944047999999981</v>
      </c>
      <c r="Z10" s="229">
        <v>-84.432039000000003</v>
      </c>
      <c r="AA10" s="229">
        <v>-89.896893000000006</v>
      </c>
      <c r="AB10" s="229">
        <v>-87.5</v>
      </c>
    </row>
    <row r="11" spans="1:28">
      <c r="C11" s="26"/>
      <c r="AB11" s="141"/>
    </row>
    <row r="12" spans="1:28">
      <c r="D12" s="26" t="s">
        <v>191</v>
      </c>
      <c r="L12" s="29"/>
    </row>
    <row r="13" spans="1:28">
      <c r="D13" s="28"/>
      <c r="L13" s="29"/>
    </row>
    <row r="14" spans="1:28">
      <c r="D14" s="28"/>
      <c r="L14" s="29"/>
    </row>
    <row r="15" spans="1:28"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8"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1:27"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1:27"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</row>
    <row r="36" spans="5:11">
      <c r="E36" s="29"/>
      <c r="F36" s="29"/>
      <c r="G36" s="29"/>
      <c r="H36" s="29"/>
      <c r="I36" s="29"/>
      <c r="J36" s="29"/>
      <c r="K36" s="29"/>
    </row>
  </sheetData>
  <mergeCells count="1">
    <mergeCell ref="A1:D1"/>
  </mergeCells>
  <hyperlinks>
    <hyperlink ref="A1" location="Index!A1" display="Return to Index" xr:uid="{00000000-0004-0000-0800-000000000000}"/>
    <hyperlink ref="A1:B1" location="Contents!A1" display="Go to Contents" xr:uid="{00000000-0004-0000-0800-000001000000}"/>
    <hyperlink ref="C1" location="Contents!A1" display="Go to Contents" xr:uid="{00000000-0004-0000-0800-000002000000}"/>
  </hyperlinks>
  <pageMargins left="0.17" right="0.17" top="1" bottom="1" header="0.5" footer="0.5"/>
  <pageSetup orientation="landscape" r:id="rId1"/>
  <headerFooter alignWithMargins="0"/>
  <ignoredErrors>
    <ignoredError sqref="E10:N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9FCF9956A52419A332866A5789BC3" ma:contentTypeVersion="18" ma:contentTypeDescription="Create a new document." ma:contentTypeScope="" ma:versionID="0ccd32d42bc38ac8a4a4ff04473b9cc5">
  <xsd:schema xmlns:xsd="http://www.w3.org/2001/XMLSchema" xmlns:xs="http://www.w3.org/2001/XMLSchema" xmlns:p="http://schemas.microsoft.com/office/2006/metadata/properties" xmlns:ns2="d964b0a4-682e-4bda-b6b2-77439f345c49" xmlns:ns3="7a7db55e-2b16-4e8e-9efb-fab6e669a343" xmlns:ns4="f75139fd-48b9-45c1-a4c7-52ae13733b45" targetNamespace="http://schemas.microsoft.com/office/2006/metadata/properties" ma:root="true" ma:fieldsID="b2dd73c4de34e88e04af62e738b56b14" ns2:_="" ns3:_="" ns4:_="">
    <xsd:import namespace="d964b0a4-682e-4bda-b6b2-77439f345c49"/>
    <xsd:import namespace="7a7db55e-2b16-4e8e-9efb-fab6e669a343"/>
    <xsd:import namespace="f75139fd-48b9-45c1-a4c7-52ae13733b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b0a4-682e-4bda-b6b2-77439f345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fcc6e0-4e0c-4e25-a433-30f022ae7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db55e-2b16-4e8e-9efb-fab6e669a34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139fd-48b9-45c1-a4c7-52ae13733b4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d8e3dee-65b9-4cc9-9890-d4dc42fad703}" ma:internalName="TaxCatchAll" ma:showField="CatchAllData" ma:web="7a7db55e-2b16-4e8e-9efb-fab6e669a3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64b0a4-682e-4bda-b6b2-77439f345c49">
      <Terms xmlns="http://schemas.microsoft.com/office/infopath/2007/PartnerControls"/>
    </lcf76f155ced4ddcb4097134ff3c332f>
    <TaxCatchAll xmlns="f75139fd-48b9-45c1-a4c7-52ae13733b45" xsi:nil="true"/>
  </documentManagement>
</p:properties>
</file>

<file path=customXml/itemProps1.xml><?xml version="1.0" encoding="utf-8"?>
<ds:datastoreItem xmlns:ds="http://schemas.openxmlformats.org/officeDocument/2006/customXml" ds:itemID="{F6AD714A-F204-45B0-AF64-D3768B3D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64b0a4-682e-4bda-b6b2-77439f345c49"/>
    <ds:schemaRef ds:uri="7a7db55e-2b16-4e8e-9efb-fab6e669a343"/>
    <ds:schemaRef ds:uri="f75139fd-48b9-45c1-a4c7-52ae13733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6AB386-1B85-421E-AED1-FD7BC8752A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C0390E-E7CA-42D8-8A75-D15A8B1D9F34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f75139fd-48b9-45c1-a4c7-52ae13733b45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a7db55e-2b16-4e8e-9efb-fab6e669a343"/>
    <ds:schemaRef ds:uri="d964b0a4-682e-4bda-b6b2-77439f345c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Contents</vt:lpstr>
      <vt:lpstr>Company List</vt:lpstr>
      <vt:lpstr>I. Sector Payout Ratio</vt:lpstr>
      <vt:lpstr>II. Sector Yield</vt:lpstr>
      <vt:lpstr>III. Dividend Patterns</vt:lpstr>
      <vt:lpstr>IV. Category Payout Ratio</vt:lpstr>
      <vt:lpstr>V. Category Yield</vt:lpstr>
      <vt:lpstr>VI. Dividend Summary</vt:lpstr>
      <vt:lpstr>VII. Free Cash Flow </vt:lpstr>
      <vt:lpstr>SPDR Payout</vt:lpstr>
      <vt:lpstr>SPDR Yield</vt:lpstr>
      <vt:lpstr>Patterns Worksheet</vt:lpstr>
      <vt:lpstr>End</vt:lpstr>
      <vt:lpstr>Date_Business_Segmentation</vt:lpstr>
      <vt:lpstr>Date_Current_Year</vt:lpstr>
      <vt:lpstr>Date_EOP_Current</vt:lpstr>
      <vt:lpstr>Date_EOP_Last</vt:lpstr>
      <vt:lpstr>Date_Payout_Ratio</vt:lpstr>
      <vt:lpstr>Month_EOP_Current</vt:lpstr>
      <vt:lpstr>Payout_Ratio_Lag</vt:lpstr>
      <vt:lpstr>'Company List'!Print_Area</vt:lpstr>
      <vt:lpstr>Contents!Print_Area</vt:lpstr>
      <vt:lpstr>Quarter_CY_Q1</vt:lpstr>
      <vt:lpstr>Quarter_CY_Q2</vt:lpstr>
      <vt:lpstr>Quarter_CY_Q3</vt:lpstr>
      <vt:lpstr>Quarter_CY_Q4</vt:lpstr>
      <vt:lpstr>Quarter_EOP_Current</vt:lpstr>
      <vt:lpstr>Quarter_EOP_Current_Full</vt:lpstr>
      <vt:lpstr>Settings_Columns_Hidden</vt:lpstr>
      <vt:lpstr>Settings_Sheets_Hidden</vt:lpstr>
      <vt:lpstr>Settings_Sheets_VeryHidden</vt:lpstr>
    </vt:vector>
  </TitlesOfParts>
  <Company>EEI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Foy</dc:creator>
  <cp:lastModifiedBy>Daniel Foy</cp:lastModifiedBy>
  <cp:lastPrinted>2025-02-06T17:58:29Z</cp:lastPrinted>
  <dcterms:created xsi:type="dcterms:W3CDTF">2005-10-07T18:49:21Z</dcterms:created>
  <dcterms:modified xsi:type="dcterms:W3CDTF">2025-03-10T18:20:02Z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{E1796ED1-3536-48A6-AF40-082523578D6E}</vt:lpwstr>
  </property>
  <property fmtid="{D5CDD505-2E9C-101B-9397-08002B2CF9AE}" pid="3" name="ContentTypeId">
    <vt:lpwstr>0x010100BDD9FCF9956A52419A332866A5789BC3</vt:lpwstr>
  </property>
  <property fmtid="{D5CDD505-2E9C-101B-9397-08002B2CF9AE}" pid="4" name="MediaServiceImageTags">
    <vt:lpwstr/>
  </property>
</Properties>
</file>